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6.xml" ContentType="application/vnd.openxmlformats-officedocument.spreadsheetml.externalLink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5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OLSS (19 Mar 2019)\CR OLSS\S0159919_New Calculation Formula of Insentive KTB &amp; MMKSI#26828\"/>
    </mc:Choice>
  </mc:AlternateContent>
  <bookViews>
    <workbookView xWindow="240" yWindow="615" windowWidth="19440" windowHeight="7395"/>
  </bookViews>
  <sheets>
    <sheet name="Input　seet" sheetId="11" r:id="rId1"/>
    <sheet name="Calculation" sheetId="1" r:id="rId2"/>
    <sheet name="OPL - VAT" sheetId="5" state="hidden" r:id="rId3"/>
    <sheet name="Grab" sheetId="4" state="hidden" r:id="rId4"/>
    <sheet name="Non Cash Flow Basis" sheetId="8" state="hidden" r:id="rId5"/>
    <sheet name="①Tidak termasuk VAT TAX" sheetId="7" r:id="rId6"/>
    <sheet name="Calculator" sheetId="6" state="hidden" r:id="rId7"/>
    <sheet name="③Termasuk VAT" sheetId="9" r:id="rId8"/>
    <sheet name="⑤Termasuk TAX" sheetId="10" r:id="rId9"/>
    <sheet name="Special RV" sheetId="12" state="hidden" r:id="rId10"/>
    <sheet name="Tarif (Avanza)" sheetId="13" state="hidden" r:id="rId11"/>
    <sheet name="Tarif (Xpander)" sheetId="14" state="hidden" r:id="rId12"/>
    <sheet name="Sheet5" sheetId="1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ccout">[1]ACCOUNT!$A$1:$B$65536</definedName>
    <definedName name="HINSYU" localSheetId="7">#REF!</definedName>
    <definedName name="HINSYU" localSheetId="8">#REF!</definedName>
    <definedName name="HINSYU" localSheetId="10">#REF!</definedName>
    <definedName name="HINSYU">#REF!</definedName>
    <definedName name="_xlnm.Print_Area" localSheetId="5">'①Tidak termasuk VAT TAX'!$A$1:$AR$92</definedName>
    <definedName name="_xlnm.Print_Area" localSheetId="7">'③Termasuk VAT'!$A$1:$AQ$92</definedName>
    <definedName name="_xlnm.Print_Area" localSheetId="8">'⑤Termasuk TAX'!$A$1:$AQ$92</definedName>
    <definedName name="_xlnm.Print_Area" localSheetId="1">Calculation!#REF!</definedName>
    <definedName name="_xlnm.Print_Area" localSheetId="3">Grab!$B$2:$T$62</definedName>
    <definedName name="_xlnm.Print_Area" localSheetId="2">'OPL - VAT'!$A$1:$AS$116</definedName>
    <definedName name="RECOM">[1]DEFINITION!$B$3</definedName>
    <definedName name="その他資産_計画値入力" localSheetId="7">[2]その他資産入力!#REF!</definedName>
    <definedName name="その他資産_計画値入力" localSheetId="8">[2]その他資産入力!#REF!</definedName>
    <definedName name="その他資産_計画値入力" localSheetId="10">[2]その他資産入力!#REF!</definedName>
    <definedName name="その他資産_計画値入力">[2]その他資産入力!#REF!</definedName>
    <definedName name="のれん" localSheetId="7">#REF!</definedName>
    <definedName name="のれん" localSheetId="8">#REF!</definedName>
    <definedName name="のれん" localSheetId="10">#REF!</definedName>
    <definedName name="のれん">#REF!</definedName>
    <definedName name="ラダー検収済みクリア">[2]既存ラダーデータ_検収済み!$G$5:$BN$155,[2]既存ラダーデータ_検収済み!$G$159:$BN$206</definedName>
    <definedName name="不動産検収実績率Start" localSheetId="7">[3]不動産計画入力!#REF!</definedName>
    <definedName name="不動産検収実績率Start" localSheetId="8">[3]不動産計画入力!#REF!</definedName>
    <definedName name="不動産検収実績率Start" localSheetId="10">[3]不動産計画入力!#REF!</definedName>
    <definedName name="不動産検収実績率Start">[3]不動産計画入力!#REF!</definedName>
    <definedName name="借入金CF" localSheetId="7">#REF!</definedName>
    <definedName name="借入金CF" localSheetId="8">#REF!</definedName>
    <definedName name="借入金CF" localSheetId="10">#REF!</definedName>
    <definedName name="借入金CF">#REF!</definedName>
    <definedName name="借入金ヘッダ" localSheetId="7">#REF!</definedName>
    <definedName name="借入金ヘッダ" localSheetId="8">#REF!</definedName>
    <definedName name="借入金ヘッダ" localSheetId="10">#REF!</definedName>
    <definedName name="借入金ヘッダ">#REF!</definedName>
    <definedName name="再リース展開_満了計画_会計" localSheetId="7">[4]再リース_展開!#REF!</definedName>
    <definedName name="再リース展開_満了計画_会計" localSheetId="8">[4]再リース_展開!#REF!</definedName>
    <definedName name="再リース展開_満了計画_会計" localSheetId="10">[4]再リース_展開!#REF!</definedName>
    <definedName name="再リース展開_満了計画_会計">[4]再リース_展開!#REF!</definedName>
    <definedName name="再リース展開_満了計画_見込" localSheetId="7">[4]再リース_展開!#REF!</definedName>
    <definedName name="再リース展開_満了計画_見込" localSheetId="8">[4]再リース_展開!#REF!</definedName>
    <definedName name="再リース展開_満了計画_見込" localSheetId="10">[4]再リース_展開!#REF!</definedName>
    <definedName name="再リース展開_満了計画_見込">[4]再リース_展開!#REF!</definedName>
    <definedName name="出力ALM_運用シナリオ_ファイル" localSheetId="7">[2]ユーザー定義!#REF!</definedName>
    <definedName name="出力ALM_運用シナリオ_ファイル" localSheetId="8">[2]ユーザー定義!#REF!</definedName>
    <definedName name="出力ALM_運用シナリオ_ファイル" localSheetId="10">[2]ユーザー定義!#REF!</definedName>
    <definedName name="出力ALM_運用シナリオ_ファイル">[2]ユーザー定義!#REF!</definedName>
    <definedName name="出力ALM_金利シナリオ_ファイル" localSheetId="7">[2]ユーザー定義!#REF!</definedName>
    <definedName name="出力ALM_金利シナリオ_ファイル" localSheetId="8">[2]ユーザー定義!#REF!</definedName>
    <definedName name="出力ALM_金利シナリオ_ファイル" localSheetId="10">[2]ユーザー定義!#REF!</definedName>
    <definedName name="出力ALM_金利シナリオ_ファイル">[2]ユーザー定義!#REF!</definedName>
    <definedName name="剰余金_基準月更新">[5]その他負債・資本金入力!$F$33</definedName>
    <definedName name="半期CLEAR">[6]半期集約結果!$F$5:$O$321,[6]半期集約結果!$BT$5:$CA$102,[6]半期集約結果!$EG$5:$FV$97</definedName>
    <definedName name="四半期CLEAR">[6]四半期集約結果!$F$5:$Y$321,[6]四半期集約結果!$BT$5:$CM$102,[6]四半期集約結果!$EG$5:$EZ$97</definedName>
    <definedName name="年度CLEAR">[6]年度集約結果!$F$5:$J$321,[6]年度集約結果!$BT$5:$BX$102,[6]年度集約結果!$EG$5:$EK$97</definedName>
    <definedName name="新規取組金利_クリア">[2]新規取組金利!$D$5:$BL$24,[2]新規取組金利!$D$64:$BL$73,[2]新規取組金利!$D$78:$BL$78,[2]新規取組金利!$D$82:$BL$91,[2]新規取組金利!$D$95:$BL$103,[2]新規取組金利!$D$192:$BL$199,[2]新規取組金利!$D$214:$BL$216</definedName>
    <definedName name="新規社用資産_TEMP" localSheetId="7">[4]新規社用資産!#REF!</definedName>
    <definedName name="新規社用資産_TEMP" localSheetId="8">[4]新規社用資産!#REF!</definedName>
    <definedName name="新規社用資産_TEMP" localSheetId="10">[4]新規社用資産!#REF!</definedName>
    <definedName name="新規社用資産_TEMP">[4]新規社用資産!#REF!</definedName>
    <definedName name="新規運用計画_クリア">[2]新規取組運用!$C$3:$BJ$69,[2]新規取組運用!$C$71:$BJ$80,[2]新規取組運用!$C$83:$BJ$83,[2]新規取組運用!$C$97:$BJ$97,[2]新規取組運用!$C$111:$BJ$111,[2]新規取組運用!$C$125:$BJ$125,[2]新規取組運用!$C$153:$BJ$153,[2]新規取組運用!$C$181:$BJ$181,[2]新規取組運用!$C$139:$BJ$139,[2]新規取組運用!$C$167:$BJ$167,[2]新規取組運用!$C$202:$BJ$205</definedName>
    <definedName name="社用資産_新規" localSheetId="7">[4]新規社用資産!#REF!</definedName>
    <definedName name="社用資産_新規" localSheetId="8">[4]新規社用資産!#REF!</definedName>
    <definedName name="社用資産_新規" localSheetId="10">[4]新規社用資産!#REF!</definedName>
    <definedName name="社用資産_新規">[4]新規社用資産!#REF!</definedName>
    <definedName name="追加商品分運用スプレッド" localSheetId="7">[2]金利マトリックス!#REF!</definedName>
    <definedName name="追加商品分運用スプレッド" localSheetId="8">[2]金利マトリックス!#REF!</definedName>
    <definedName name="追加商品分運用スプレッド" localSheetId="10">[2]金利マトリックス!#REF!</definedName>
    <definedName name="追加商品分運用スプレッド">[2]金利マトリックス!#REF!</definedName>
  </definedNames>
  <calcPr calcId="171027"/>
</workbook>
</file>

<file path=xl/calcChain.xml><?xml version="1.0" encoding="utf-8"?>
<calcChain xmlns="http://schemas.openxmlformats.org/spreadsheetml/2006/main">
  <c r="D14" i="11" l="1"/>
  <c r="E14" i="11"/>
  <c r="D33" i="11" l="1"/>
  <c r="I102" i="9" l="1"/>
  <c r="D38" i="1" l="1"/>
  <c r="E8" i="11"/>
  <c r="M11" i="7"/>
  <c r="D24" i="11" l="1"/>
  <c r="D20" i="11"/>
  <c r="D17" i="11"/>
  <c r="D23" i="11" s="1"/>
  <c r="C74" i="1"/>
  <c r="B3" i="16"/>
  <c r="B4" i="16" s="1"/>
  <c r="B5" i="16" s="1"/>
  <c r="S43" i="14"/>
  <c r="P43" i="14"/>
  <c r="M43" i="14"/>
  <c r="N43" i="14" s="1"/>
  <c r="O43" i="14" s="1"/>
  <c r="J43" i="14"/>
  <c r="S42" i="14"/>
  <c r="P42" i="14"/>
  <c r="J42" i="14"/>
  <c r="S41" i="14"/>
  <c r="P41" i="14"/>
  <c r="J41" i="14"/>
  <c r="S40" i="14"/>
  <c r="P40" i="14"/>
  <c r="J40" i="14"/>
  <c r="S39" i="14"/>
  <c r="R39" i="14"/>
  <c r="R40" i="14" s="1"/>
  <c r="Q39" i="14"/>
  <c r="Q41" i="14" s="1"/>
  <c r="P39" i="14"/>
  <c r="J39" i="14"/>
  <c r="E39" i="14"/>
  <c r="S38" i="14"/>
  <c r="P38" i="14"/>
  <c r="M38" i="14"/>
  <c r="N38" i="14" s="1"/>
  <c r="O38" i="14" s="1"/>
  <c r="J38" i="14"/>
  <c r="S37" i="14"/>
  <c r="P37" i="14"/>
  <c r="J37" i="14"/>
  <c r="S36" i="14"/>
  <c r="P36" i="14"/>
  <c r="J36" i="14"/>
  <c r="S35" i="14"/>
  <c r="P35" i="14"/>
  <c r="J35" i="14"/>
  <c r="S34" i="14"/>
  <c r="R34" i="14"/>
  <c r="R37" i="14" s="1"/>
  <c r="Q34" i="14"/>
  <c r="Q38" i="14" s="1"/>
  <c r="P34" i="14"/>
  <c r="J34" i="14"/>
  <c r="E34" i="14"/>
  <c r="S33" i="14"/>
  <c r="P33" i="14"/>
  <c r="M33" i="14"/>
  <c r="N33" i="14" s="1"/>
  <c r="O33" i="14" s="1"/>
  <c r="J33" i="14"/>
  <c r="S32" i="14"/>
  <c r="P32" i="14"/>
  <c r="J32" i="14"/>
  <c r="S31" i="14"/>
  <c r="P31" i="14"/>
  <c r="J31" i="14"/>
  <c r="S30" i="14"/>
  <c r="P30" i="14"/>
  <c r="J30" i="14"/>
  <c r="S29" i="14"/>
  <c r="R29" i="14"/>
  <c r="R33" i="14" s="1"/>
  <c r="Q29" i="14"/>
  <c r="Q32" i="14" s="1"/>
  <c r="P29" i="14"/>
  <c r="J29" i="14"/>
  <c r="E29" i="14"/>
  <c r="S28" i="14"/>
  <c r="P28" i="14"/>
  <c r="O28" i="14"/>
  <c r="N28" i="14"/>
  <c r="M28" i="14"/>
  <c r="J28" i="14"/>
  <c r="S27" i="14"/>
  <c r="P27" i="14"/>
  <c r="J27" i="14"/>
  <c r="S26" i="14"/>
  <c r="P26" i="14"/>
  <c r="J26" i="14"/>
  <c r="S25" i="14"/>
  <c r="Q25" i="14"/>
  <c r="P25" i="14"/>
  <c r="J25" i="14"/>
  <c r="S24" i="14"/>
  <c r="R24" i="14"/>
  <c r="R25" i="14" s="1"/>
  <c r="Q24" i="14"/>
  <c r="Q26" i="14" s="1"/>
  <c r="P24" i="14"/>
  <c r="J24" i="14"/>
  <c r="E24" i="14"/>
  <c r="S23" i="14"/>
  <c r="Q23" i="14"/>
  <c r="P23" i="14"/>
  <c r="M23" i="14"/>
  <c r="N23" i="14" s="1"/>
  <c r="O23" i="14" s="1"/>
  <c r="J23" i="14"/>
  <c r="S22" i="14"/>
  <c r="Q22" i="14"/>
  <c r="P22" i="14"/>
  <c r="J22" i="14"/>
  <c r="S21" i="14"/>
  <c r="Q21" i="14"/>
  <c r="P21" i="14"/>
  <c r="J21" i="14"/>
  <c r="S20" i="14"/>
  <c r="R20" i="14"/>
  <c r="Q20" i="14"/>
  <c r="P20" i="14"/>
  <c r="J20" i="14"/>
  <c r="S19" i="14"/>
  <c r="R19" i="14"/>
  <c r="R21" i="14" s="1"/>
  <c r="Q19" i="14"/>
  <c r="P19" i="14"/>
  <c r="J19" i="14"/>
  <c r="E19" i="14"/>
  <c r="S18" i="14"/>
  <c r="P18" i="14"/>
  <c r="M18" i="14"/>
  <c r="N18" i="14" s="1"/>
  <c r="O18" i="14" s="1"/>
  <c r="J18" i="14"/>
  <c r="S17" i="14"/>
  <c r="P17" i="14"/>
  <c r="J17" i="14"/>
  <c r="S16" i="14"/>
  <c r="P16" i="14"/>
  <c r="J16" i="14"/>
  <c r="S15" i="14"/>
  <c r="P15" i="14"/>
  <c r="J15" i="14"/>
  <c r="S14" i="14"/>
  <c r="R14" i="14"/>
  <c r="R18" i="14" s="1"/>
  <c r="Q14" i="14"/>
  <c r="Q18" i="14" s="1"/>
  <c r="P14" i="14"/>
  <c r="J14" i="14"/>
  <c r="E14" i="14"/>
  <c r="S13" i="14"/>
  <c r="P13" i="14"/>
  <c r="N13" i="14"/>
  <c r="O13" i="14" s="1"/>
  <c r="M13" i="14"/>
  <c r="J13" i="14"/>
  <c r="S12" i="14"/>
  <c r="Q12" i="14"/>
  <c r="P12" i="14"/>
  <c r="J12" i="14"/>
  <c r="S11" i="14"/>
  <c r="Q11" i="14"/>
  <c r="P11" i="14"/>
  <c r="J11" i="14"/>
  <c r="S10" i="14"/>
  <c r="Q10" i="14"/>
  <c r="P10" i="14"/>
  <c r="J10" i="14"/>
  <c r="S9" i="14"/>
  <c r="R9" i="14"/>
  <c r="R13" i="14" s="1"/>
  <c r="Q9" i="14"/>
  <c r="Q13" i="14" s="1"/>
  <c r="P9" i="14"/>
  <c r="J9" i="14"/>
  <c r="E9" i="14"/>
  <c r="S8" i="14"/>
  <c r="Q8" i="14"/>
  <c r="P8" i="14"/>
  <c r="M8" i="14"/>
  <c r="N8" i="14" s="1"/>
  <c r="O8" i="14" s="1"/>
  <c r="J8" i="14"/>
  <c r="S7" i="14"/>
  <c r="Q7" i="14"/>
  <c r="P7" i="14"/>
  <c r="J7" i="14"/>
  <c r="S6" i="14"/>
  <c r="Q6" i="14"/>
  <c r="P6" i="14"/>
  <c r="J6" i="14"/>
  <c r="S5" i="14"/>
  <c r="R5" i="14"/>
  <c r="Q5" i="14"/>
  <c r="P5" i="14"/>
  <c r="J5" i="14"/>
  <c r="S4" i="14"/>
  <c r="R4" i="14"/>
  <c r="R6" i="14" s="1"/>
  <c r="Q4" i="14"/>
  <c r="P4" i="14"/>
  <c r="J4" i="14"/>
  <c r="E4" i="14"/>
  <c r="S28" i="13"/>
  <c r="Q28" i="13"/>
  <c r="P28" i="13"/>
  <c r="J28" i="13"/>
  <c r="S27" i="13"/>
  <c r="Q27" i="13"/>
  <c r="P27" i="13"/>
  <c r="J27" i="13"/>
  <c r="S26" i="13"/>
  <c r="Q26" i="13"/>
  <c r="P26" i="13"/>
  <c r="J26" i="13"/>
  <c r="S25" i="13"/>
  <c r="R25" i="13"/>
  <c r="Q25" i="13"/>
  <c r="P25" i="13"/>
  <c r="J25" i="13"/>
  <c r="S24" i="13"/>
  <c r="R24" i="13"/>
  <c r="R28" i="13" s="1"/>
  <c r="Q24" i="13"/>
  <c r="P24" i="13"/>
  <c r="J24" i="13"/>
  <c r="E24" i="13"/>
  <c r="S23" i="13"/>
  <c r="P23" i="13"/>
  <c r="M23" i="13"/>
  <c r="N23" i="13" s="1"/>
  <c r="O23" i="13" s="1"/>
  <c r="J23" i="13"/>
  <c r="S22" i="13"/>
  <c r="P22" i="13"/>
  <c r="J22" i="13"/>
  <c r="S21" i="13"/>
  <c r="P21" i="13"/>
  <c r="J21" i="13"/>
  <c r="S20" i="13"/>
  <c r="P20" i="13"/>
  <c r="J20" i="13"/>
  <c r="S19" i="13"/>
  <c r="R19" i="13"/>
  <c r="R23" i="13" s="1"/>
  <c r="Q19" i="13"/>
  <c r="Q21" i="13" s="1"/>
  <c r="P19" i="13"/>
  <c r="J19" i="13"/>
  <c r="E19" i="13"/>
  <c r="S18" i="13"/>
  <c r="P18" i="13"/>
  <c r="J18" i="13"/>
  <c r="S17" i="13"/>
  <c r="Q17" i="13"/>
  <c r="P17" i="13"/>
  <c r="J17" i="13"/>
  <c r="S16" i="13"/>
  <c r="Q16" i="13"/>
  <c r="P16" i="13"/>
  <c r="J16" i="13"/>
  <c r="S15" i="13"/>
  <c r="Q15" i="13"/>
  <c r="P15" i="13"/>
  <c r="J15" i="13"/>
  <c r="S14" i="13"/>
  <c r="R14" i="13"/>
  <c r="R18" i="13" s="1"/>
  <c r="Q14" i="13"/>
  <c r="Q18" i="13" s="1"/>
  <c r="P14" i="13"/>
  <c r="J14" i="13"/>
  <c r="E14" i="13"/>
  <c r="S13" i="13"/>
  <c r="P13" i="13"/>
  <c r="M13" i="13"/>
  <c r="M28" i="13" s="1"/>
  <c r="N28" i="13" s="1"/>
  <c r="O28" i="13" s="1"/>
  <c r="J13" i="13"/>
  <c r="S12" i="13"/>
  <c r="P12" i="13"/>
  <c r="J12" i="13"/>
  <c r="S11" i="13"/>
  <c r="Q11" i="13"/>
  <c r="P11" i="13"/>
  <c r="J11" i="13"/>
  <c r="S10" i="13"/>
  <c r="R10" i="13"/>
  <c r="Q10" i="13"/>
  <c r="P10" i="13"/>
  <c r="J10" i="13"/>
  <c r="S9" i="13"/>
  <c r="R9" i="13"/>
  <c r="R11" i="13" s="1"/>
  <c r="Q9" i="13"/>
  <c r="Q13" i="13" s="1"/>
  <c r="P9" i="13"/>
  <c r="J9" i="13"/>
  <c r="E9" i="13"/>
  <c r="S8" i="13"/>
  <c r="Q8" i="13"/>
  <c r="P8" i="13"/>
  <c r="M8" i="13"/>
  <c r="N8" i="13" s="1"/>
  <c r="O8" i="13" s="1"/>
  <c r="J8" i="13"/>
  <c r="S7" i="13"/>
  <c r="Q7" i="13"/>
  <c r="P7" i="13"/>
  <c r="J7" i="13"/>
  <c r="S6" i="13"/>
  <c r="R6" i="13"/>
  <c r="Q6" i="13"/>
  <c r="P6" i="13"/>
  <c r="J6" i="13"/>
  <c r="S5" i="13"/>
  <c r="R5" i="13"/>
  <c r="P5" i="13"/>
  <c r="J5" i="13"/>
  <c r="S4" i="13"/>
  <c r="R4" i="13"/>
  <c r="R8" i="13" s="1"/>
  <c r="Q4" i="13"/>
  <c r="Q5" i="13" s="1"/>
  <c r="P4" i="13"/>
  <c r="J4" i="13"/>
  <c r="E4" i="13"/>
  <c r="P52" i="12"/>
  <c r="N52" i="12"/>
  <c r="P51" i="12"/>
  <c r="N51" i="12"/>
  <c r="P50" i="12"/>
  <c r="N50" i="12"/>
  <c r="P49" i="12"/>
  <c r="N49" i="12"/>
  <c r="F27" i="12"/>
  <c r="G27" i="12" s="1"/>
  <c r="D40" i="12" s="1"/>
  <c r="G26" i="12"/>
  <c r="D39" i="12" s="1"/>
  <c r="F26" i="12"/>
  <c r="F25" i="12"/>
  <c r="G25" i="12" s="1"/>
  <c r="D38" i="12" s="1"/>
  <c r="G24" i="12"/>
  <c r="D37" i="12" s="1"/>
  <c r="F24" i="12"/>
  <c r="F23" i="12"/>
  <c r="G23" i="12" s="1"/>
  <c r="D36" i="12" s="1"/>
  <c r="G22" i="12"/>
  <c r="D35" i="12" s="1"/>
  <c r="F22" i="12"/>
  <c r="F21" i="12"/>
  <c r="G21" i="12" s="1"/>
  <c r="D34" i="12" s="1"/>
  <c r="M9" i="13" s="1"/>
  <c r="G20" i="12"/>
  <c r="D33" i="12" s="1"/>
  <c r="F20" i="12"/>
  <c r="F19" i="12"/>
  <c r="G19" i="12" s="1"/>
  <c r="D32" i="12" s="1"/>
  <c r="P14" i="12"/>
  <c r="N14" i="12"/>
  <c r="L14" i="12"/>
  <c r="J14" i="12"/>
  <c r="H14" i="12"/>
  <c r="F14" i="12"/>
  <c r="P13" i="12"/>
  <c r="N13" i="12"/>
  <c r="L13" i="12"/>
  <c r="J13" i="12"/>
  <c r="H13" i="12"/>
  <c r="F13" i="12"/>
  <c r="P12" i="12"/>
  <c r="N12" i="12"/>
  <c r="L12" i="12"/>
  <c r="J12" i="12"/>
  <c r="H12" i="12"/>
  <c r="F12" i="12"/>
  <c r="P11" i="12"/>
  <c r="N11" i="12"/>
  <c r="L11" i="12"/>
  <c r="J11" i="12"/>
  <c r="H11" i="12"/>
  <c r="F11" i="12"/>
  <c r="P10" i="12"/>
  <c r="N10" i="12"/>
  <c r="L10" i="12"/>
  <c r="J10" i="12"/>
  <c r="H10" i="12"/>
  <c r="F10" i="12"/>
  <c r="P9" i="12"/>
  <c r="N9" i="12"/>
  <c r="L9" i="12"/>
  <c r="J9" i="12"/>
  <c r="H9" i="12"/>
  <c r="F9" i="12"/>
  <c r="P8" i="12"/>
  <c r="N8" i="12"/>
  <c r="L8" i="12"/>
  <c r="J8" i="12"/>
  <c r="H8" i="12"/>
  <c r="F8" i="12"/>
  <c r="P7" i="12"/>
  <c r="N7" i="12"/>
  <c r="L7" i="12"/>
  <c r="J7" i="12"/>
  <c r="H7" i="12"/>
  <c r="F7" i="12"/>
  <c r="P6" i="12"/>
  <c r="N6" i="12"/>
  <c r="L6" i="12"/>
  <c r="J6" i="12"/>
  <c r="H6" i="12"/>
  <c r="F6" i="12"/>
  <c r="D55" i="12" l="1"/>
  <c r="E38" i="12"/>
  <c r="G38" i="12" s="1"/>
  <c r="R12" i="13"/>
  <c r="N13" i="13"/>
  <c r="O13" i="13" s="1"/>
  <c r="R13" i="13"/>
  <c r="R27" i="13"/>
  <c r="R7" i="14"/>
  <c r="R8" i="14"/>
  <c r="R22" i="14"/>
  <c r="R23" i="14"/>
  <c r="R26" i="14"/>
  <c r="Q27" i="14"/>
  <c r="Q28" i="14"/>
  <c r="R38" i="14"/>
  <c r="R41" i="14"/>
  <c r="Q42" i="14"/>
  <c r="Q43" i="14"/>
  <c r="M18" i="13"/>
  <c r="N18" i="13" s="1"/>
  <c r="O18" i="13" s="1"/>
  <c r="R27" i="14"/>
  <c r="R28" i="14"/>
  <c r="Q33" i="14"/>
  <c r="R42" i="14"/>
  <c r="R43" i="14"/>
  <c r="R20" i="13"/>
  <c r="R21" i="13"/>
  <c r="R22" i="13"/>
  <c r="R15" i="14"/>
  <c r="R16" i="14"/>
  <c r="R17" i="14"/>
  <c r="Q40" i="14"/>
  <c r="R7" i="13"/>
  <c r="Q12" i="13"/>
  <c r="R26" i="13"/>
  <c r="Q30" i="14"/>
  <c r="Q31" i="14"/>
  <c r="R35" i="14"/>
  <c r="R36" i="14"/>
  <c r="D25" i="11"/>
  <c r="B6" i="16"/>
  <c r="E55" i="12"/>
  <c r="F55" i="12" s="1"/>
  <c r="F38" i="12"/>
  <c r="E32" i="12"/>
  <c r="M14" i="14"/>
  <c r="N9" i="13"/>
  <c r="O9" i="13" s="1"/>
  <c r="M19" i="13"/>
  <c r="N19" i="13" s="1"/>
  <c r="O19" i="13" s="1"/>
  <c r="M24" i="13"/>
  <c r="N24" i="13" s="1"/>
  <c r="O24" i="13" s="1"/>
  <c r="E36" i="12"/>
  <c r="D53" i="12"/>
  <c r="E40" i="12"/>
  <c r="D57" i="12"/>
  <c r="E34" i="12"/>
  <c r="D49" i="12"/>
  <c r="D51" i="12"/>
  <c r="D54" i="12"/>
  <c r="E37" i="12"/>
  <c r="E35" i="12"/>
  <c r="D52" i="12"/>
  <c r="M4" i="13"/>
  <c r="E39" i="12"/>
  <c r="D56" i="12"/>
  <c r="M4" i="14"/>
  <c r="D50" i="12"/>
  <c r="E33" i="12"/>
  <c r="R15" i="13"/>
  <c r="R16" i="13"/>
  <c r="Q22" i="13"/>
  <c r="Q23" i="13"/>
  <c r="R10" i="14"/>
  <c r="R11" i="14"/>
  <c r="R12" i="14"/>
  <c r="Q15" i="14"/>
  <c r="Q16" i="14"/>
  <c r="Q17" i="14"/>
  <c r="R30" i="14"/>
  <c r="R31" i="14"/>
  <c r="R32" i="14"/>
  <c r="Q35" i="14"/>
  <c r="Q36" i="14"/>
  <c r="Q37" i="14"/>
  <c r="R17" i="13"/>
  <c r="Q20" i="13"/>
  <c r="D19" i="1"/>
  <c r="B22" i="9"/>
  <c r="B23" i="9"/>
  <c r="B24" i="9"/>
  <c r="AK12" i="9"/>
  <c r="J23" i="9" s="1"/>
  <c r="AL12" i="7"/>
  <c r="AL11" i="7"/>
  <c r="AK11" i="9" s="1"/>
  <c r="AL10" i="7"/>
  <c r="AK10" i="9" s="1"/>
  <c r="AE9" i="9"/>
  <c r="AE8" i="9"/>
  <c r="AE7" i="9"/>
  <c r="I23" i="7"/>
  <c r="I24" i="7"/>
  <c r="G23" i="7"/>
  <c r="G24" i="7"/>
  <c r="E23" i="7"/>
  <c r="E24" i="7"/>
  <c r="H23" i="9" l="1"/>
  <c r="H24" i="9"/>
  <c r="J24" i="9"/>
  <c r="B7" i="16"/>
  <c r="M14" i="13"/>
  <c r="N14" i="13" s="1"/>
  <c r="O14" i="13" s="1"/>
  <c r="N4" i="13"/>
  <c r="O4" i="13" s="1"/>
  <c r="F32" i="12"/>
  <c r="E49" i="12"/>
  <c r="F49" i="12" s="1"/>
  <c r="M15" i="14"/>
  <c r="G32" i="12"/>
  <c r="M9" i="14"/>
  <c r="N4" i="14"/>
  <c r="O4" i="14" s="1"/>
  <c r="E52" i="12"/>
  <c r="F52" i="12" s="1"/>
  <c r="M5" i="13"/>
  <c r="G35" i="12"/>
  <c r="F35" i="12"/>
  <c r="H38" i="12"/>
  <c r="G55" i="12"/>
  <c r="H55" i="12" s="1"/>
  <c r="I38" i="12"/>
  <c r="F40" i="12"/>
  <c r="E57" i="12"/>
  <c r="F57" i="12" s="1"/>
  <c r="G40" i="12"/>
  <c r="E50" i="12"/>
  <c r="F50" i="12" s="1"/>
  <c r="G33" i="12"/>
  <c r="M5" i="14"/>
  <c r="F33" i="12"/>
  <c r="E56" i="12"/>
  <c r="F56" i="12" s="1"/>
  <c r="G39" i="12"/>
  <c r="F39" i="12"/>
  <c r="G37" i="12"/>
  <c r="F37" i="12"/>
  <c r="E54" i="12"/>
  <c r="F54" i="12" s="1"/>
  <c r="M10" i="13"/>
  <c r="G34" i="12"/>
  <c r="E51" i="12"/>
  <c r="F51" i="12" s="1"/>
  <c r="F34" i="12"/>
  <c r="F36" i="12"/>
  <c r="E53" i="12"/>
  <c r="F53" i="12" s="1"/>
  <c r="G36" i="12"/>
  <c r="M24" i="14"/>
  <c r="N14" i="14"/>
  <c r="O14" i="14" s="1"/>
  <c r="F23" i="9"/>
  <c r="F24" i="9"/>
  <c r="B8" i="16" l="1"/>
  <c r="G51" i="12"/>
  <c r="H51" i="12" s="1"/>
  <c r="H34" i="12"/>
  <c r="M11" i="13"/>
  <c r="I34" i="12"/>
  <c r="G57" i="12"/>
  <c r="H57" i="12" s="1"/>
  <c r="I40" i="12"/>
  <c r="H40" i="12"/>
  <c r="N24" i="14"/>
  <c r="O24" i="14" s="1"/>
  <c r="M34" i="14"/>
  <c r="I39" i="12"/>
  <c r="G56" i="12"/>
  <c r="H56" i="12" s="1"/>
  <c r="H39" i="12"/>
  <c r="M6" i="14"/>
  <c r="G50" i="12"/>
  <c r="H50" i="12" s="1"/>
  <c r="I33" i="12"/>
  <c r="H33" i="12"/>
  <c r="G53" i="12"/>
  <c r="H53" i="12" s="1"/>
  <c r="I36" i="12"/>
  <c r="H36" i="12"/>
  <c r="I55" i="12"/>
  <c r="J55" i="12" s="1"/>
  <c r="J38" i="12"/>
  <c r="I35" i="12"/>
  <c r="H35" i="12"/>
  <c r="M6" i="13"/>
  <c r="G52" i="12"/>
  <c r="H52" i="12" s="1"/>
  <c r="N9" i="14"/>
  <c r="O9" i="14" s="1"/>
  <c r="M19" i="14"/>
  <c r="M15" i="13"/>
  <c r="N15" i="13" s="1"/>
  <c r="O15" i="13" s="1"/>
  <c r="N5" i="13"/>
  <c r="O5" i="13" s="1"/>
  <c r="G54" i="12"/>
  <c r="H54" i="12" s="1"/>
  <c r="I37" i="12"/>
  <c r="H37" i="12"/>
  <c r="G49" i="12"/>
  <c r="H49" i="12" s="1"/>
  <c r="I32" i="12"/>
  <c r="H32" i="12"/>
  <c r="M16" i="14"/>
  <c r="N10" i="13"/>
  <c r="O10" i="13" s="1"/>
  <c r="M20" i="13"/>
  <c r="N20" i="13" s="1"/>
  <c r="O20" i="13" s="1"/>
  <c r="M25" i="13"/>
  <c r="N25" i="13" s="1"/>
  <c r="O25" i="13" s="1"/>
  <c r="M10" i="14"/>
  <c r="N5" i="14"/>
  <c r="O5" i="14" s="1"/>
  <c r="M25" i="14"/>
  <c r="N15" i="14"/>
  <c r="O15" i="14" s="1"/>
  <c r="B9" i="16" l="1"/>
  <c r="N25" i="14"/>
  <c r="O25" i="14" s="1"/>
  <c r="M35" i="14"/>
  <c r="J32" i="12"/>
  <c r="I49" i="12"/>
  <c r="M17" i="14"/>
  <c r="I52" i="12"/>
  <c r="M7" i="13"/>
  <c r="J35" i="12"/>
  <c r="I56" i="12"/>
  <c r="J56" i="12" s="1"/>
  <c r="J39" i="12"/>
  <c r="M20" i="14"/>
  <c r="N10" i="14"/>
  <c r="O10" i="14" s="1"/>
  <c r="M26" i="14"/>
  <c r="N16" i="14"/>
  <c r="O16" i="14" s="1"/>
  <c r="M16" i="13"/>
  <c r="N16" i="13" s="1"/>
  <c r="O16" i="13" s="1"/>
  <c r="N6" i="13"/>
  <c r="O6" i="13" s="1"/>
  <c r="M12" i="13"/>
  <c r="I51" i="12"/>
  <c r="J34" i="12"/>
  <c r="I54" i="12"/>
  <c r="J54" i="12" s="1"/>
  <c r="J37" i="12"/>
  <c r="M29" i="14"/>
  <c r="N29" i="14" s="1"/>
  <c r="O29" i="14" s="1"/>
  <c r="N19" i="14"/>
  <c r="O19" i="14" s="1"/>
  <c r="I50" i="12"/>
  <c r="M7" i="14"/>
  <c r="J33" i="12"/>
  <c r="N11" i="13"/>
  <c r="O11" i="13" s="1"/>
  <c r="M26" i="13"/>
  <c r="N26" i="13" s="1"/>
  <c r="O26" i="13" s="1"/>
  <c r="M21" i="13"/>
  <c r="N21" i="13" s="1"/>
  <c r="O21" i="13" s="1"/>
  <c r="J36" i="12"/>
  <c r="I53" i="12"/>
  <c r="J53" i="12" s="1"/>
  <c r="J40" i="12"/>
  <c r="I57" i="12"/>
  <c r="J57" i="12" s="1"/>
  <c r="M11" i="14"/>
  <c r="N6" i="14"/>
  <c r="O6" i="14" s="1"/>
  <c r="M39" i="14"/>
  <c r="N39" i="14" s="1"/>
  <c r="O39" i="14" s="1"/>
  <c r="N34" i="14"/>
  <c r="O34" i="14" s="1"/>
  <c r="P7" i="7"/>
  <c r="AG9" i="7" s="1"/>
  <c r="I22" i="7" s="1"/>
  <c r="P6" i="7"/>
  <c r="AG8" i="7" s="1"/>
  <c r="G22" i="7" s="1"/>
  <c r="P12" i="7"/>
  <c r="P11" i="7"/>
  <c r="M7" i="7"/>
  <c r="M9" i="7"/>
  <c r="AL7" i="7" s="1"/>
  <c r="AK7" i="9" s="1"/>
  <c r="F22" i="9" s="1"/>
  <c r="M6" i="7"/>
  <c r="D2" i="16"/>
  <c r="D22" i="11"/>
  <c r="M14" i="7" s="1"/>
  <c r="M8" i="7" l="1"/>
  <c r="P12" i="9"/>
  <c r="AL9" i="7"/>
  <c r="AK9" i="9" s="1"/>
  <c r="J22" i="9" s="1"/>
  <c r="P11" i="9"/>
  <c r="AL8" i="7"/>
  <c r="AK8" i="9" s="1"/>
  <c r="H22" i="9" s="1"/>
  <c r="C3" i="16"/>
  <c r="C4" i="16" s="1"/>
  <c r="C5" i="16" s="1"/>
  <c r="C6" i="16" s="1"/>
  <c r="C7" i="16" s="1"/>
  <c r="C8" i="16" s="1"/>
  <c r="C9" i="16" s="1"/>
  <c r="C10" i="16" s="1"/>
  <c r="B10" i="16"/>
  <c r="M21" i="14"/>
  <c r="N11" i="14"/>
  <c r="O11" i="14" s="1"/>
  <c r="L51" i="12"/>
  <c r="J51" i="12"/>
  <c r="J52" i="12"/>
  <c r="L52" i="12"/>
  <c r="M40" i="14"/>
  <c r="N40" i="14" s="1"/>
  <c r="O40" i="14" s="1"/>
  <c r="N35" i="14"/>
  <c r="O35" i="14" s="1"/>
  <c r="M12" i="14"/>
  <c r="N7" i="14"/>
  <c r="O7" i="14" s="1"/>
  <c r="N12" i="13"/>
  <c r="O12" i="13" s="1"/>
  <c r="M27" i="13"/>
  <c r="N27" i="13" s="1"/>
  <c r="O27" i="13" s="1"/>
  <c r="M22" i="13"/>
  <c r="N22" i="13" s="1"/>
  <c r="O22" i="13" s="1"/>
  <c r="N26" i="14"/>
  <c r="O26" i="14" s="1"/>
  <c r="M36" i="14"/>
  <c r="M27" i="14"/>
  <c r="N17" i="14"/>
  <c r="O17" i="14" s="1"/>
  <c r="L50" i="12"/>
  <c r="J50" i="12"/>
  <c r="L49" i="12"/>
  <c r="J49" i="12"/>
  <c r="M30" i="14"/>
  <c r="N30" i="14" s="1"/>
  <c r="O30" i="14" s="1"/>
  <c r="N20" i="14"/>
  <c r="O20" i="14" s="1"/>
  <c r="M17" i="13"/>
  <c r="N17" i="13" s="1"/>
  <c r="O17" i="13" s="1"/>
  <c r="N7" i="13"/>
  <c r="O7" i="13" s="1"/>
  <c r="D12" i="1"/>
  <c r="J25" i="9" l="1"/>
  <c r="H25" i="9"/>
  <c r="D3" i="16"/>
  <c r="D4" i="16" s="1"/>
  <c r="D5" i="16" s="1"/>
  <c r="D6" i="16" s="1"/>
  <c r="D7" i="16" s="1"/>
  <c r="D8" i="16" s="1"/>
  <c r="D9" i="16" s="1"/>
  <c r="D10" i="16" s="1"/>
  <c r="B11" i="16"/>
  <c r="C11" i="16" s="1"/>
  <c r="M22" i="14"/>
  <c r="N12" i="14"/>
  <c r="O12" i="14" s="1"/>
  <c r="M31" i="14"/>
  <c r="N31" i="14" s="1"/>
  <c r="O31" i="14" s="1"/>
  <c r="N21" i="14"/>
  <c r="O21" i="14" s="1"/>
  <c r="N27" i="14"/>
  <c r="O27" i="14" s="1"/>
  <c r="M37" i="14"/>
  <c r="M41" i="14"/>
  <c r="N41" i="14" s="1"/>
  <c r="O41" i="14" s="1"/>
  <c r="N36" i="14"/>
  <c r="O36" i="14" s="1"/>
  <c r="P8" i="7"/>
  <c r="K25" i="7" s="1"/>
  <c r="D11" i="16" l="1"/>
  <c r="B12" i="16"/>
  <c r="C12" i="16" s="1"/>
  <c r="M42" i="14"/>
  <c r="N42" i="14" s="1"/>
  <c r="O42" i="14" s="1"/>
  <c r="N37" i="14"/>
  <c r="O37" i="14" s="1"/>
  <c r="M32" i="14"/>
  <c r="N32" i="14" s="1"/>
  <c r="O32" i="14" s="1"/>
  <c r="N22" i="14"/>
  <c r="O22" i="14" s="1"/>
  <c r="D13" i="1"/>
  <c r="B13" i="16" l="1"/>
  <c r="C13" i="16" s="1"/>
  <c r="D12" i="16"/>
  <c r="C4" i="1"/>
  <c r="B14" i="16" l="1"/>
  <c r="C14" i="16" s="1"/>
  <c r="D13" i="16"/>
  <c r="T11" i="7"/>
  <c r="C46" i="1"/>
  <c r="C37" i="1"/>
  <c r="AA10" i="7"/>
  <c r="AA9" i="7"/>
  <c r="AA8" i="7"/>
  <c r="D20" i="1"/>
  <c r="D14" i="1"/>
  <c r="D10" i="1"/>
  <c r="D11" i="1"/>
  <c r="D21" i="1"/>
  <c r="F60" i="1" l="1"/>
  <c r="H60" i="1"/>
  <c r="D14" i="16"/>
  <c r="B15" i="16"/>
  <c r="C15" i="16" s="1"/>
  <c r="V22" i="7"/>
  <c r="AF22" i="7" s="1"/>
  <c r="V23" i="7"/>
  <c r="AF23" i="7" s="1"/>
  <c r="V24" i="7"/>
  <c r="AF24" i="7" s="1"/>
  <c r="D15" i="16" l="1"/>
  <c r="B16" i="16"/>
  <c r="C16" i="16" s="1"/>
  <c r="M15" i="7"/>
  <c r="M2" i="7" s="1"/>
  <c r="B17" i="16" l="1"/>
  <c r="C17" i="16" s="1"/>
  <c r="D16" i="16"/>
  <c r="D36" i="1"/>
  <c r="E62" i="16" s="1"/>
  <c r="I100" i="9"/>
  <c r="I101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99" i="9"/>
  <c r="G100" i="9"/>
  <c r="G101" i="9"/>
  <c r="G99" i="9"/>
  <c r="D163" i="9"/>
  <c r="B18" i="16" l="1"/>
  <c r="C18" i="16" s="1"/>
  <c r="D17" i="16"/>
  <c r="D15" i="1"/>
  <c r="A11" i="1"/>
  <c r="A12" i="1" s="1"/>
  <c r="A13" i="1" s="1"/>
  <c r="A14" i="1" s="1"/>
  <c r="A15" i="1" s="1"/>
  <c r="A19" i="1" s="1"/>
  <c r="A20" i="1" s="1"/>
  <c r="A21" i="1" s="1"/>
  <c r="A27" i="1" s="1"/>
  <c r="D18" i="16" l="1"/>
  <c r="B19" i="16"/>
  <c r="C19" i="16" s="1"/>
  <c r="E101" i="10"/>
  <c r="E102" i="10"/>
  <c r="E100" i="10"/>
  <c r="L101" i="10"/>
  <c r="L103" i="10"/>
  <c r="L104" i="10"/>
  <c r="L106" i="10"/>
  <c r="L107" i="10"/>
  <c r="L109" i="10"/>
  <c r="L110" i="10"/>
  <c r="L112" i="10"/>
  <c r="L113" i="10"/>
  <c r="L115" i="10"/>
  <c r="L116" i="10"/>
  <c r="L118" i="10"/>
  <c r="L119" i="10"/>
  <c r="L121" i="10"/>
  <c r="L122" i="10"/>
  <c r="L124" i="10"/>
  <c r="L125" i="10"/>
  <c r="L127" i="10"/>
  <c r="L128" i="10"/>
  <c r="L130" i="10"/>
  <c r="L131" i="10"/>
  <c r="L133" i="10"/>
  <c r="L134" i="10"/>
  <c r="L136" i="10"/>
  <c r="L137" i="10"/>
  <c r="L139" i="10"/>
  <c r="L140" i="10"/>
  <c r="L142" i="10"/>
  <c r="L143" i="10"/>
  <c r="L145" i="10"/>
  <c r="L146" i="10"/>
  <c r="L148" i="10"/>
  <c r="L149" i="10"/>
  <c r="L151" i="10"/>
  <c r="L152" i="10"/>
  <c r="L154" i="10"/>
  <c r="L155" i="10"/>
  <c r="L157" i="10"/>
  <c r="L158" i="10"/>
  <c r="L160" i="10"/>
  <c r="L161" i="10"/>
  <c r="L163" i="10"/>
  <c r="L164" i="10"/>
  <c r="L166" i="10"/>
  <c r="L167" i="10"/>
  <c r="L100" i="10"/>
  <c r="L99" i="10"/>
  <c r="O99" i="10" s="1"/>
  <c r="D19" i="16" l="1"/>
  <c r="B20" i="16"/>
  <c r="C20" i="16" s="1"/>
  <c r="D168" i="10"/>
  <c r="E99" i="10"/>
  <c r="AC25" i="10"/>
  <c r="L102" i="10" s="1"/>
  <c r="AD24" i="10"/>
  <c r="AC24" i="10"/>
  <c r="AD23" i="10"/>
  <c r="AC23" i="10"/>
  <c r="AG23" i="10" s="1"/>
  <c r="AD22" i="10"/>
  <c r="AC22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2" i="10"/>
  <c r="B102" i="10"/>
  <c r="I101" i="10"/>
  <c r="G101" i="10"/>
  <c r="K101" i="10" s="1"/>
  <c r="I100" i="10"/>
  <c r="G100" i="10"/>
  <c r="K100" i="10" s="1"/>
  <c r="I99" i="10"/>
  <c r="G99" i="10"/>
  <c r="AA91" i="10"/>
  <c r="X91" i="10"/>
  <c r="AU28" i="10"/>
  <c r="AU29" i="10" s="1"/>
  <c r="B26" i="10"/>
  <c r="B103" i="10" s="1"/>
  <c r="D25" i="10"/>
  <c r="C25" i="10"/>
  <c r="C26" i="10" s="1"/>
  <c r="D27" i="10" s="1"/>
  <c r="Z24" i="10"/>
  <c r="C24" i="10"/>
  <c r="C23" i="10" s="1"/>
  <c r="C22" i="10" s="1"/>
  <c r="Z23" i="10"/>
  <c r="Z22" i="10"/>
  <c r="B22" i="10"/>
  <c r="B23" i="10" s="1"/>
  <c r="B100" i="10" s="1"/>
  <c r="AH16" i="10"/>
  <c r="P14" i="10"/>
  <c r="P13" i="10"/>
  <c r="P12" i="10"/>
  <c r="T11" i="10"/>
  <c r="M11" i="10"/>
  <c r="T10" i="10"/>
  <c r="M10" i="10"/>
  <c r="T9" i="10"/>
  <c r="P9" i="10"/>
  <c r="J9" i="10"/>
  <c r="T8" i="10"/>
  <c r="P8" i="10"/>
  <c r="J8" i="10"/>
  <c r="G8" i="10"/>
  <c r="Z7" i="10"/>
  <c r="T7" i="10"/>
  <c r="P7" i="10"/>
  <c r="AF9" i="10" s="1"/>
  <c r="M7" i="10"/>
  <c r="P6" i="10"/>
  <c r="AF8" i="10" s="1"/>
  <c r="E167" i="9"/>
  <c r="AF86" i="9"/>
  <c r="Z7" i="9"/>
  <c r="T8" i="9"/>
  <c r="T9" i="9"/>
  <c r="T10" i="9"/>
  <c r="T11" i="9"/>
  <c r="T7" i="9"/>
  <c r="P7" i="9"/>
  <c r="P8" i="9"/>
  <c r="P9" i="9"/>
  <c r="P6" i="9"/>
  <c r="J8" i="9"/>
  <c r="J9" i="9"/>
  <c r="M7" i="9"/>
  <c r="M10" i="9"/>
  <c r="M11" i="9"/>
  <c r="D26" i="10" l="1"/>
  <c r="B21" i="16"/>
  <c r="C21" i="16" s="1"/>
  <c r="D20" i="16"/>
  <c r="AG24" i="10"/>
  <c r="AD25" i="10"/>
  <c r="Y91" i="10"/>
  <c r="I103" i="10"/>
  <c r="G104" i="10"/>
  <c r="Z91" i="10"/>
  <c r="G102" i="10"/>
  <c r="K102" i="10" s="1"/>
  <c r="G105" i="10"/>
  <c r="G103" i="10"/>
  <c r="B99" i="10"/>
  <c r="B24" i="10"/>
  <c r="B101" i="10" s="1"/>
  <c r="C27" i="10"/>
  <c r="AU30" i="10"/>
  <c r="D22" i="10"/>
  <c r="B27" i="10"/>
  <c r="K99" i="10"/>
  <c r="P99" i="10" s="1"/>
  <c r="R99" i="10" s="1"/>
  <c r="I168" i="10"/>
  <c r="B22" i="16" l="1"/>
  <c r="C22" i="16" s="1"/>
  <c r="D21" i="16"/>
  <c r="Q100" i="10"/>
  <c r="S99" i="10"/>
  <c r="AU31" i="10"/>
  <c r="D28" i="10"/>
  <c r="C28" i="10"/>
  <c r="B104" i="10"/>
  <c r="B28" i="10"/>
  <c r="G106" i="10"/>
  <c r="E99" i="9"/>
  <c r="E100" i="9"/>
  <c r="E101" i="9"/>
  <c r="E102" i="9"/>
  <c r="D22" i="16" l="1"/>
  <c r="B23" i="16"/>
  <c r="C23" i="16" s="1"/>
  <c r="B105" i="10"/>
  <c r="B29" i="10"/>
  <c r="C29" i="10"/>
  <c r="D29" i="10"/>
  <c r="AU32" i="10"/>
  <c r="G107" i="10"/>
  <c r="Z23" i="9"/>
  <c r="Z24" i="9"/>
  <c r="Z25" i="9"/>
  <c r="Z22" i="9"/>
  <c r="AU28" i="9"/>
  <c r="X91" i="9"/>
  <c r="T91" i="9"/>
  <c r="L25" i="9"/>
  <c r="L91" i="9" s="1"/>
  <c r="D25" i="9"/>
  <c r="C25" i="9"/>
  <c r="D26" i="9" s="1"/>
  <c r="AA91" i="9"/>
  <c r="AF9" i="9"/>
  <c r="AF8" i="9"/>
  <c r="G8" i="9"/>
  <c r="D44" i="1"/>
  <c r="D52" i="1"/>
  <c r="D23" i="16" l="1"/>
  <c r="B24" i="16"/>
  <c r="C24" i="16" s="1"/>
  <c r="AU33" i="10"/>
  <c r="B106" i="10"/>
  <c r="B30" i="10"/>
  <c r="G108" i="10"/>
  <c r="D30" i="10"/>
  <c r="C30" i="10"/>
  <c r="K99" i="9"/>
  <c r="C24" i="9"/>
  <c r="C23" i="9" s="1"/>
  <c r="C22" i="9" s="1"/>
  <c r="C26" i="9"/>
  <c r="D22" i="9"/>
  <c r="J91" i="9"/>
  <c r="AU29" i="9"/>
  <c r="B25" i="16" l="1"/>
  <c r="C25" i="16" s="1"/>
  <c r="D24" i="16"/>
  <c r="C31" i="10"/>
  <c r="D31" i="10"/>
  <c r="G109" i="10"/>
  <c r="AU34" i="10"/>
  <c r="B107" i="10"/>
  <c r="B31" i="10"/>
  <c r="C27" i="9"/>
  <c r="C28" i="9" s="1"/>
  <c r="D27" i="9"/>
  <c r="AU30" i="9"/>
  <c r="B26" i="16" l="1"/>
  <c r="C26" i="16" s="1"/>
  <c r="D25" i="16"/>
  <c r="G110" i="10"/>
  <c r="AU35" i="10"/>
  <c r="D32" i="10"/>
  <c r="C32" i="10"/>
  <c r="B108" i="10"/>
  <c r="B32" i="10"/>
  <c r="D28" i="9"/>
  <c r="B26" i="9"/>
  <c r="B102" i="9"/>
  <c r="AU31" i="9"/>
  <c r="D29" i="9"/>
  <c r="C29" i="9"/>
  <c r="D26" i="16" l="1"/>
  <c r="B27" i="16"/>
  <c r="C27" i="16" s="1"/>
  <c r="D33" i="10"/>
  <c r="C33" i="10"/>
  <c r="G111" i="10"/>
  <c r="B109" i="10"/>
  <c r="B33" i="10"/>
  <c r="AU36" i="10"/>
  <c r="D30" i="9"/>
  <c r="C30" i="9"/>
  <c r="AU32" i="9"/>
  <c r="R91" i="9"/>
  <c r="B103" i="9"/>
  <c r="B27" i="9"/>
  <c r="D27" i="16" l="1"/>
  <c r="B28" i="16"/>
  <c r="C28" i="16" s="1"/>
  <c r="B110" i="10"/>
  <c r="B34" i="10"/>
  <c r="D34" i="10"/>
  <c r="C34" i="10"/>
  <c r="G112" i="10"/>
  <c r="AU37" i="10"/>
  <c r="D31" i="9"/>
  <c r="C31" i="9"/>
  <c r="B28" i="9"/>
  <c r="B104" i="9"/>
  <c r="AU33" i="9"/>
  <c r="B29" i="16" l="1"/>
  <c r="C29" i="16" s="1"/>
  <c r="D28" i="16"/>
  <c r="G113" i="10"/>
  <c r="B111" i="10"/>
  <c r="B35" i="10"/>
  <c r="AU38" i="10"/>
  <c r="C35" i="10"/>
  <c r="D35" i="10"/>
  <c r="AU34" i="9"/>
  <c r="B105" i="9"/>
  <c r="B29" i="9"/>
  <c r="C32" i="9"/>
  <c r="D32" i="9"/>
  <c r="B30" i="16" l="1"/>
  <c r="C30" i="16" s="1"/>
  <c r="D29" i="16"/>
  <c r="AU39" i="10"/>
  <c r="B112" i="10"/>
  <c r="B36" i="10"/>
  <c r="D36" i="10"/>
  <c r="C36" i="10"/>
  <c r="G114" i="10"/>
  <c r="D33" i="9"/>
  <c r="C33" i="9"/>
  <c r="B106" i="9"/>
  <c r="B30" i="9"/>
  <c r="AU35" i="9"/>
  <c r="D30" i="16" l="1"/>
  <c r="B31" i="16"/>
  <c r="C31" i="16" s="1"/>
  <c r="C37" i="10"/>
  <c r="D37" i="10"/>
  <c r="B113" i="10"/>
  <c r="B37" i="10"/>
  <c r="G115" i="10"/>
  <c r="AU40" i="10"/>
  <c r="B31" i="9"/>
  <c r="B107" i="9"/>
  <c r="D34" i="9"/>
  <c r="C34" i="9"/>
  <c r="AU36" i="9"/>
  <c r="D31" i="16" l="1"/>
  <c r="B32" i="16"/>
  <c r="C32" i="16" s="1"/>
  <c r="AU41" i="10"/>
  <c r="C38" i="10"/>
  <c r="D38" i="10"/>
  <c r="G116" i="10"/>
  <c r="B38" i="10"/>
  <c r="B114" i="10"/>
  <c r="B32" i="9"/>
  <c r="B108" i="9"/>
  <c r="AU37" i="9"/>
  <c r="D35" i="9"/>
  <c r="C35" i="9"/>
  <c r="B33" i="16" l="1"/>
  <c r="C33" i="16" s="1"/>
  <c r="D32" i="16"/>
  <c r="B115" i="10"/>
  <c r="B39" i="10"/>
  <c r="D39" i="10"/>
  <c r="C39" i="10"/>
  <c r="G117" i="10"/>
  <c r="AU42" i="10"/>
  <c r="C36" i="9"/>
  <c r="D36" i="9"/>
  <c r="AU38" i="9"/>
  <c r="B109" i="9"/>
  <c r="B33" i="9"/>
  <c r="B34" i="16" l="1"/>
  <c r="C34" i="16" s="1"/>
  <c r="D33" i="16"/>
  <c r="AU43" i="10"/>
  <c r="D40" i="10"/>
  <c r="C40" i="10"/>
  <c r="G118" i="10"/>
  <c r="B116" i="10"/>
  <c r="B40" i="10"/>
  <c r="B110" i="9"/>
  <c r="B34" i="9"/>
  <c r="AU39" i="9"/>
  <c r="C37" i="9"/>
  <c r="D37" i="9"/>
  <c r="D34" i="16" l="1"/>
  <c r="B35" i="16"/>
  <c r="C35" i="16" s="1"/>
  <c r="B117" i="10"/>
  <c r="B41" i="10"/>
  <c r="G119" i="10"/>
  <c r="D41" i="10"/>
  <c r="C41" i="10"/>
  <c r="AU44" i="10"/>
  <c r="B35" i="9"/>
  <c r="B111" i="9"/>
  <c r="D38" i="9"/>
  <c r="C38" i="9"/>
  <c r="AU40" i="9"/>
  <c r="D35" i="16" l="1"/>
  <c r="B36" i="16"/>
  <c r="C36" i="16" s="1"/>
  <c r="G120" i="10"/>
  <c r="C42" i="10"/>
  <c r="D42" i="10"/>
  <c r="B118" i="10"/>
  <c r="B42" i="10"/>
  <c r="AU45" i="10"/>
  <c r="D39" i="9"/>
  <c r="C39" i="9"/>
  <c r="AU41" i="9"/>
  <c r="B36" i="9"/>
  <c r="B112" i="9"/>
  <c r="B37" i="16" l="1"/>
  <c r="C37" i="16" s="1"/>
  <c r="D36" i="16"/>
  <c r="D43" i="10"/>
  <c r="C43" i="10"/>
  <c r="AU46" i="10"/>
  <c r="G121" i="10"/>
  <c r="B43" i="10"/>
  <c r="B119" i="10"/>
  <c r="AU42" i="9"/>
  <c r="B37" i="9"/>
  <c r="B113" i="9"/>
  <c r="D40" i="9"/>
  <c r="C40" i="9"/>
  <c r="B38" i="16" l="1"/>
  <c r="C38" i="16" s="1"/>
  <c r="D37" i="16"/>
  <c r="G122" i="10"/>
  <c r="D44" i="10"/>
  <c r="C44" i="10"/>
  <c r="B120" i="10"/>
  <c r="B44" i="10"/>
  <c r="AU47" i="10"/>
  <c r="C41" i="9"/>
  <c r="D41" i="9"/>
  <c r="AU43" i="9"/>
  <c r="B114" i="9"/>
  <c r="B38" i="9"/>
  <c r="D38" i="16" l="1"/>
  <c r="B39" i="16"/>
  <c r="C39" i="16" s="1"/>
  <c r="AU48" i="10"/>
  <c r="B121" i="10"/>
  <c r="B45" i="10"/>
  <c r="D45" i="10"/>
  <c r="C45" i="10"/>
  <c r="G123" i="10"/>
  <c r="B115" i="9"/>
  <c r="B39" i="9"/>
  <c r="AU44" i="9"/>
  <c r="D42" i="9"/>
  <c r="C42" i="9"/>
  <c r="D39" i="16" l="1"/>
  <c r="B40" i="16"/>
  <c r="C40" i="16" s="1"/>
  <c r="B122" i="10"/>
  <c r="B46" i="10"/>
  <c r="AU49" i="10"/>
  <c r="C46" i="10"/>
  <c r="D46" i="10"/>
  <c r="G124" i="10"/>
  <c r="B40" i="9"/>
  <c r="B116" i="9"/>
  <c r="AU45" i="9"/>
  <c r="D43" i="9"/>
  <c r="C43" i="9"/>
  <c r="B41" i="16" l="1"/>
  <c r="C41" i="16" s="1"/>
  <c r="D40" i="16"/>
  <c r="G125" i="10"/>
  <c r="D47" i="10"/>
  <c r="C47" i="10"/>
  <c r="AU50" i="10"/>
  <c r="B123" i="10"/>
  <c r="B47" i="10"/>
  <c r="B41" i="9"/>
  <c r="B117" i="9"/>
  <c r="D44" i="9"/>
  <c r="C44" i="9"/>
  <c r="AU46" i="9"/>
  <c r="B42" i="16" l="1"/>
  <c r="C42" i="16" s="1"/>
  <c r="D41" i="16"/>
  <c r="B124" i="10"/>
  <c r="B48" i="10"/>
  <c r="G126" i="10"/>
  <c r="AU51" i="10"/>
  <c r="D48" i="10"/>
  <c r="C48" i="10"/>
  <c r="AU47" i="9"/>
  <c r="B118" i="9"/>
  <c r="B42" i="9"/>
  <c r="C45" i="9"/>
  <c r="D45" i="9"/>
  <c r="D42" i="16" l="1"/>
  <c r="B43" i="16"/>
  <c r="C43" i="16" s="1"/>
  <c r="D49" i="10"/>
  <c r="C49" i="10"/>
  <c r="AU52" i="10"/>
  <c r="B125" i="10"/>
  <c r="B49" i="10"/>
  <c r="G127" i="10"/>
  <c r="B119" i="9"/>
  <c r="B43" i="9"/>
  <c r="D46" i="9"/>
  <c r="C46" i="9"/>
  <c r="AU48" i="9"/>
  <c r="D43" i="16" l="1"/>
  <c r="B44" i="16"/>
  <c r="C44" i="16" s="1"/>
  <c r="G128" i="10"/>
  <c r="B126" i="10"/>
  <c r="B50" i="10"/>
  <c r="AU53" i="10"/>
  <c r="C50" i="10"/>
  <c r="D50" i="10"/>
  <c r="D47" i="9"/>
  <c r="C47" i="9"/>
  <c r="AU49" i="9"/>
  <c r="B44" i="9"/>
  <c r="B120" i="9"/>
  <c r="B45" i="16" l="1"/>
  <c r="C45" i="16" s="1"/>
  <c r="D44" i="16"/>
  <c r="G129" i="10"/>
  <c r="D51" i="10"/>
  <c r="C51" i="10"/>
  <c r="B127" i="10"/>
  <c r="B51" i="10"/>
  <c r="AU54" i="10"/>
  <c r="C48" i="9"/>
  <c r="D48" i="9"/>
  <c r="AU50" i="9"/>
  <c r="B45" i="9"/>
  <c r="B121" i="9"/>
  <c r="B46" i="16" l="1"/>
  <c r="C46" i="16" s="1"/>
  <c r="D45" i="16"/>
  <c r="AU55" i="10"/>
  <c r="G130" i="10"/>
  <c r="B128" i="10"/>
  <c r="B52" i="10"/>
  <c r="D52" i="10"/>
  <c r="C52" i="10"/>
  <c r="AU51" i="9"/>
  <c r="B122" i="9"/>
  <c r="B46" i="9"/>
  <c r="C49" i="9"/>
  <c r="D49" i="9"/>
  <c r="D46" i="16" l="1"/>
  <c r="B47" i="16"/>
  <c r="C47" i="16" s="1"/>
  <c r="AU56" i="10"/>
  <c r="B129" i="10"/>
  <c r="B53" i="10"/>
  <c r="D53" i="10"/>
  <c r="C53" i="10"/>
  <c r="G131" i="10"/>
  <c r="D50" i="9"/>
  <c r="C50" i="9"/>
  <c r="B47" i="9"/>
  <c r="B123" i="9"/>
  <c r="AU52" i="9"/>
  <c r="D47" i="16" l="1"/>
  <c r="B48" i="16"/>
  <c r="C48" i="16" s="1"/>
  <c r="C54" i="10"/>
  <c r="D54" i="10"/>
  <c r="AU57" i="10"/>
  <c r="B130" i="10"/>
  <c r="B54" i="10"/>
  <c r="G132" i="10"/>
  <c r="B48" i="9"/>
  <c r="B124" i="9"/>
  <c r="D51" i="9"/>
  <c r="C51" i="9"/>
  <c r="AU53" i="9"/>
  <c r="B49" i="16" l="1"/>
  <c r="C49" i="16" s="1"/>
  <c r="D48" i="16"/>
  <c r="B131" i="10"/>
  <c r="B55" i="10"/>
  <c r="AU58" i="10"/>
  <c r="G133" i="10"/>
  <c r="D55" i="10"/>
  <c r="C55" i="10"/>
  <c r="B49" i="9"/>
  <c r="B125" i="9"/>
  <c r="D52" i="9"/>
  <c r="C52" i="9"/>
  <c r="AU54" i="9"/>
  <c r="B50" i="16" l="1"/>
  <c r="C50" i="16" s="1"/>
  <c r="D49" i="16"/>
  <c r="AU59" i="10"/>
  <c r="D56" i="10"/>
  <c r="C56" i="10"/>
  <c r="G134" i="10"/>
  <c r="B132" i="10"/>
  <c r="B56" i="10"/>
  <c r="B126" i="9"/>
  <c r="B50" i="9"/>
  <c r="C53" i="9"/>
  <c r="D53" i="9"/>
  <c r="AU55" i="9"/>
  <c r="D50" i="16" l="1"/>
  <c r="B51" i="16"/>
  <c r="C51" i="16" s="1"/>
  <c r="D57" i="10"/>
  <c r="C57" i="10"/>
  <c r="G135" i="10"/>
  <c r="AU60" i="10"/>
  <c r="B133" i="10"/>
  <c r="B57" i="10"/>
  <c r="B127" i="9"/>
  <c r="B51" i="9"/>
  <c r="AU56" i="9"/>
  <c r="D54" i="9"/>
  <c r="C54" i="9"/>
  <c r="G70" i="1" l="1"/>
  <c r="H70" i="1"/>
  <c r="D51" i="16"/>
  <c r="B52" i="16"/>
  <c r="C52" i="16" s="1"/>
  <c r="B134" i="10"/>
  <c r="B58" i="10"/>
  <c r="G136" i="10"/>
  <c r="AU61" i="10"/>
  <c r="C58" i="10"/>
  <c r="D58" i="10"/>
  <c r="B52" i="9"/>
  <c r="B128" i="9"/>
  <c r="D55" i="9"/>
  <c r="C55" i="9"/>
  <c r="AU57" i="9"/>
  <c r="G67" i="1" l="1"/>
  <c r="H67" i="1" s="1"/>
  <c r="G68" i="1"/>
  <c r="H68" i="1" s="1"/>
  <c r="B53" i="16"/>
  <c r="C53" i="16" s="1"/>
  <c r="D52" i="16"/>
  <c r="B135" i="10"/>
  <c r="B59" i="10"/>
  <c r="D59" i="10"/>
  <c r="C59" i="10"/>
  <c r="G137" i="10"/>
  <c r="AU62" i="10"/>
  <c r="C56" i="9"/>
  <c r="D56" i="9"/>
  <c r="B129" i="9"/>
  <c r="B53" i="9"/>
  <c r="AU58" i="9"/>
  <c r="B54" i="16" l="1"/>
  <c r="C54" i="16" s="1"/>
  <c r="D53" i="16"/>
  <c r="AU63" i="10"/>
  <c r="G138" i="10"/>
  <c r="B136" i="10"/>
  <c r="B60" i="10"/>
  <c r="D60" i="10"/>
  <c r="C60" i="10"/>
  <c r="AU59" i="9"/>
  <c r="B130" i="9"/>
  <c r="B54" i="9"/>
  <c r="C57" i="9"/>
  <c r="D57" i="9"/>
  <c r="D54" i="16" l="1"/>
  <c r="B55" i="16"/>
  <c r="C55" i="16" s="1"/>
  <c r="G139" i="10"/>
  <c r="D61" i="10"/>
  <c r="C61" i="10"/>
  <c r="B137" i="10"/>
  <c r="B61" i="10"/>
  <c r="AU64" i="10"/>
  <c r="B131" i="9"/>
  <c r="B55" i="9"/>
  <c r="D58" i="9"/>
  <c r="C58" i="9"/>
  <c r="AU60" i="9"/>
  <c r="D55" i="16" l="1"/>
  <c r="B56" i="16"/>
  <c r="C56" i="16" s="1"/>
  <c r="C62" i="10"/>
  <c r="D62" i="10"/>
  <c r="G140" i="10"/>
  <c r="AU65" i="10"/>
  <c r="B138" i="10"/>
  <c r="B62" i="10"/>
  <c r="AU61" i="9"/>
  <c r="D59" i="9"/>
  <c r="C59" i="9"/>
  <c r="B56" i="9"/>
  <c r="B132" i="9"/>
  <c r="B57" i="16" l="1"/>
  <c r="C57" i="16" s="1"/>
  <c r="D56" i="16"/>
  <c r="AU66" i="10"/>
  <c r="G141" i="10"/>
  <c r="B139" i="10"/>
  <c r="B63" i="10"/>
  <c r="D63" i="10"/>
  <c r="C63" i="10"/>
  <c r="C60" i="9"/>
  <c r="D60" i="9"/>
  <c r="B57" i="9"/>
  <c r="B133" i="9"/>
  <c r="AU62" i="9"/>
  <c r="B58" i="16" l="1"/>
  <c r="C58" i="16" s="1"/>
  <c r="D57" i="16"/>
  <c r="AU67" i="10"/>
  <c r="B140" i="10"/>
  <c r="B64" i="10"/>
  <c r="D64" i="10"/>
  <c r="C64" i="10"/>
  <c r="G142" i="10"/>
  <c r="B134" i="9"/>
  <c r="B58" i="9"/>
  <c r="C61" i="9"/>
  <c r="D61" i="9"/>
  <c r="AU63" i="9"/>
  <c r="D58" i="16" l="1"/>
  <c r="B59" i="16"/>
  <c r="C59" i="16" s="1"/>
  <c r="D65" i="10"/>
  <c r="C65" i="10"/>
  <c r="G143" i="10"/>
  <c r="B141" i="10"/>
  <c r="B65" i="10"/>
  <c r="AU68" i="10"/>
  <c r="C62" i="9"/>
  <c r="D62" i="9"/>
  <c r="B59" i="9"/>
  <c r="B135" i="9"/>
  <c r="AU64" i="9"/>
  <c r="D59" i="16" l="1"/>
  <c r="B60" i="16"/>
  <c r="C60" i="16" s="1"/>
  <c r="G144" i="10"/>
  <c r="C66" i="10"/>
  <c r="D66" i="10"/>
  <c r="AU69" i="10"/>
  <c r="B142" i="10"/>
  <c r="B66" i="10"/>
  <c r="AU65" i="9"/>
  <c r="D63" i="9"/>
  <c r="C63" i="9"/>
  <c r="B60" i="9"/>
  <c r="B136" i="9"/>
  <c r="B61" i="16" l="1"/>
  <c r="C61" i="16" s="1"/>
  <c r="D60" i="16"/>
  <c r="G145" i="10"/>
  <c r="C67" i="10"/>
  <c r="D67" i="10"/>
  <c r="B143" i="10"/>
  <c r="B67" i="10"/>
  <c r="AU70" i="10"/>
  <c r="B61" i="9"/>
  <c r="B137" i="9"/>
  <c r="C64" i="9"/>
  <c r="D64" i="9"/>
  <c r="AU66" i="9"/>
  <c r="B62" i="16" l="1"/>
  <c r="C62" i="16" s="1"/>
  <c r="D61" i="16"/>
  <c r="G146" i="10"/>
  <c r="B144" i="10"/>
  <c r="B68" i="10"/>
  <c r="AU71" i="10"/>
  <c r="D68" i="10"/>
  <c r="C68" i="10"/>
  <c r="D65" i="9"/>
  <c r="C65" i="9"/>
  <c r="AU67" i="9"/>
  <c r="B62" i="9"/>
  <c r="B138" i="9"/>
  <c r="D62" i="16" l="1"/>
  <c r="F62" i="16" s="1"/>
  <c r="G147" i="10"/>
  <c r="B69" i="10"/>
  <c r="B145" i="10"/>
  <c r="AU72" i="10"/>
  <c r="D69" i="10"/>
  <c r="C69" i="10"/>
  <c r="B139" i="9"/>
  <c r="B63" i="9"/>
  <c r="AU68" i="9"/>
  <c r="C66" i="9"/>
  <c r="D66" i="9"/>
  <c r="AU73" i="10" l="1"/>
  <c r="C70" i="10"/>
  <c r="D70" i="10"/>
  <c r="G148" i="10"/>
  <c r="B146" i="10"/>
  <c r="B70" i="10"/>
  <c r="AU69" i="9"/>
  <c r="D67" i="9"/>
  <c r="C67" i="9"/>
  <c r="B140" i="9"/>
  <c r="B64" i="9"/>
  <c r="AU74" i="10" l="1"/>
  <c r="B147" i="10"/>
  <c r="B71" i="10"/>
  <c r="D71" i="10"/>
  <c r="C71" i="10"/>
  <c r="G149" i="10"/>
  <c r="D68" i="9"/>
  <c r="C68" i="9"/>
  <c r="B65" i="9"/>
  <c r="B141" i="9"/>
  <c r="AU70" i="9"/>
  <c r="D72" i="10" l="1"/>
  <c r="C72" i="10"/>
  <c r="G150" i="10"/>
  <c r="AU75" i="10"/>
  <c r="B148" i="10"/>
  <c r="B72" i="10"/>
  <c r="B142" i="9"/>
  <c r="B66" i="9"/>
  <c r="AU71" i="9"/>
  <c r="D69" i="9"/>
  <c r="C69" i="9"/>
  <c r="AU76" i="10" l="1"/>
  <c r="B149" i="10"/>
  <c r="B73" i="10"/>
  <c r="D73" i="10"/>
  <c r="C73" i="10"/>
  <c r="G151" i="10"/>
  <c r="AU72" i="9"/>
  <c r="C70" i="9"/>
  <c r="D70" i="9"/>
  <c r="B143" i="9"/>
  <c r="B67" i="9"/>
  <c r="G152" i="10" l="1"/>
  <c r="C74" i="10"/>
  <c r="D74" i="10"/>
  <c r="B150" i="10"/>
  <c r="B74" i="10"/>
  <c r="AU77" i="10"/>
  <c r="B68" i="9"/>
  <c r="B144" i="9"/>
  <c r="AU73" i="9"/>
  <c r="C71" i="9"/>
  <c r="D71" i="9"/>
  <c r="D75" i="10" l="1"/>
  <c r="C75" i="10"/>
  <c r="G153" i="10"/>
  <c r="B151" i="10"/>
  <c r="B75" i="10"/>
  <c r="AU78" i="10"/>
  <c r="D72" i="9"/>
  <c r="C72" i="9"/>
  <c r="AU74" i="9"/>
  <c r="B69" i="9"/>
  <c r="B145" i="9"/>
  <c r="B152" i="10" l="1"/>
  <c r="B76" i="10"/>
  <c r="AU79" i="10"/>
  <c r="D76" i="10"/>
  <c r="C76" i="10"/>
  <c r="G154" i="10"/>
  <c r="B70" i="9"/>
  <c r="B146" i="9"/>
  <c r="AU75" i="9"/>
  <c r="D73" i="9"/>
  <c r="C73" i="9"/>
  <c r="G155" i="10" l="1"/>
  <c r="D77" i="10"/>
  <c r="C77" i="10"/>
  <c r="AU80" i="10"/>
  <c r="B153" i="10"/>
  <c r="B77" i="10"/>
  <c r="D74" i="9"/>
  <c r="C74" i="9"/>
  <c r="AU76" i="9"/>
  <c r="B71" i="9"/>
  <c r="B147" i="9"/>
  <c r="G156" i="10" l="1"/>
  <c r="B154" i="10"/>
  <c r="B78" i="10"/>
  <c r="C78" i="10"/>
  <c r="D78" i="10"/>
  <c r="AU81" i="10"/>
  <c r="B148" i="9"/>
  <c r="B72" i="9"/>
  <c r="C75" i="9"/>
  <c r="D75" i="9"/>
  <c r="AU77" i="9"/>
  <c r="B155" i="10" l="1"/>
  <c r="B79" i="10"/>
  <c r="G157" i="10"/>
  <c r="AU82" i="10"/>
  <c r="D79" i="10"/>
  <c r="C79" i="10"/>
  <c r="AU78" i="9"/>
  <c r="C76" i="9"/>
  <c r="D76" i="9"/>
  <c r="B149" i="9"/>
  <c r="B73" i="9"/>
  <c r="G158" i="10" l="1"/>
  <c r="AU83" i="10"/>
  <c r="B156" i="10"/>
  <c r="B80" i="10"/>
  <c r="D80" i="10"/>
  <c r="C80" i="10"/>
  <c r="C81" i="10" s="1"/>
  <c r="D77" i="9"/>
  <c r="C77" i="9"/>
  <c r="B150" i="9"/>
  <c r="B74" i="9"/>
  <c r="AU79" i="9"/>
  <c r="B157" i="10" l="1"/>
  <c r="B81" i="10"/>
  <c r="G159" i="10"/>
  <c r="D82" i="10"/>
  <c r="C82" i="10"/>
  <c r="AU84" i="10"/>
  <c r="AU80" i="9"/>
  <c r="B75" i="9"/>
  <c r="B151" i="9"/>
  <c r="D78" i="9"/>
  <c r="C78" i="9"/>
  <c r="B158" i="10" l="1"/>
  <c r="B82" i="10"/>
  <c r="G160" i="10"/>
  <c r="AU85" i="10"/>
  <c r="C83" i="10"/>
  <c r="D83" i="10"/>
  <c r="C79" i="9"/>
  <c r="D79" i="9"/>
  <c r="B76" i="9"/>
  <c r="B152" i="9"/>
  <c r="AU81" i="9"/>
  <c r="G161" i="10" l="1"/>
  <c r="B159" i="10"/>
  <c r="B83" i="10"/>
  <c r="AU86" i="10"/>
  <c r="D84" i="10"/>
  <c r="C84" i="10"/>
  <c r="D80" i="9"/>
  <c r="C80" i="9"/>
  <c r="AU82" i="9"/>
  <c r="B153" i="9"/>
  <c r="B77" i="9"/>
  <c r="D85" i="10" l="1"/>
  <c r="C85" i="10"/>
  <c r="AU87" i="10"/>
  <c r="G162" i="10"/>
  <c r="B160" i="10"/>
  <c r="B84" i="10"/>
  <c r="B78" i="9"/>
  <c r="B154" i="9"/>
  <c r="AU83" i="9"/>
  <c r="C81" i="9"/>
  <c r="D86" i="10" l="1"/>
  <c r="C86" i="10"/>
  <c r="AU88" i="10"/>
  <c r="B161" i="10"/>
  <c r="B85" i="10"/>
  <c r="AU84" i="9"/>
  <c r="C82" i="9"/>
  <c r="D82" i="9"/>
  <c r="B155" i="9"/>
  <c r="B79" i="9"/>
  <c r="AU89" i="10" l="1"/>
  <c r="B162" i="10"/>
  <c r="B86" i="10"/>
  <c r="D87" i="10"/>
  <c r="C87" i="10"/>
  <c r="G164" i="10"/>
  <c r="D83" i="9"/>
  <c r="C83" i="9"/>
  <c r="AU85" i="9"/>
  <c r="B156" i="9"/>
  <c r="B80" i="9"/>
  <c r="D88" i="10" l="1"/>
  <c r="C88" i="10"/>
  <c r="G165" i="10"/>
  <c r="B163" i="10"/>
  <c r="B87" i="10"/>
  <c r="AU90" i="10"/>
  <c r="B81" i="9"/>
  <c r="B157" i="9"/>
  <c r="C84" i="9"/>
  <c r="D84" i="9"/>
  <c r="AU86" i="9"/>
  <c r="G166" i="10" l="1"/>
  <c r="D89" i="10"/>
  <c r="C89" i="10"/>
  <c r="B164" i="10"/>
  <c r="B88" i="10"/>
  <c r="C85" i="9"/>
  <c r="D85" i="9"/>
  <c r="AU87" i="9"/>
  <c r="B82" i="9"/>
  <c r="B158" i="9"/>
  <c r="D90" i="10" l="1"/>
  <c r="C90" i="10"/>
  <c r="B165" i="10"/>
  <c r="B89" i="10"/>
  <c r="G167" i="10"/>
  <c r="W91" i="10"/>
  <c r="AU88" i="9"/>
  <c r="D86" i="9"/>
  <c r="C86" i="9"/>
  <c r="B83" i="9"/>
  <c r="B159" i="9"/>
  <c r="B166" i="10" l="1"/>
  <c r="B90" i="10"/>
  <c r="G168" i="10"/>
  <c r="AU89" i="9"/>
  <c r="B84" i="9"/>
  <c r="B160" i="9"/>
  <c r="C87" i="9"/>
  <c r="D87" i="9"/>
  <c r="B167" i="10" l="1"/>
  <c r="B161" i="9"/>
  <c r="B85" i="9"/>
  <c r="AU90" i="9"/>
  <c r="C88" i="9"/>
  <c r="D88" i="9"/>
  <c r="C89" i="9" l="1"/>
  <c r="D89" i="9"/>
  <c r="B162" i="9"/>
  <c r="B86" i="9"/>
  <c r="B87" i="9" l="1"/>
  <c r="B163" i="9"/>
  <c r="D90" i="9"/>
  <c r="C90" i="9"/>
  <c r="B88" i="9" l="1"/>
  <c r="B164" i="9"/>
  <c r="B89" i="9" l="1"/>
  <c r="B165" i="9"/>
  <c r="B166" i="9" l="1"/>
  <c r="B90" i="9"/>
  <c r="B167" i="9" l="1"/>
  <c r="AH16" i="9" l="1"/>
  <c r="C101" i="7" l="1"/>
  <c r="AA11" i="7" l="1"/>
  <c r="D37" i="1" s="1"/>
  <c r="C75" i="1" s="1"/>
  <c r="J10" i="7" l="1"/>
  <c r="J10" i="9" l="1"/>
  <c r="J10" i="10"/>
  <c r="G14" i="7"/>
  <c r="E5" i="8"/>
  <c r="I5" i="8" s="1"/>
  <c r="I3" i="8"/>
  <c r="E3" i="8"/>
  <c r="G14" i="10" l="1"/>
  <c r="G14" i="9"/>
  <c r="M14" i="10"/>
  <c r="M6" i="9"/>
  <c r="M6" i="10"/>
  <c r="M14" i="9"/>
  <c r="H4" i="8"/>
  <c r="H51" i="8" s="1"/>
  <c r="A12" i="8"/>
  <c r="G12" i="8" s="1"/>
  <c r="C11" i="8"/>
  <c r="J6" i="8"/>
  <c r="G6" i="8"/>
  <c r="K4" i="8"/>
  <c r="F3" i="8"/>
  <c r="L2" i="8"/>
  <c r="L4" i="8" s="1"/>
  <c r="D2" i="8"/>
  <c r="C2" i="8"/>
  <c r="C1" i="8" s="1"/>
  <c r="G10" i="9" l="1"/>
  <c r="G10" i="10"/>
  <c r="AG25" i="10"/>
  <c r="AH25" i="10" s="1"/>
  <c r="T99" i="10"/>
  <c r="N100" i="10" s="1"/>
  <c r="O100" i="10" s="1"/>
  <c r="P100" i="10" s="1"/>
  <c r="R100" i="10" s="1"/>
  <c r="B12" i="8"/>
  <c r="A13" i="8"/>
  <c r="C12" i="8"/>
  <c r="D12" i="8" s="1"/>
  <c r="Q101" i="10" l="1"/>
  <c r="S100" i="10"/>
  <c r="T100" i="10" s="1"/>
  <c r="N101" i="10" s="1"/>
  <c r="O101" i="10" s="1"/>
  <c r="P101" i="10" s="1"/>
  <c r="E12" i="8"/>
  <c r="F12" i="8" s="1"/>
  <c r="A14" i="8"/>
  <c r="C13" i="8"/>
  <c r="D13" i="8" s="1"/>
  <c r="B13" i="8"/>
  <c r="G13" i="8"/>
  <c r="R26" i="5"/>
  <c r="G13" i="7"/>
  <c r="G13" i="5"/>
  <c r="J7" i="7"/>
  <c r="J7" i="5"/>
  <c r="AB62" i="7" l="1"/>
  <c r="N25" i="7"/>
  <c r="V25" i="7" s="1"/>
  <c r="AF25" i="7" s="1"/>
  <c r="AH25" i="7" s="1"/>
  <c r="W25" i="7"/>
  <c r="AC25" i="7" s="1"/>
  <c r="W26" i="7"/>
  <c r="W27" i="7"/>
  <c r="T27" i="7"/>
  <c r="T26" i="7"/>
  <c r="P26" i="7"/>
  <c r="P27" i="7"/>
  <c r="J7" i="9"/>
  <c r="J7" i="10"/>
  <c r="G13" i="10"/>
  <c r="G15" i="10" s="1"/>
  <c r="G13" i="9"/>
  <c r="G15" i="9" s="1"/>
  <c r="R101" i="10"/>
  <c r="G15" i="7"/>
  <c r="E13" i="8"/>
  <c r="F13" i="8" s="1"/>
  <c r="C14" i="8"/>
  <c r="E14" i="8" s="1"/>
  <c r="A15" i="8"/>
  <c r="G14" i="8"/>
  <c r="B14" i="8"/>
  <c r="R27" i="5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E103" i="7" l="1"/>
  <c r="AC27" i="7"/>
  <c r="E101" i="7"/>
  <c r="V27" i="7"/>
  <c r="AF27" i="7" s="1"/>
  <c r="V26" i="7"/>
  <c r="AF26" i="7" s="1"/>
  <c r="W27" i="9"/>
  <c r="G104" i="9" s="1"/>
  <c r="Q87" i="9"/>
  <c r="Q90" i="9"/>
  <c r="Q88" i="9"/>
  <c r="Q89" i="9"/>
  <c r="Q86" i="9"/>
  <c r="W73" i="9"/>
  <c r="G150" i="9" s="1"/>
  <c r="W88" i="9"/>
  <c r="G165" i="9" s="1"/>
  <c r="W56" i="9"/>
  <c r="G133" i="9" s="1"/>
  <c r="W40" i="9"/>
  <c r="G117" i="9" s="1"/>
  <c r="W85" i="9"/>
  <c r="G162" i="9" s="1"/>
  <c r="W81" i="9"/>
  <c r="G158" i="9" s="1"/>
  <c r="W65" i="9"/>
  <c r="G142" i="9" s="1"/>
  <c r="W48" i="9"/>
  <c r="G125" i="9" s="1"/>
  <c r="W32" i="9"/>
  <c r="G109" i="9" s="1"/>
  <c r="W69" i="9"/>
  <c r="G146" i="9" s="1"/>
  <c r="W52" i="9"/>
  <c r="G129" i="9" s="1"/>
  <c r="W36" i="9"/>
  <c r="G113" i="9" s="1"/>
  <c r="AI90" i="9"/>
  <c r="AL89" i="9" s="1"/>
  <c r="E166" i="9" s="1"/>
  <c r="W77" i="9"/>
  <c r="G154" i="9" s="1"/>
  <c r="W60" i="9"/>
  <c r="G137" i="9" s="1"/>
  <c r="W44" i="9"/>
  <c r="G121" i="9" s="1"/>
  <c r="W28" i="9"/>
  <c r="G105" i="9" s="1"/>
  <c r="AI89" i="9"/>
  <c r="AL88" i="9" s="1"/>
  <c r="E165" i="9" s="1"/>
  <c r="AI87" i="9"/>
  <c r="AL86" i="9" s="1"/>
  <c r="E163" i="9" s="1"/>
  <c r="W84" i="9"/>
  <c r="G161" i="9" s="1"/>
  <c r="W80" i="9"/>
  <c r="G157" i="9" s="1"/>
  <c r="W76" i="9"/>
  <c r="G153" i="9" s="1"/>
  <c r="W72" i="9"/>
  <c r="G149" i="9" s="1"/>
  <c r="W68" i="9"/>
  <c r="G145" i="9" s="1"/>
  <c r="W64" i="9"/>
  <c r="G141" i="9" s="1"/>
  <c r="W59" i="9"/>
  <c r="G136" i="9" s="1"/>
  <c r="W55" i="9"/>
  <c r="G132" i="9" s="1"/>
  <c r="W51" i="9"/>
  <c r="G128" i="9" s="1"/>
  <c r="W47" i="9"/>
  <c r="G124" i="9" s="1"/>
  <c r="W43" i="9"/>
  <c r="G120" i="9" s="1"/>
  <c r="W39" i="9"/>
  <c r="G116" i="9" s="1"/>
  <c r="W35" i="9"/>
  <c r="G112" i="9" s="1"/>
  <c r="W31" i="9"/>
  <c r="G108" i="9" s="1"/>
  <c r="W25" i="9"/>
  <c r="G102" i="9" s="1"/>
  <c r="W89" i="9"/>
  <c r="G166" i="9" s="1"/>
  <c r="W87" i="9"/>
  <c r="G164" i="9" s="1"/>
  <c r="W83" i="9"/>
  <c r="G160" i="9" s="1"/>
  <c r="W79" i="9"/>
  <c r="G156" i="9" s="1"/>
  <c r="W75" i="9"/>
  <c r="G152" i="9" s="1"/>
  <c r="W71" i="9"/>
  <c r="G148" i="9" s="1"/>
  <c r="W67" i="9"/>
  <c r="G144" i="9" s="1"/>
  <c r="W63" i="9"/>
  <c r="G140" i="9" s="1"/>
  <c r="W58" i="9"/>
  <c r="G135" i="9" s="1"/>
  <c r="W54" i="9"/>
  <c r="G131" i="9" s="1"/>
  <c r="W46" i="9"/>
  <c r="G123" i="9" s="1"/>
  <c r="W42" i="9"/>
  <c r="G119" i="9" s="1"/>
  <c r="W34" i="9"/>
  <c r="G111" i="9" s="1"/>
  <c r="W30" i="9"/>
  <c r="G107" i="9" s="1"/>
  <c r="W26" i="9"/>
  <c r="G103" i="9" s="1"/>
  <c r="Q102" i="10"/>
  <c r="S101" i="10"/>
  <c r="T101" i="10" s="1"/>
  <c r="N102" i="10" s="1"/>
  <c r="O102" i="10" s="1"/>
  <c r="P102" i="10" s="1"/>
  <c r="W90" i="9"/>
  <c r="G167" i="9" s="1"/>
  <c r="AI88" i="9"/>
  <c r="AL87" i="9" s="1"/>
  <c r="E164" i="9" s="1"/>
  <c r="AI86" i="9"/>
  <c r="W82" i="9"/>
  <c r="G159" i="9" s="1"/>
  <c r="W78" i="9"/>
  <c r="G155" i="9" s="1"/>
  <c r="W70" i="9"/>
  <c r="G147" i="9" s="1"/>
  <c r="W66" i="9"/>
  <c r="G143" i="9" s="1"/>
  <c r="W61" i="9"/>
  <c r="G138" i="9" s="1"/>
  <c r="W57" i="9"/>
  <c r="G134" i="9" s="1"/>
  <c r="W53" i="9"/>
  <c r="G130" i="9" s="1"/>
  <c r="W49" i="9"/>
  <c r="G126" i="9" s="1"/>
  <c r="W45" i="9"/>
  <c r="G122" i="9" s="1"/>
  <c r="W41" i="9"/>
  <c r="G118" i="9" s="1"/>
  <c r="W37" i="9"/>
  <c r="G114" i="9" s="1"/>
  <c r="W33" i="9"/>
  <c r="G110" i="9" s="1"/>
  <c r="W29" i="9"/>
  <c r="G106" i="9" s="1"/>
  <c r="AI86" i="10"/>
  <c r="AL86" i="10" s="1"/>
  <c r="AI87" i="10"/>
  <c r="AL87" i="10" s="1"/>
  <c r="AI88" i="10"/>
  <c r="AL88" i="10" s="1"/>
  <c r="AI89" i="10"/>
  <c r="AL89" i="10" s="1"/>
  <c r="AB86" i="10"/>
  <c r="AC86" i="10" s="1"/>
  <c r="AE86" i="10" s="1"/>
  <c r="S163" i="10"/>
  <c r="AI90" i="10"/>
  <c r="AL90" i="10" s="1"/>
  <c r="AB87" i="10"/>
  <c r="AC87" i="10" s="1"/>
  <c r="S164" i="10"/>
  <c r="AB88" i="10"/>
  <c r="U88" i="10"/>
  <c r="S165" i="10"/>
  <c r="AB89" i="10"/>
  <c r="AC89" i="10" s="1"/>
  <c r="S166" i="10"/>
  <c r="AB90" i="10"/>
  <c r="AC90" i="10" s="1"/>
  <c r="S167" i="10"/>
  <c r="F14" i="8"/>
  <c r="D14" i="8"/>
  <c r="B15" i="8"/>
  <c r="A16" i="8"/>
  <c r="G15" i="8"/>
  <c r="C15" i="8"/>
  <c r="D15" i="8" s="1"/>
  <c r="AB25" i="9" l="1"/>
  <c r="E166" i="10"/>
  <c r="K166" i="10" s="1"/>
  <c r="R102" i="10"/>
  <c r="Q103" i="10" s="1"/>
  <c r="E165" i="10"/>
  <c r="K165" i="10" s="1"/>
  <c r="AE89" i="10"/>
  <c r="AG89" i="10" s="1"/>
  <c r="AH89" i="10" s="1"/>
  <c r="E163" i="10"/>
  <c r="K163" i="10" s="1"/>
  <c r="AE87" i="10"/>
  <c r="AG87" i="10" s="1"/>
  <c r="AH87" i="10" s="1"/>
  <c r="AE90" i="10"/>
  <c r="AG90" i="10" s="1"/>
  <c r="AH90" i="10" s="1"/>
  <c r="L165" i="10"/>
  <c r="AC88" i="10"/>
  <c r="AE88" i="10" s="1"/>
  <c r="E167" i="10"/>
  <c r="K167" i="10" s="1"/>
  <c r="E164" i="10"/>
  <c r="K164" i="10" s="1"/>
  <c r="E15" i="8"/>
  <c r="F15" i="8" s="1"/>
  <c r="G16" i="8"/>
  <c r="C16" i="8"/>
  <c r="D16" i="8" s="1"/>
  <c r="B16" i="8"/>
  <c r="A17" i="8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AT28" i="7"/>
  <c r="W28" i="7" s="1"/>
  <c r="G103" i="7"/>
  <c r="Y26" i="7"/>
  <c r="U26" i="7"/>
  <c r="G101" i="7"/>
  <c r="I101" i="7" s="1"/>
  <c r="O25" i="7"/>
  <c r="O91" i="7" s="1"/>
  <c r="L91" i="7"/>
  <c r="K91" i="7"/>
  <c r="D49" i="1" s="1"/>
  <c r="D25" i="7"/>
  <c r="C25" i="7"/>
  <c r="G100" i="7"/>
  <c r="E100" i="7"/>
  <c r="C100" i="7"/>
  <c r="G99" i="7"/>
  <c r="E99" i="7"/>
  <c r="C99" i="7"/>
  <c r="G98" i="7"/>
  <c r="E98" i="7"/>
  <c r="C98" i="7"/>
  <c r="M13" i="7"/>
  <c r="M12" i="7"/>
  <c r="U11" i="7"/>
  <c r="U10" i="7"/>
  <c r="P10" i="7"/>
  <c r="G10" i="7"/>
  <c r="U9" i="7"/>
  <c r="U8" i="7"/>
  <c r="AG7" i="7"/>
  <c r="E22" i="7" s="1"/>
  <c r="E25" i="7" s="1"/>
  <c r="G8" i="7"/>
  <c r="U7" i="7"/>
  <c r="E104" i="7" l="1"/>
  <c r="AC28" i="7"/>
  <c r="S22" i="7"/>
  <c r="S24" i="7"/>
  <c r="G25" i="7"/>
  <c r="I98" i="7"/>
  <c r="I100" i="7"/>
  <c r="I99" i="7"/>
  <c r="M13" i="10"/>
  <c r="M13" i="9"/>
  <c r="P28" i="7"/>
  <c r="T28" i="7"/>
  <c r="M12" i="10"/>
  <c r="M12" i="9"/>
  <c r="Y26" i="9" s="1"/>
  <c r="P10" i="10"/>
  <c r="J102" i="7"/>
  <c r="S102" i="10"/>
  <c r="T102" i="10" s="1"/>
  <c r="N103" i="10" s="1"/>
  <c r="AF87" i="10"/>
  <c r="AF89" i="10"/>
  <c r="U9" i="10"/>
  <c r="U9" i="9"/>
  <c r="U10" i="10"/>
  <c r="U10" i="9"/>
  <c r="M15" i="9"/>
  <c r="M15" i="10"/>
  <c r="M8" i="10"/>
  <c r="AF7" i="10" s="1"/>
  <c r="U8" i="10"/>
  <c r="U8" i="9"/>
  <c r="U11" i="9"/>
  <c r="U11" i="10"/>
  <c r="AF90" i="10"/>
  <c r="U7" i="10"/>
  <c r="U7" i="9"/>
  <c r="AF88" i="10"/>
  <c r="AG88" i="10"/>
  <c r="AH88" i="10" s="1"/>
  <c r="M9" i="10"/>
  <c r="M8" i="9"/>
  <c r="AF7" i="9" s="1"/>
  <c r="AA91" i="7"/>
  <c r="C26" i="7"/>
  <c r="D26" i="7"/>
  <c r="F91" i="7"/>
  <c r="E16" i="8"/>
  <c r="F16" i="8" s="1"/>
  <c r="A18" i="8"/>
  <c r="C17" i="8"/>
  <c r="D17" i="8" s="1"/>
  <c r="B17" i="8"/>
  <c r="G17" i="8"/>
  <c r="U27" i="7"/>
  <c r="AD27" i="7" s="1"/>
  <c r="I25" i="7"/>
  <c r="I91" i="7" s="1"/>
  <c r="Y91" i="7"/>
  <c r="G102" i="7"/>
  <c r="G167" i="7" s="1"/>
  <c r="D22" i="7"/>
  <c r="C24" i="7"/>
  <c r="AT29" i="7"/>
  <c r="W29" i="7" s="1"/>
  <c r="J91" i="7"/>
  <c r="E105" i="7" l="1"/>
  <c r="AC29" i="7"/>
  <c r="W50" i="9"/>
  <c r="G127" i="9" s="1"/>
  <c r="W74" i="9"/>
  <c r="G151" i="9" s="1"/>
  <c r="W86" i="9"/>
  <c r="G163" i="9" s="1"/>
  <c r="V28" i="7"/>
  <c r="AF28" i="7" s="1"/>
  <c r="J103" i="7"/>
  <c r="AE27" i="7"/>
  <c r="G91" i="7"/>
  <c r="Y91" i="9"/>
  <c r="I168" i="9"/>
  <c r="T29" i="7"/>
  <c r="P29" i="7"/>
  <c r="P11" i="10"/>
  <c r="H91" i="9"/>
  <c r="H91" i="7"/>
  <c r="W62" i="9"/>
  <c r="W38" i="9"/>
  <c r="G115" i="9" s="1"/>
  <c r="U22" i="9"/>
  <c r="AC22" i="9" s="1"/>
  <c r="M9" i="9"/>
  <c r="F25" i="9" s="1"/>
  <c r="D27" i="7"/>
  <c r="C27" i="7"/>
  <c r="C23" i="7"/>
  <c r="E17" i="8"/>
  <c r="F17" i="8" s="1"/>
  <c r="E6" i="8"/>
  <c r="G18" i="8"/>
  <c r="C18" i="8"/>
  <c r="E18" i="8" s="1"/>
  <c r="B18" i="8"/>
  <c r="A19" i="8"/>
  <c r="U28" i="7"/>
  <c r="S23" i="7"/>
  <c r="U22" i="7"/>
  <c r="AT30" i="7"/>
  <c r="W30" i="7" s="1"/>
  <c r="Z91" i="7"/>
  <c r="AC30" i="7" l="1"/>
  <c r="E106" i="7"/>
  <c r="AD22" i="9"/>
  <c r="AG22" i="9"/>
  <c r="AH22" i="9" s="1"/>
  <c r="AD22" i="7"/>
  <c r="AE22" i="7"/>
  <c r="AG22" i="7" s="1"/>
  <c r="AI22" i="7" s="1"/>
  <c r="AE28" i="7"/>
  <c r="V29" i="7"/>
  <c r="AF29" i="7" s="1"/>
  <c r="T30" i="7"/>
  <c r="P30" i="7"/>
  <c r="W91" i="9"/>
  <c r="G139" i="9"/>
  <c r="G168" i="9" s="1"/>
  <c r="E91" i="7"/>
  <c r="D45" i="1" s="1"/>
  <c r="L99" i="9"/>
  <c r="U23" i="9"/>
  <c r="F91" i="9"/>
  <c r="S91" i="9"/>
  <c r="B100" i="9"/>
  <c r="B99" i="9"/>
  <c r="U24" i="9"/>
  <c r="C28" i="7"/>
  <c r="D28" i="7"/>
  <c r="C22" i="7"/>
  <c r="U23" i="7"/>
  <c r="U24" i="7"/>
  <c r="J98" i="7"/>
  <c r="L98" i="7" s="1"/>
  <c r="M98" i="7" s="1"/>
  <c r="O98" i="7" s="1"/>
  <c r="F18" i="8"/>
  <c r="D18" i="8"/>
  <c r="F6" i="8"/>
  <c r="D6" i="8"/>
  <c r="B19" i="8"/>
  <c r="A20" i="8"/>
  <c r="G19" i="8"/>
  <c r="C19" i="8"/>
  <c r="E19" i="8" s="1"/>
  <c r="J104" i="7"/>
  <c r="AD28" i="7"/>
  <c r="S91" i="7"/>
  <c r="D48" i="1" s="1"/>
  <c r="AT31" i="7"/>
  <c r="W31" i="7" s="1"/>
  <c r="B99" i="7"/>
  <c r="B98" i="7"/>
  <c r="E107" i="7" l="1"/>
  <c r="AC31" i="7"/>
  <c r="R25" i="7"/>
  <c r="U25" i="7" s="1"/>
  <c r="AE22" i="9"/>
  <c r="N99" i="7"/>
  <c r="P98" i="7"/>
  <c r="C29" i="7"/>
  <c r="J99" i="7"/>
  <c r="AE23" i="7"/>
  <c r="AG23" i="7" s="1"/>
  <c r="AI23" i="7" s="1"/>
  <c r="J100" i="7"/>
  <c r="AE24" i="7"/>
  <c r="AG24" i="7" s="1"/>
  <c r="AI24" i="7" s="1"/>
  <c r="V30" i="7"/>
  <c r="AF30" i="7" s="1"/>
  <c r="P31" i="7"/>
  <c r="T31" i="7"/>
  <c r="AD24" i="7"/>
  <c r="B101" i="9"/>
  <c r="O99" i="9"/>
  <c r="P99" i="9" s="1"/>
  <c r="R99" i="9" s="1"/>
  <c r="L101" i="9"/>
  <c r="AC24" i="9"/>
  <c r="AG24" i="9" s="1"/>
  <c r="AH24" i="9" s="1"/>
  <c r="AC23" i="9"/>
  <c r="AG23" i="9" s="1"/>
  <c r="AH23" i="9" s="1"/>
  <c r="L100" i="9"/>
  <c r="D29" i="7"/>
  <c r="AD23" i="7"/>
  <c r="D19" i="8"/>
  <c r="F19" i="8"/>
  <c r="G20" i="8"/>
  <c r="C20" i="8"/>
  <c r="E20" i="8" s="1"/>
  <c r="B20" i="8"/>
  <c r="A21" i="8"/>
  <c r="B100" i="7"/>
  <c r="U29" i="7"/>
  <c r="AE29" i="7" s="1"/>
  <c r="AT32" i="7"/>
  <c r="W32" i="7" s="1"/>
  <c r="D30" i="7"/>
  <c r="C30" i="7"/>
  <c r="E108" i="7" l="1"/>
  <c r="AC32" i="7"/>
  <c r="AD23" i="9"/>
  <c r="AD25" i="7"/>
  <c r="AE25" i="7"/>
  <c r="AG25" i="7" s="1"/>
  <c r="J101" i="7"/>
  <c r="V31" i="7"/>
  <c r="AF31" i="7" s="1"/>
  <c r="T32" i="7"/>
  <c r="P32" i="7"/>
  <c r="Q100" i="9"/>
  <c r="S99" i="9"/>
  <c r="T99" i="9" s="1"/>
  <c r="N100" i="9" s="1"/>
  <c r="O100" i="9" s="1"/>
  <c r="R91" i="7"/>
  <c r="D46" i="1" s="1"/>
  <c r="D20" i="8"/>
  <c r="F20" i="8"/>
  <c r="A22" i="8"/>
  <c r="C21" i="8"/>
  <c r="D21" i="8" s="1"/>
  <c r="B21" i="8"/>
  <c r="G21" i="8"/>
  <c r="AT33" i="7"/>
  <c r="W33" i="7" s="1"/>
  <c r="D31" i="7"/>
  <c r="C31" i="7"/>
  <c r="U30" i="7"/>
  <c r="J105" i="7"/>
  <c r="AD29" i="7"/>
  <c r="E109" i="7" l="1"/>
  <c r="AC33" i="7"/>
  <c r="AE23" i="9"/>
  <c r="D100" i="9" s="1"/>
  <c r="K100" i="9" s="1"/>
  <c r="P100" i="9" s="1"/>
  <c r="R100" i="9" s="1"/>
  <c r="S100" i="9" s="1"/>
  <c r="T100" i="9" s="1"/>
  <c r="N101" i="9" s="1"/>
  <c r="O101" i="9" s="1"/>
  <c r="AD24" i="9"/>
  <c r="AI25" i="7"/>
  <c r="V32" i="7"/>
  <c r="AF32" i="7" s="1"/>
  <c r="T33" i="7"/>
  <c r="P33" i="7"/>
  <c r="B101" i="7"/>
  <c r="E21" i="8"/>
  <c r="F21" i="8" s="1"/>
  <c r="B26" i="7"/>
  <c r="AB26" i="7" s="1"/>
  <c r="A23" i="8"/>
  <c r="G22" i="8"/>
  <c r="C22" i="8"/>
  <c r="E22" i="8" s="1"/>
  <c r="B22" i="8"/>
  <c r="U31" i="7"/>
  <c r="J106" i="7"/>
  <c r="AT34" i="7"/>
  <c r="W34" i="7" s="1"/>
  <c r="D32" i="7"/>
  <c r="C32" i="7"/>
  <c r="E102" i="7" l="1"/>
  <c r="AC26" i="7"/>
  <c r="E110" i="7"/>
  <c r="AC34" i="7"/>
  <c r="AE24" i="9"/>
  <c r="D101" i="9" s="1"/>
  <c r="K101" i="9" s="1"/>
  <c r="P101" i="9" s="1"/>
  <c r="V33" i="7"/>
  <c r="AF33" i="7" s="1"/>
  <c r="AH26" i="7"/>
  <c r="AD31" i="7"/>
  <c r="AE31" i="7"/>
  <c r="T34" i="7"/>
  <c r="P34" i="7"/>
  <c r="Q101" i="9"/>
  <c r="B27" i="7"/>
  <c r="B102" i="7"/>
  <c r="J107" i="7"/>
  <c r="F22" i="8"/>
  <c r="D22" i="8"/>
  <c r="B23" i="8"/>
  <c r="A24" i="8"/>
  <c r="G23" i="8"/>
  <c r="C23" i="8"/>
  <c r="D23" i="8" s="1"/>
  <c r="D33" i="7"/>
  <c r="C33" i="7"/>
  <c r="Q98" i="7"/>
  <c r="K99" i="7" s="1"/>
  <c r="L99" i="7" s="1"/>
  <c r="M99" i="7" s="1"/>
  <c r="U32" i="7"/>
  <c r="AE32" i="7" s="1"/>
  <c r="AT35" i="7"/>
  <c r="W35" i="7" s="1"/>
  <c r="AD26" i="7" l="1"/>
  <c r="AE26" i="7"/>
  <c r="AG26" i="7" s="1"/>
  <c r="AI26" i="7" s="1"/>
  <c r="E111" i="7"/>
  <c r="AC35" i="7"/>
  <c r="O99" i="7"/>
  <c r="N100" i="7" s="1"/>
  <c r="R101" i="9"/>
  <c r="Q102" i="9" s="1"/>
  <c r="AH27" i="7"/>
  <c r="AG27" i="7"/>
  <c r="V34" i="7"/>
  <c r="AF34" i="7" s="1"/>
  <c r="T35" i="7"/>
  <c r="P35" i="7"/>
  <c r="B103" i="7"/>
  <c r="B28" i="7"/>
  <c r="E23" i="8"/>
  <c r="F23" i="8" s="1"/>
  <c r="G24" i="8"/>
  <c r="C24" i="8"/>
  <c r="E24" i="8" s="1"/>
  <c r="A25" i="8"/>
  <c r="B24" i="8"/>
  <c r="AT36" i="7"/>
  <c r="W36" i="7" s="1"/>
  <c r="U33" i="7"/>
  <c r="AE33" i="7" s="1"/>
  <c r="J108" i="7"/>
  <c r="AD32" i="7"/>
  <c r="D34" i="7"/>
  <c r="C34" i="7"/>
  <c r="E112" i="7" l="1"/>
  <c r="AC36" i="7"/>
  <c r="S101" i="9"/>
  <c r="T101" i="9" s="1"/>
  <c r="N102" i="9" s="1"/>
  <c r="AH28" i="7"/>
  <c r="AG28" i="7"/>
  <c r="AI27" i="7"/>
  <c r="V35" i="7"/>
  <c r="AF35" i="7" s="1"/>
  <c r="T36" i="7"/>
  <c r="P36" i="7"/>
  <c r="B104" i="7"/>
  <c r="B29" i="7"/>
  <c r="F24" i="8"/>
  <c r="D24" i="8"/>
  <c r="A26" i="8"/>
  <c r="C25" i="8"/>
  <c r="D25" i="8" s="1"/>
  <c r="B25" i="8"/>
  <c r="G25" i="8"/>
  <c r="U34" i="7"/>
  <c r="J109" i="7"/>
  <c r="AD33" i="7"/>
  <c r="AT37" i="7"/>
  <c r="W37" i="7" s="1"/>
  <c r="D35" i="7"/>
  <c r="C35" i="7"/>
  <c r="AC37" i="7" l="1"/>
  <c r="E113" i="7"/>
  <c r="AI28" i="7"/>
  <c r="AH29" i="7"/>
  <c r="AG29" i="7"/>
  <c r="AD34" i="7"/>
  <c r="AE34" i="7"/>
  <c r="P37" i="7"/>
  <c r="T37" i="7"/>
  <c r="B30" i="7"/>
  <c r="B105" i="7"/>
  <c r="J110" i="7"/>
  <c r="E25" i="8"/>
  <c r="F25" i="8" s="1"/>
  <c r="G26" i="8"/>
  <c r="C26" i="8"/>
  <c r="E26" i="8" s="1"/>
  <c r="B26" i="8"/>
  <c r="A27" i="8"/>
  <c r="AT38" i="7"/>
  <c r="W38" i="7" s="1"/>
  <c r="D36" i="7"/>
  <c r="C36" i="7"/>
  <c r="U35" i="7"/>
  <c r="AE35" i="7" s="1"/>
  <c r="AI29" i="7" l="1"/>
  <c r="AH30" i="7"/>
  <c r="T38" i="7"/>
  <c r="P38" i="7"/>
  <c r="B106" i="7"/>
  <c r="B31" i="7"/>
  <c r="F26" i="8"/>
  <c r="B27" i="8"/>
  <c r="A28" i="8"/>
  <c r="G27" i="8"/>
  <c r="C27" i="8"/>
  <c r="D27" i="8" s="1"/>
  <c r="D26" i="8"/>
  <c r="J111" i="7"/>
  <c r="AD35" i="7"/>
  <c r="C37" i="7"/>
  <c r="D37" i="7"/>
  <c r="AT39" i="7"/>
  <c r="W39" i="7" s="1"/>
  <c r="E115" i="7" l="1"/>
  <c r="AC39" i="7"/>
  <c r="V38" i="7"/>
  <c r="AF38" i="7" s="1"/>
  <c r="AH31" i="7"/>
  <c r="AG31" i="7"/>
  <c r="T39" i="7"/>
  <c r="P39" i="7"/>
  <c r="B107" i="7"/>
  <c r="B32" i="7"/>
  <c r="E27" i="8"/>
  <c r="F27" i="8" s="1"/>
  <c r="G28" i="8"/>
  <c r="C28" i="8"/>
  <c r="D28" i="8" s="1"/>
  <c r="B28" i="8"/>
  <c r="A29" i="8"/>
  <c r="C38" i="7"/>
  <c r="D38" i="7"/>
  <c r="P99" i="7"/>
  <c r="Q99" i="7" s="1"/>
  <c r="K100" i="7" s="1"/>
  <c r="L100" i="7" s="1"/>
  <c r="AT40" i="7"/>
  <c r="W40" i="7" s="1"/>
  <c r="E116" i="7" l="1"/>
  <c r="AC40" i="7"/>
  <c r="AI31" i="7"/>
  <c r="AH32" i="7"/>
  <c r="AG32" i="7"/>
  <c r="V39" i="7"/>
  <c r="AF39" i="7" s="1"/>
  <c r="P40" i="7"/>
  <c r="T40" i="7"/>
  <c r="B33" i="7"/>
  <c r="B108" i="7"/>
  <c r="A30" i="8"/>
  <c r="C29" i="8"/>
  <c r="D29" i="8" s="1"/>
  <c r="B29" i="8"/>
  <c r="G29" i="8"/>
  <c r="E28" i="8"/>
  <c r="F28" i="8" s="1"/>
  <c r="AT41" i="7"/>
  <c r="W41" i="7" s="1"/>
  <c r="C39" i="7"/>
  <c r="D39" i="7"/>
  <c r="U38" i="7"/>
  <c r="E117" i="7" l="1"/>
  <c r="AC41" i="7"/>
  <c r="AI32" i="7"/>
  <c r="B109" i="7"/>
  <c r="AH33" i="7"/>
  <c r="AG33" i="7"/>
  <c r="V40" i="7"/>
  <c r="AF40" i="7" s="1"/>
  <c r="P41" i="7"/>
  <c r="T41" i="7"/>
  <c r="B34" i="7"/>
  <c r="E29" i="8"/>
  <c r="F29" i="8" s="1"/>
  <c r="A31" i="8"/>
  <c r="G30" i="8"/>
  <c r="C30" i="8"/>
  <c r="D30" i="8" s="1"/>
  <c r="B30" i="8"/>
  <c r="U39" i="7"/>
  <c r="AT42" i="7"/>
  <c r="W42" i="7" s="1"/>
  <c r="C40" i="7"/>
  <c r="D40" i="7"/>
  <c r="J114" i="7"/>
  <c r="E118" i="7" l="1"/>
  <c r="AC42" i="7"/>
  <c r="AI33" i="7"/>
  <c r="V41" i="7"/>
  <c r="AF41" i="7" s="1"/>
  <c r="B35" i="7"/>
  <c r="B111" i="7" s="1"/>
  <c r="AH34" i="7"/>
  <c r="AG34" i="7"/>
  <c r="AD39" i="7"/>
  <c r="AE39" i="7"/>
  <c r="P42" i="7"/>
  <c r="T42" i="7"/>
  <c r="B110" i="7"/>
  <c r="B31" i="8"/>
  <c r="A32" i="8"/>
  <c r="G31" i="8"/>
  <c r="C31" i="8"/>
  <c r="D31" i="8" s="1"/>
  <c r="E30" i="8"/>
  <c r="F30" i="8" s="1"/>
  <c r="J115" i="7"/>
  <c r="M100" i="7"/>
  <c r="C41" i="7"/>
  <c r="D41" i="7"/>
  <c r="U40" i="7"/>
  <c r="AE40" i="7" s="1"/>
  <c r="AT43" i="7"/>
  <c r="W43" i="7" s="1"/>
  <c r="E119" i="7" l="1"/>
  <c r="AC43" i="7"/>
  <c r="B36" i="7"/>
  <c r="V42" i="7"/>
  <c r="AF42" i="7" s="1"/>
  <c r="AI34" i="7"/>
  <c r="AH35" i="7"/>
  <c r="AG35" i="7"/>
  <c r="T43" i="7"/>
  <c r="P43" i="7"/>
  <c r="E31" i="8"/>
  <c r="F31" i="8" s="1"/>
  <c r="G32" i="8"/>
  <c r="C32" i="8"/>
  <c r="D32" i="8" s="1"/>
  <c r="B32" i="8"/>
  <c r="A33" i="8"/>
  <c r="J116" i="7"/>
  <c r="AD40" i="7"/>
  <c r="AT44" i="7"/>
  <c r="W44" i="7" s="1"/>
  <c r="O100" i="7"/>
  <c r="N101" i="7" s="1"/>
  <c r="U41" i="7"/>
  <c r="AE41" i="7" s="1"/>
  <c r="C42" i="7"/>
  <c r="D42" i="7"/>
  <c r="B112" i="7" l="1"/>
  <c r="M36" i="7"/>
  <c r="V36" i="7" s="1"/>
  <c r="AF36" i="7" s="1"/>
  <c r="AH36" i="7" s="1"/>
  <c r="E120" i="7"/>
  <c r="AC44" i="7"/>
  <c r="B37" i="7"/>
  <c r="N37" i="7" s="1"/>
  <c r="AI35" i="7"/>
  <c r="V43" i="7"/>
  <c r="AF43" i="7" s="1"/>
  <c r="T44" i="7"/>
  <c r="P44" i="7"/>
  <c r="E32" i="8"/>
  <c r="F32" i="8" s="1"/>
  <c r="A34" i="8"/>
  <c r="G33" i="8"/>
  <c r="C33" i="8"/>
  <c r="D33" i="8" s="1"/>
  <c r="B33" i="8"/>
  <c r="C43" i="7"/>
  <c r="D43" i="7"/>
  <c r="J117" i="7"/>
  <c r="AD41" i="7"/>
  <c r="P100" i="7"/>
  <c r="Q100" i="7" s="1"/>
  <c r="K101" i="7" s="1"/>
  <c r="L101" i="7" s="1"/>
  <c r="B113" i="7"/>
  <c r="B38" i="7"/>
  <c r="AB38" i="7" s="1"/>
  <c r="U42" i="7"/>
  <c r="AE42" i="7" s="1"/>
  <c r="AT45" i="7"/>
  <c r="W45" i="7" s="1"/>
  <c r="E121" i="7" l="1"/>
  <c r="AC45" i="7"/>
  <c r="E114" i="7"/>
  <c r="AC38" i="7"/>
  <c r="V37" i="7"/>
  <c r="AF37" i="7" s="1"/>
  <c r="AH37" i="7" s="1"/>
  <c r="U37" i="7"/>
  <c r="U36" i="7"/>
  <c r="J112" i="7" s="1"/>
  <c r="AH38" i="7"/>
  <c r="V44" i="7"/>
  <c r="AF44" i="7" s="1"/>
  <c r="T45" i="7"/>
  <c r="P45" i="7"/>
  <c r="E33" i="8"/>
  <c r="F33" i="8" s="1"/>
  <c r="A35" i="8"/>
  <c r="G34" i="8"/>
  <c r="C34" i="8"/>
  <c r="D34" i="8" s="1"/>
  <c r="B34" i="8"/>
  <c r="J118" i="7"/>
  <c r="AD42" i="7"/>
  <c r="AT46" i="7"/>
  <c r="W46" i="7" s="1"/>
  <c r="B114" i="7"/>
  <c r="B39" i="7"/>
  <c r="U43" i="7"/>
  <c r="AE43" i="7" s="1"/>
  <c r="C44" i="7"/>
  <c r="D44" i="7"/>
  <c r="J113" i="7" l="1"/>
  <c r="AD37" i="7"/>
  <c r="AE37" i="7"/>
  <c r="AG37" i="7" s="1"/>
  <c r="AI37" i="7" s="1"/>
  <c r="E122" i="7"/>
  <c r="AC46" i="7"/>
  <c r="AD38" i="7"/>
  <c r="AE38" i="7"/>
  <c r="AG38" i="7" s="1"/>
  <c r="AI38" i="7" s="1"/>
  <c r="AE36" i="7"/>
  <c r="AG36" i="7" s="1"/>
  <c r="AI36" i="7" s="1"/>
  <c r="AD36" i="7"/>
  <c r="AH39" i="7"/>
  <c r="AG39" i="7"/>
  <c r="V45" i="7"/>
  <c r="AF45" i="7" s="1"/>
  <c r="T46" i="7"/>
  <c r="P46" i="7"/>
  <c r="B35" i="8"/>
  <c r="A36" i="8"/>
  <c r="G35" i="8"/>
  <c r="C35" i="8"/>
  <c r="D35" i="8" s="1"/>
  <c r="E34" i="8"/>
  <c r="F34" i="8" s="1"/>
  <c r="U44" i="7"/>
  <c r="B115" i="7"/>
  <c r="B40" i="7"/>
  <c r="AT47" i="7"/>
  <c r="W47" i="7" s="1"/>
  <c r="M101" i="7"/>
  <c r="C45" i="7"/>
  <c r="D45" i="7"/>
  <c r="J119" i="7"/>
  <c r="AD43" i="7"/>
  <c r="E123" i="7" l="1"/>
  <c r="AC47" i="7"/>
  <c r="AI39" i="7"/>
  <c r="AH40" i="7"/>
  <c r="AG40" i="7"/>
  <c r="AD44" i="7"/>
  <c r="AE44" i="7"/>
  <c r="V46" i="7"/>
  <c r="AF46" i="7" s="1"/>
  <c r="P47" i="7"/>
  <c r="T47" i="7"/>
  <c r="O101" i="7"/>
  <c r="E35" i="8"/>
  <c r="F35" i="8" s="1"/>
  <c r="G36" i="8"/>
  <c r="C36" i="8"/>
  <c r="D36" i="8" s="1"/>
  <c r="B36" i="8"/>
  <c r="A37" i="8"/>
  <c r="J120" i="7"/>
  <c r="U45" i="7"/>
  <c r="B116" i="7"/>
  <c r="B41" i="7"/>
  <c r="C46" i="7"/>
  <c r="D46" i="7"/>
  <c r="AT48" i="7"/>
  <c r="W48" i="7" s="1"/>
  <c r="E124" i="7" l="1"/>
  <c r="AC48" i="7"/>
  <c r="P101" i="7"/>
  <c r="N102" i="7"/>
  <c r="AI40" i="7"/>
  <c r="AH41" i="7"/>
  <c r="AG41" i="7"/>
  <c r="J121" i="7"/>
  <c r="AE45" i="7"/>
  <c r="V47" i="7"/>
  <c r="AF47" i="7" s="1"/>
  <c r="T48" i="7"/>
  <c r="P48" i="7"/>
  <c r="E36" i="8"/>
  <c r="F36" i="8" s="1"/>
  <c r="A38" i="8"/>
  <c r="G37" i="8"/>
  <c r="C37" i="8"/>
  <c r="D37" i="8" s="1"/>
  <c r="B37" i="8"/>
  <c r="AD45" i="7"/>
  <c r="U46" i="7"/>
  <c r="AE46" i="7" s="1"/>
  <c r="AT49" i="7"/>
  <c r="W49" i="7" s="1"/>
  <c r="B42" i="7"/>
  <c r="B117" i="7"/>
  <c r="C47" i="7"/>
  <c r="D47" i="7"/>
  <c r="AC49" i="7" l="1"/>
  <c r="E125" i="7"/>
  <c r="AI41" i="7"/>
  <c r="AH42" i="7"/>
  <c r="AG42" i="7"/>
  <c r="T49" i="7"/>
  <c r="P49" i="7"/>
  <c r="E37" i="8"/>
  <c r="F37" i="8" s="1"/>
  <c r="A39" i="8"/>
  <c r="G38" i="8"/>
  <c r="C38" i="8"/>
  <c r="E38" i="8" s="1"/>
  <c r="F38" i="8" s="1"/>
  <c r="B38" i="8"/>
  <c r="C48" i="7"/>
  <c r="D48" i="7"/>
  <c r="B43" i="7"/>
  <c r="B118" i="7"/>
  <c r="AT50" i="7"/>
  <c r="W50" i="7" s="1"/>
  <c r="Q101" i="7"/>
  <c r="K102" i="7" s="1"/>
  <c r="L102" i="7" s="1"/>
  <c r="U47" i="7"/>
  <c r="AE47" i="7" s="1"/>
  <c r="J122" i="7"/>
  <c r="AD46" i="7"/>
  <c r="AI42" i="7" l="1"/>
  <c r="AH43" i="7"/>
  <c r="AG43" i="7"/>
  <c r="T50" i="7"/>
  <c r="P50" i="7"/>
  <c r="D38" i="8"/>
  <c r="B39" i="8"/>
  <c r="A40" i="8"/>
  <c r="G39" i="8"/>
  <c r="C39" i="8"/>
  <c r="D39" i="8" s="1"/>
  <c r="J123" i="7"/>
  <c r="AD47" i="7"/>
  <c r="B44" i="7"/>
  <c r="B119" i="7"/>
  <c r="AT51" i="7"/>
  <c r="W51" i="7" s="1"/>
  <c r="D49" i="7"/>
  <c r="C49" i="7"/>
  <c r="E127" i="7" l="1"/>
  <c r="AC51" i="7"/>
  <c r="AI43" i="7"/>
  <c r="AH44" i="7"/>
  <c r="AG44" i="7"/>
  <c r="V50" i="7"/>
  <c r="AF50" i="7" s="1"/>
  <c r="T51" i="7"/>
  <c r="P51" i="7"/>
  <c r="E39" i="8"/>
  <c r="F39" i="8" s="1"/>
  <c r="G40" i="8"/>
  <c r="C40" i="8"/>
  <c r="D40" i="8" s="1"/>
  <c r="B40" i="8"/>
  <c r="A41" i="8"/>
  <c r="AT52" i="7"/>
  <c r="W52" i="7" s="1"/>
  <c r="D50" i="7"/>
  <c r="C50" i="7"/>
  <c r="B45" i="7"/>
  <c r="B120" i="7"/>
  <c r="AC52" i="7" l="1"/>
  <c r="E128" i="7"/>
  <c r="AI44" i="7"/>
  <c r="AH45" i="7"/>
  <c r="AG45" i="7"/>
  <c r="V51" i="7"/>
  <c r="AF51" i="7" s="1"/>
  <c r="T52" i="7"/>
  <c r="P52" i="7"/>
  <c r="E40" i="8"/>
  <c r="F40" i="8" s="1"/>
  <c r="A42" i="8"/>
  <c r="G41" i="8"/>
  <c r="C41" i="8"/>
  <c r="D41" i="8" s="1"/>
  <c r="B41" i="8"/>
  <c r="AT53" i="7"/>
  <c r="W53" i="7" s="1"/>
  <c r="B46" i="7"/>
  <c r="B121" i="7"/>
  <c r="C51" i="7"/>
  <c r="D51" i="7"/>
  <c r="U50" i="7"/>
  <c r="E129" i="7" l="1"/>
  <c r="AC53" i="7"/>
  <c r="AI45" i="7"/>
  <c r="AH46" i="7"/>
  <c r="AG46" i="7"/>
  <c r="V52" i="7"/>
  <c r="AF52" i="7" s="1"/>
  <c r="P53" i="7"/>
  <c r="T53" i="7"/>
  <c r="E41" i="8"/>
  <c r="F41" i="8" s="1"/>
  <c r="A43" i="8"/>
  <c r="G42" i="8"/>
  <c r="C42" i="8"/>
  <c r="E42" i="8" s="1"/>
  <c r="B42" i="8"/>
  <c r="U51" i="7"/>
  <c r="J126" i="7"/>
  <c r="AT54" i="7"/>
  <c r="W54" i="7" s="1"/>
  <c r="D52" i="7"/>
  <c r="C52" i="7"/>
  <c r="B47" i="7"/>
  <c r="B122" i="7"/>
  <c r="E130" i="7" l="1"/>
  <c r="AC54" i="7"/>
  <c r="AI46" i="7"/>
  <c r="AH47" i="7"/>
  <c r="AG47" i="7"/>
  <c r="V53" i="7"/>
  <c r="AF53" i="7" s="1"/>
  <c r="AD51" i="7"/>
  <c r="AE51" i="7"/>
  <c r="T54" i="7"/>
  <c r="P54" i="7"/>
  <c r="J127" i="7"/>
  <c r="F42" i="8"/>
  <c r="B43" i="8"/>
  <c r="A44" i="8"/>
  <c r="G43" i="8"/>
  <c r="C43" i="8"/>
  <c r="D43" i="8" s="1"/>
  <c r="D42" i="8"/>
  <c r="C53" i="7"/>
  <c r="D53" i="7"/>
  <c r="U52" i="7"/>
  <c r="AE52" i="7" s="1"/>
  <c r="B48" i="7"/>
  <c r="B123" i="7"/>
  <c r="AT55" i="7"/>
  <c r="W55" i="7" s="1"/>
  <c r="AC55" i="7" l="1"/>
  <c r="E131" i="7"/>
  <c r="AI47" i="7"/>
  <c r="M48" i="7"/>
  <c r="V48" i="7" s="1"/>
  <c r="AF48" i="7" s="1"/>
  <c r="AH48" i="7" s="1"/>
  <c r="V54" i="7"/>
  <c r="AF54" i="7" s="1"/>
  <c r="T55" i="7"/>
  <c r="P55" i="7"/>
  <c r="G44" i="8"/>
  <c r="C44" i="8"/>
  <c r="D44" i="8" s="1"/>
  <c r="B44" i="8"/>
  <c r="A45" i="8"/>
  <c r="E43" i="8"/>
  <c r="F43" i="8" s="1"/>
  <c r="U53" i="7"/>
  <c r="AT56" i="7"/>
  <c r="W56" i="7" s="1"/>
  <c r="B49" i="7"/>
  <c r="N49" i="7" s="1"/>
  <c r="B124" i="7"/>
  <c r="J128" i="7"/>
  <c r="AD52" i="7"/>
  <c r="D54" i="7"/>
  <c r="C54" i="7"/>
  <c r="V49" i="7" l="1"/>
  <c r="AF49" i="7" s="1"/>
  <c r="U49" i="7"/>
  <c r="AC56" i="7"/>
  <c r="E132" i="7"/>
  <c r="U48" i="7"/>
  <c r="AE48" i="7" s="1"/>
  <c r="AG48" i="7" s="1"/>
  <c r="AI48" i="7" s="1"/>
  <c r="AH49" i="7"/>
  <c r="V55" i="7"/>
  <c r="AF55" i="7" s="1"/>
  <c r="J129" i="7"/>
  <c r="AE53" i="7"/>
  <c r="T56" i="7"/>
  <c r="P56" i="7"/>
  <c r="AD53" i="7"/>
  <c r="E44" i="8"/>
  <c r="F44" i="8" s="1"/>
  <c r="A46" i="8"/>
  <c r="G45" i="8"/>
  <c r="C45" i="8"/>
  <c r="D45" i="8" s="1"/>
  <c r="B45" i="8"/>
  <c r="U54" i="7"/>
  <c r="C55" i="7"/>
  <c r="D55" i="7"/>
  <c r="AT57" i="7"/>
  <c r="W57" i="7" s="1"/>
  <c r="B125" i="7"/>
  <c r="B50" i="7"/>
  <c r="AB50" i="7" s="1"/>
  <c r="E133" i="7" l="1"/>
  <c r="AC57" i="7"/>
  <c r="AD49" i="7"/>
  <c r="AE49" i="7"/>
  <c r="AG49" i="7" s="1"/>
  <c r="AI49" i="7" s="1"/>
  <c r="J125" i="7"/>
  <c r="E126" i="7"/>
  <c r="AC50" i="7"/>
  <c r="J124" i="7"/>
  <c r="AD48" i="7"/>
  <c r="AH50" i="7"/>
  <c r="AD54" i="7"/>
  <c r="AE54" i="7"/>
  <c r="V56" i="7"/>
  <c r="AF56" i="7" s="1"/>
  <c r="T57" i="7"/>
  <c r="P57" i="7"/>
  <c r="J130" i="7"/>
  <c r="E45" i="8"/>
  <c r="F45" i="8" s="1"/>
  <c r="A47" i="8"/>
  <c r="G46" i="8"/>
  <c r="C46" i="8"/>
  <c r="D46" i="8" s="1"/>
  <c r="B46" i="8"/>
  <c r="U55" i="7"/>
  <c r="B51" i="7"/>
  <c r="B126" i="7"/>
  <c r="AT58" i="7"/>
  <c r="W58" i="7" s="1"/>
  <c r="D56" i="7"/>
  <c r="C56" i="7"/>
  <c r="AE50" i="7" l="1"/>
  <c r="AG50" i="7" s="1"/>
  <c r="AI50" i="7" s="1"/>
  <c r="AD50" i="7"/>
  <c r="AC58" i="7"/>
  <c r="E134" i="7"/>
  <c r="V57" i="7"/>
  <c r="AF57" i="7" s="1"/>
  <c r="AH51" i="7"/>
  <c r="AG51" i="7"/>
  <c r="AD55" i="7"/>
  <c r="AE55" i="7"/>
  <c r="T58" i="7"/>
  <c r="P58" i="7"/>
  <c r="J131" i="7"/>
  <c r="B47" i="8"/>
  <c r="G47" i="8"/>
  <c r="G48" i="8" s="1"/>
  <c r="C47" i="8"/>
  <c r="D47" i="8" s="1"/>
  <c r="E46" i="8"/>
  <c r="F46" i="8" s="1"/>
  <c r="U56" i="7"/>
  <c r="C57" i="7"/>
  <c r="D57" i="7"/>
  <c r="AT59" i="7"/>
  <c r="W59" i="7" s="1"/>
  <c r="B127" i="7"/>
  <c r="B52" i="7"/>
  <c r="AC59" i="7" l="1"/>
  <c r="E135" i="7"/>
  <c r="AI51" i="7"/>
  <c r="AH52" i="7"/>
  <c r="AG52" i="7"/>
  <c r="V58" i="7"/>
  <c r="AF58" i="7" s="1"/>
  <c r="AD56" i="7"/>
  <c r="AE56" i="7"/>
  <c r="P59" i="7"/>
  <c r="T59" i="7"/>
  <c r="J132" i="7"/>
  <c r="E47" i="8"/>
  <c r="E48" i="8" s="1"/>
  <c r="B53" i="7"/>
  <c r="B128" i="7"/>
  <c r="U57" i="7"/>
  <c r="AE57" i="7" s="1"/>
  <c r="AT60" i="7"/>
  <c r="W60" i="7" s="1"/>
  <c r="D58" i="7"/>
  <c r="C58" i="7"/>
  <c r="E136" i="7" l="1"/>
  <c r="AC60" i="7"/>
  <c r="AI52" i="7"/>
  <c r="AH53" i="7"/>
  <c r="AG53" i="7"/>
  <c r="V59" i="7"/>
  <c r="AF59" i="7" s="1"/>
  <c r="P60" i="7"/>
  <c r="T60" i="7"/>
  <c r="F47" i="8"/>
  <c r="F48" i="8" s="1"/>
  <c r="C59" i="7"/>
  <c r="D59" i="7"/>
  <c r="AT61" i="7"/>
  <c r="W61" i="7" s="1"/>
  <c r="J133" i="7"/>
  <c r="AD57" i="7"/>
  <c r="U58" i="7"/>
  <c r="AE58" i="7" s="1"/>
  <c r="B129" i="7"/>
  <c r="B54" i="7"/>
  <c r="AC61" i="7" l="1"/>
  <c r="E137" i="7"/>
  <c r="AI53" i="7"/>
  <c r="AH54" i="7"/>
  <c r="AG54" i="7"/>
  <c r="T61" i="7"/>
  <c r="P61" i="7"/>
  <c r="AT62" i="7"/>
  <c r="W62" i="7" s="1"/>
  <c r="B55" i="7"/>
  <c r="B130" i="7"/>
  <c r="J134" i="7"/>
  <c r="AD58" i="7"/>
  <c r="U59" i="7"/>
  <c r="AE59" i="7" s="1"/>
  <c r="D60" i="7"/>
  <c r="C60" i="7"/>
  <c r="AC62" i="7" l="1"/>
  <c r="E138" i="7"/>
  <c r="AI54" i="7"/>
  <c r="AH55" i="7"/>
  <c r="AG55" i="7"/>
  <c r="T62" i="7"/>
  <c r="P62" i="7"/>
  <c r="B131" i="7"/>
  <c r="B56" i="7"/>
  <c r="AT63" i="7"/>
  <c r="W63" i="7" s="1"/>
  <c r="D61" i="7"/>
  <c r="C61" i="7"/>
  <c r="J135" i="7"/>
  <c r="AD59" i="7"/>
  <c r="E139" i="7" l="1"/>
  <c r="AC63" i="7"/>
  <c r="AI55" i="7"/>
  <c r="AH56" i="7"/>
  <c r="AG56" i="7"/>
  <c r="V62" i="7"/>
  <c r="AF62" i="7" s="1"/>
  <c r="AH62" i="7" s="1"/>
  <c r="T63" i="7"/>
  <c r="P63" i="7"/>
  <c r="B57" i="7"/>
  <c r="B132" i="7"/>
  <c r="AT64" i="7"/>
  <c r="W64" i="7" s="1"/>
  <c r="C62" i="7"/>
  <c r="D62" i="7"/>
  <c r="E140" i="7" l="1"/>
  <c r="AC64" i="7"/>
  <c r="AI56" i="7"/>
  <c r="AH57" i="7"/>
  <c r="AG57" i="7"/>
  <c r="V63" i="7"/>
  <c r="AF63" i="7" s="1"/>
  <c r="T64" i="7"/>
  <c r="P64" i="7"/>
  <c r="AT65" i="7"/>
  <c r="W65" i="7" s="1"/>
  <c r="B133" i="7"/>
  <c r="B58" i="7"/>
  <c r="D63" i="7"/>
  <c r="C63" i="7"/>
  <c r="U62" i="7"/>
  <c r="AE62" i="7" s="1"/>
  <c r="AG62" i="7" s="1"/>
  <c r="AI62" i="7" s="1"/>
  <c r="AC65" i="7" l="1"/>
  <c r="E141" i="7"/>
  <c r="AI57" i="7"/>
  <c r="V64" i="7"/>
  <c r="AF64" i="7" s="1"/>
  <c r="AH58" i="7"/>
  <c r="AG58" i="7"/>
  <c r="P65" i="7"/>
  <c r="T65" i="7"/>
  <c r="U63" i="7"/>
  <c r="B59" i="7"/>
  <c r="B134" i="7"/>
  <c r="J138" i="7"/>
  <c r="AD62" i="7"/>
  <c r="D64" i="7"/>
  <c r="C64" i="7"/>
  <c r="AT66" i="7"/>
  <c r="W66" i="7" s="1"/>
  <c r="E142" i="7" l="1"/>
  <c r="AC66" i="7"/>
  <c r="AI58" i="7"/>
  <c r="AH59" i="7"/>
  <c r="AG59" i="7"/>
  <c r="V65" i="7"/>
  <c r="AF65" i="7" s="1"/>
  <c r="AD63" i="7"/>
  <c r="AE63" i="7"/>
  <c r="T66" i="7"/>
  <c r="P66" i="7"/>
  <c r="J139" i="7"/>
  <c r="U64" i="7"/>
  <c r="C65" i="7"/>
  <c r="D65" i="7"/>
  <c r="B135" i="7"/>
  <c r="B60" i="7"/>
  <c r="AT67" i="7"/>
  <c r="W67" i="7" s="1"/>
  <c r="E143" i="7" l="1"/>
  <c r="AC67" i="7"/>
  <c r="AI59" i="7"/>
  <c r="M60" i="7"/>
  <c r="V60" i="7" s="1"/>
  <c r="AF60" i="7" s="1"/>
  <c r="AH60" i="7" s="1"/>
  <c r="AD64" i="7"/>
  <c r="AE64" i="7"/>
  <c r="V66" i="7"/>
  <c r="AF66" i="7" s="1"/>
  <c r="T67" i="7"/>
  <c r="P67" i="7"/>
  <c r="J140" i="7"/>
  <c r="U65" i="7"/>
  <c r="AT68" i="7"/>
  <c r="W68" i="7" s="1"/>
  <c r="B61" i="7"/>
  <c r="N61" i="7" s="1"/>
  <c r="B136" i="7"/>
  <c r="D66" i="7"/>
  <c r="C66" i="7"/>
  <c r="E144" i="7" l="1"/>
  <c r="AC68" i="7"/>
  <c r="V61" i="7"/>
  <c r="AF61" i="7" s="1"/>
  <c r="AH61" i="7" s="1"/>
  <c r="U61" i="7"/>
  <c r="U60" i="7"/>
  <c r="AE60" i="7" s="1"/>
  <c r="AG60" i="7" s="1"/>
  <c r="AI60" i="7" s="1"/>
  <c r="V67" i="7"/>
  <c r="AF67" i="7" s="1"/>
  <c r="J141" i="7"/>
  <c r="AE65" i="7"/>
  <c r="P68" i="7"/>
  <c r="T68" i="7"/>
  <c r="AD65" i="7"/>
  <c r="U66" i="7"/>
  <c r="C67" i="7"/>
  <c r="D67" i="7"/>
  <c r="AT69" i="7"/>
  <c r="W69" i="7" s="1"/>
  <c r="B137" i="7"/>
  <c r="AD60" i="7" l="1"/>
  <c r="E145" i="7"/>
  <c r="AC69" i="7"/>
  <c r="J137" i="7"/>
  <c r="AE61" i="7"/>
  <c r="AG61" i="7" s="1"/>
  <c r="AI61" i="7" s="1"/>
  <c r="AD61" i="7"/>
  <c r="J136" i="7"/>
  <c r="V68" i="7"/>
  <c r="AF68" i="7" s="1"/>
  <c r="AD66" i="7"/>
  <c r="AE66" i="7"/>
  <c r="P69" i="7"/>
  <c r="T69" i="7"/>
  <c r="J142" i="7"/>
  <c r="U67" i="7"/>
  <c r="B63" i="7"/>
  <c r="B138" i="7"/>
  <c r="C68" i="7"/>
  <c r="D68" i="7"/>
  <c r="AT70" i="7"/>
  <c r="W70" i="7" s="1"/>
  <c r="E146" i="7" l="1"/>
  <c r="AC70" i="7"/>
  <c r="V69" i="7"/>
  <c r="AF69" i="7" s="1"/>
  <c r="AH63" i="7"/>
  <c r="AG63" i="7"/>
  <c r="J143" i="7"/>
  <c r="AE67" i="7"/>
  <c r="T70" i="7"/>
  <c r="P70" i="7"/>
  <c r="AD67" i="7"/>
  <c r="C69" i="7"/>
  <c r="D69" i="7"/>
  <c r="B139" i="7"/>
  <c r="B64" i="7"/>
  <c r="AT71" i="7"/>
  <c r="W71" i="7" s="1"/>
  <c r="U68" i="7"/>
  <c r="AE68" i="7" s="1"/>
  <c r="E147" i="7" l="1"/>
  <c r="AC71" i="7"/>
  <c r="AI63" i="7"/>
  <c r="AH64" i="7"/>
  <c r="AG64" i="7"/>
  <c r="V70" i="7"/>
  <c r="AF70" i="7" s="1"/>
  <c r="T71" i="7"/>
  <c r="P71" i="7"/>
  <c r="U69" i="7"/>
  <c r="B140" i="7"/>
  <c r="B65" i="7"/>
  <c r="J144" i="7"/>
  <c r="AD68" i="7"/>
  <c r="AT72" i="7"/>
  <c r="W72" i="7" s="1"/>
  <c r="C70" i="7"/>
  <c r="D70" i="7"/>
  <c r="E148" i="7" l="1"/>
  <c r="AC72" i="7"/>
  <c r="V71" i="7"/>
  <c r="AF71" i="7" s="1"/>
  <c r="AI64" i="7"/>
  <c r="AH65" i="7"/>
  <c r="AG65" i="7"/>
  <c r="J145" i="7"/>
  <c r="AE69" i="7"/>
  <c r="P72" i="7"/>
  <c r="T72" i="7"/>
  <c r="AD69" i="7"/>
  <c r="B141" i="7"/>
  <c r="B66" i="7"/>
  <c r="C71" i="7"/>
  <c r="D71" i="7"/>
  <c r="AT73" i="7"/>
  <c r="W73" i="7" s="1"/>
  <c r="U70" i="7"/>
  <c r="AE70" i="7" s="1"/>
  <c r="AC73" i="7" l="1"/>
  <c r="E149" i="7"/>
  <c r="AI65" i="7"/>
  <c r="AH66" i="7"/>
  <c r="AG66" i="7"/>
  <c r="T73" i="7"/>
  <c r="P73" i="7"/>
  <c r="U71" i="7"/>
  <c r="AT74" i="7"/>
  <c r="W74" i="7" s="1"/>
  <c r="J146" i="7"/>
  <c r="AD70" i="7"/>
  <c r="D72" i="7"/>
  <c r="C72" i="7"/>
  <c r="B142" i="7"/>
  <c r="B67" i="7"/>
  <c r="AI66" i="7" l="1"/>
  <c r="AH67" i="7"/>
  <c r="AG67" i="7"/>
  <c r="AD71" i="7"/>
  <c r="AE71" i="7"/>
  <c r="P74" i="7"/>
  <c r="T74" i="7"/>
  <c r="J147" i="7"/>
  <c r="B143" i="7"/>
  <c r="B68" i="7"/>
  <c r="AT75" i="7"/>
  <c r="W75" i="7" s="1"/>
  <c r="D73" i="7"/>
  <c r="C73" i="7"/>
  <c r="E151" i="7" l="1"/>
  <c r="AC75" i="7"/>
  <c r="AI67" i="7"/>
  <c r="AH68" i="7"/>
  <c r="AG68" i="7"/>
  <c r="V74" i="7"/>
  <c r="AF74" i="7" s="1"/>
  <c r="T75" i="7"/>
  <c r="P75" i="7"/>
  <c r="AT76" i="7"/>
  <c r="W76" i="7" s="1"/>
  <c r="D74" i="7"/>
  <c r="C74" i="7"/>
  <c r="B144" i="7"/>
  <c r="B69" i="7"/>
  <c r="E152" i="7" l="1"/>
  <c r="AC76" i="7"/>
  <c r="AI68" i="7"/>
  <c r="V75" i="7"/>
  <c r="AF75" i="7" s="1"/>
  <c r="AH69" i="7"/>
  <c r="AG69" i="7"/>
  <c r="P76" i="7"/>
  <c r="T76" i="7"/>
  <c r="C75" i="7"/>
  <c r="U74" i="7"/>
  <c r="AT77" i="7"/>
  <c r="W77" i="7" s="1"/>
  <c r="B70" i="7"/>
  <c r="B145" i="7"/>
  <c r="D75" i="7"/>
  <c r="E153" i="7" l="1"/>
  <c r="AC77" i="7"/>
  <c r="AI69" i="7"/>
  <c r="AH70" i="7"/>
  <c r="AG70" i="7"/>
  <c r="V76" i="7"/>
  <c r="AF76" i="7" s="1"/>
  <c r="J150" i="7"/>
  <c r="T77" i="7"/>
  <c r="P77" i="7"/>
  <c r="AT78" i="7"/>
  <c r="W78" i="7" s="1"/>
  <c r="B71" i="7"/>
  <c r="B146" i="7"/>
  <c r="D76" i="7"/>
  <c r="C76" i="7"/>
  <c r="U75" i="7"/>
  <c r="AE75" i="7" s="1"/>
  <c r="E154" i="7" l="1"/>
  <c r="AC78" i="7"/>
  <c r="AI70" i="7"/>
  <c r="V77" i="7"/>
  <c r="AF77" i="7" s="1"/>
  <c r="AH71" i="7"/>
  <c r="AG71" i="7"/>
  <c r="T78" i="7"/>
  <c r="P78" i="7"/>
  <c r="B72" i="7"/>
  <c r="B147" i="7"/>
  <c r="AT79" i="7"/>
  <c r="W79" i="7" s="1"/>
  <c r="D77" i="7"/>
  <c r="C77" i="7"/>
  <c r="J151" i="7"/>
  <c r="AD75" i="7"/>
  <c r="U76" i="7"/>
  <c r="AE76" i="7" s="1"/>
  <c r="E155" i="7" l="1"/>
  <c r="AC79" i="7"/>
  <c r="V78" i="7"/>
  <c r="AF78" i="7" s="1"/>
  <c r="AI71" i="7"/>
  <c r="M72" i="7"/>
  <c r="V72" i="7" s="1"/>
  <c r="AF72" i="7" s="1"/>
  <c r="AH72" i="7" s="1"/>
  <c r="T79" i="7"/>
  <c r="P79" i="7"/>
  <c r="J152" i="7"/>
  <c r="AD76" i="7"/>
  <c r="U77" i="7"/>
  <c r="AE77" i="7" s="1"/>
  <c r="D78" i="7"/>
  <c r="C78" i="7"/>
  <c r="B148" i="7"/>
  <c r="B73" i="7"/>
  <c r="N73" i="7" s="1"/>
  <c r="AT80" i="7"/>
  <c r="W80" i="7" s="1"/>
  <c r="E156" i="7" l="1"/>
  <c r="AC80" i="7"/>
  <c r="V73" i="7"/>
  <c r="AF73" i="7" s="1"/>
  <c r="U73" i="7"/>
  <c r="U72" i="7"/>
  <c r="AE72" i="7" s="1"/>
  <c r="AG72" i="7" s="1"/>
  <c r="AI72" i="7" s="1"/>
  <c r="V79" i="7"/>
  <c r="AF79" i="7" s="1"/>
  <c r="AH73" i="7"/>
  <c r="T80" i="7"/>
  <c r="P80" i="7"/>
  <c r="U78" i="7"/>
  <c r="J153" i="7"/>
  <c r="AD77" i="7"/>
  <c r="D79" i="7"/>
  <c r="C79" i="7"/>
  <c r="AT81" i="7"/>
  <c r="W81" i="7" s="1"/>
  <c r="B74" i="7"/>
  <c r="AB74" i="7" s="1"/>
  <c r="B149" i="7"/>
  <c r="E150" i="7" l="1"/>
  <c r="AB91" i="7"/>
  <c r="AC74" i="7"/>
  <c r="E157" i="7"/>
  <c r="AC81" i="7"/>
  <c r="AE73" i="7"/>
  <c r="AG73" i="7" s="1"/>
  <c r="AI73" i="7" s="1"/>
  <c r="AD73" i="7"/>
  <c r="J149" i="7"/>
  <c r="J148" i="7"/>
  <c r="AD72" i="7"/>
  <c r="AH74" i="7"/>
  <c r="V80" i="7"/>
  <c r="AF80" i="7" s="1"/>
  <c r="AD78" i="7"/>
  <c r="AE78" i="7"/>
  <c r="T81" i="7"/>
  <c r="P81" i="7"/>
  <c r="B75" i="7"/>
  <c r="J154" i="7"/>
  <c r="B150" i="7"/>
  <c r="C80" i="7"/>
  <c r="D80" i="7"/>
  <c r="U79" i="7"/>
  <c r="AE79" i="7" s="1"/>
  <c r="AT82" i="7"/>
  <c r="W82" i="7" s="1"/>
  <c r="AD74" i="7" l="1"/>
  <c r="AE74" i="7"/>
  <c r="AG74" i="7" s="1"/>
  <c r="AI74" i="7" s="1"/>
  <c r="E158" i="7"/>
  <c r="AC82" i="7"/>
  <c r="AH75" i="7"/>
  <c r="AG75" i="7"/>
  <c r="V81" i="7"/>
  <c r="AF81" i="7" s="1"/>
  <c r="U81" i="7"/>
  <c r="T82" i="7"/>
  <c r="P82" i="7"/>
  <c r="AT83" i="7"/>
  <c r="W83" i="7" s="1"/>
  <c r="U80" i="7"/>
  <c r="AE80" i="7" s="1"/>
  <c r="B76" i="7"/>
  <c r="B151" i="7"/>
  <c r="J155" i="7"/>
  <c r="AD79" i="7"/>
  <c r="C81" i="7"/>
  <c r="E159" i="7" l="1"/>
  <c r="AC83" i="7"/>
  <c r="AI75" i="7"/>
  <c r="AE81" i="7"/>
  <c r="AH76" i="7"/>
  <c r="AG76" i="7"/>
  <c r="V82" i="7"/>
  <c r="AF82" i="7" s="1"/>
  <c r="T83" i="7"/>
  <c r="P83" i="7"/>
  <c r="AD81" i="7"/>
  <c r="C82" i="7"/>
  <c r="D82" i="7"/>
  <c r="B152" i="7"/>
  <c r="B77" i="7"/>
  <c r="AT84" i="7"/>
  <c r="W84" i="7" s="1"/>
  <c r="J156" i="7"/>
  <c r="AD80" i="7"/>
  <c r="AC84" i="7" l="1"/>
  <c r="E160" i="7"/>
  <c r="AI76" i="7"/>
  <c r="AH77" i="7"/>
  <c r="AG77" i="7"/>
  <c r="V83" i="7"/>
  <c r="AF83" i="7" s="1"/>
  <c r="T84" i="7"/>
  <c r="P84" i="7"/>
  <c r="J157" i="7"/>
  <c r="U82" i="7"/>
  <c r="AE82" i="7" s="1"/>
  <c r="B78" i="7"/>
  <c r="B153" i="7"/>
  <c r="D83" i="7"/>
  <c r="C83" i="7"/>
  <c r="AT85" i="7"/>
  <c r="W85" i="7" s="1"/>
  <c r="AC85" i="7" l="1"/>
  <c r="E161" i="7"/>
  <c r="AI77" i="7"/>
  <c r="AH78" i="7"/>
  <c r="AG78" i="7"/>
  <c r="P85" i="7"/>
  <c r="T85" i="7"/>
  <c r="U83" i="7"/>
  <c r="AT86" i="7"/>
  <c r="W86" i="7" s="1"/>
  <c r="C84" i="7"/>
  <c r="D84" i="7"/>
  <c r="J158" i="7"/>
  <c r="AD82" i="7"/>
  <c r="B154" i="7"/>
  <c r="B79" i="7"/>
  <c r="AI78" i="7" l="1"/>
  <c r="AH79" i="7"/>
  <c r="AG79" i="7"/>
  <c r="AD83" i="7"/>
  <c r="AE83" i="7"/>
  <c r="T86" i="7"/>
  <c r="P86" i="7"/>
  <c r="J159" i="7"/>
  <c r="B80" i="7"/>
  <c r="B155" i="7"/>
  <c r="AJ86" i="7"/>
  <c r="AT87" i="7"/>
  <c r="W87" i="7" s="1"/>
  <c r="C85" i="7"/>
  <c r="D85" i="7"/>
  <c r="E163" i="7" l="1"/>
  <c r="AC87" i="7"/>
  <c r="AI79" i="7"/>
  <c r="V86" i="7"/>
  <c r="AF86" i="7" s="1"/>
  <c r="AH80" i="7"/>
  <c r="AG80" i="7"/>
  <c r="P87" i="7"/>
  <c r="T87" i="7"/>
  <c r="U86" i="9"/>
  <c r="L163" i="9" s="1"/>
  <c r="AL86" i="7"/>
  <c r="Z86" i="9"/>
  <c r="D86" i="7"/>
  <c r="C86" i="7"/>
  <c r="AT88" i="7"/>
  <c r="W88" i="7" s="1"/>
  <c r="U87" i="9"/>
  <c r="L164" i="9" s="1"/>
  <c r="AJ87" i="7"/>
  <c r="B156" i="7"/>
  <c r="B81" i="7"/>
  <c r="AC88" i="7" l="1"/>
  <c r="E164" i="7"/>
  <c r="AI80" i="7"/>
  <c r="V87" i="7"/>
  <c r="AF87" i="7" s="1"/>
  <c r="AH81" i="7"/>
  <c r="AG81" i="7"/>
  <c r="T88" i="7"/>
  <c r="P88" i="7"/>
  <c r="AB86" i="9"/>
  <c r="AC86" i="9" s="1"/>
  <c r="AL87" i="7"/>
  <c r="Z87" i="9"/>
  <c r="AJ88" i="7"/>
  <c r="U88" i="9"/>
  <c r="L165" i="9" s="1"/>
  <c r="AT89" i="7"/>
  <c r="W89" i="7" s="1"/>
  <c r="C162" i="7"/>
  <c r="U86" i="7"/>
  <c r="C87" i="7"/>
  <c r="D87" i="7"/>
  <c r="B82" i="7"/>
  <c r="B157" i="7"/>
  <c r="AC89" i="7" l="1"/>
  <c r="E165" i="7"/>
  <c r="AI81" i="7"/>
  <c r="AH82" i="7"/>
  <c r="AG82" i="7"/>
  <c r="V88" i="7"/>
  <c r="AF88" i="7" s="1"/>
  <c r="T89" i="7"/>
  <c r="P89" i="7"/>
  <c r="AL88" i="7"/>
  <c r="Z88" i="9"/>
  <c r="AB87" i="9"/>
  <c r="AC87" i="9" s="1"/>
  <c r="AE87" i="9" s="1"/>
  <c r="D164" i="9" s="1"/>
  <c r="C163" i="7"/>
  <c r="I163" i="7" s="1"/>
  <c r="AT90" i="7"/>
  <c r="W90" i="7" s="1"/>
  <c r="AJ89" i="7"/>
  <c r="U87" i="7"/>
  <c r="AE87" i="7" s="1"/>
  <c r="D88" i="7"/>
  <c r="C88" i="7"/>
  <c r="B158" i="7"/>
  <c r="B83" i="7"/>
  <c r="J162" i="7"/>
  <c r="E166" i="7" l="1"/>
  <c r="AC90" i="7"/>
  <c r="AI82" i="7"/>
  <c r="V89" i="7"/>
  <c r="AF89" i="7" s="1"/>
  <c r="AH83" i="7"/>
  <c r="AG83" i="7"/>
  <c r="T90" i="7"/>
  <c r="T91" i="7" s="1"/>
  <c r="P90" i="7"/>
  <c r="U89" i="9"/>
  <c r="L166" i="9" s="1"/>
  <c r="AL89" i="7"/>
  <c r="Z89" i="9"/>
  <c r="AB88" i="9"/>
  <c r="AC88" i="9" s="1"/>
  <c r="AE88" i="9" s="1"/>
  <c r="D165" i="9" s="1"/>
  <c r="C89" i="7"/>
  <c r="D89" i="7"/>
  <c r="AJ90" i="7"/>
  <c r="U88" i="7"/>
  <c r="AE88" i="7" s="1"/>
  <c r="J163" i="7"/>
  <c r="AD87" i="7"/>
  <c r="B84" i="7"/>
  <c r="M84" i="7" s="1"/>
  <c r="B159" i="7"/>
  <c r="C164" i="7"/>
  <c r="I164" i="7" s="1"/>
  <c r="AI83" i="7" l="1"/>
  <c r="V84" i="7"/>
  <c r="AF84" i="7" s="1"/>
  <c r="AH84" i="7" s="1"/>
  <c r="V90" i="7"/>
  <c r="AF90" i="7" s="1"/>
  <c r="AB89" i="9"/>
  <c r="AC89" i="9" s="1"/>
  <c r="AE89" i="9" s="1"/>
  <c r="D166" i="9" s="1"/>
  <c r="AL90" i="7"/>
  <c r="Z90" i="9"/>
  <c r="P91" i="7"/>
  <c r="C165" i="7"/>
  <c r="I165" i="7" s="1"/>
  <c r="W91" i="7"/>
  <c r="C90" i="7"/>
  <c r="D90" i="7"/>
  <c r="U89" i="7"/>
  <c r="AE89" i="7" s="1"/>
  <c r="B160" i="7"/>
  <c r="B85" i="7"/>
  <c r="N85" i="7" s="1"/>
  <c r="U90" i="7"/>
  <c r="J164" i="7"/>
  <c r="AD88" i="7"/>
  <c r="F167" i="7"/>
  <c r="N91" i="7" l="1"/>
  <c r="V85" i="7"/>
  <c r="AF85" i="7" s="1"/>
  <c r="AH85" i="7" s="1"/>
  <c r="U85" i="7"/>
  <c r="U84" i="7"/>
  <c r="AE84" i="7" s="1"/>
  <c r="AG84" i="7" s="1"/>
  <c r="AI84" i="7" s="1"/>
  <c r="Q21" i="9"/>
  <c r="D50" i="1"/>
  <c r="M91" i="7"/>
  <c r="D47" i="1" s="1"/>
  <c r="E54" i="8" s="1"/>
  <c r="AE90" i="7"/>
  <c r="U25" i="9"/>
  <c r="AC25" i="9" s="1"/>
  <c r="Q68" i="9"/>
  <c r="U68" i="9" s="1"/>
  <c r="Q84" i="9"/>
  <c r="U84" i="9" s="1"/>
  <c r="Q75" i="9"/>
  <c r="U75" i="9" s="1"/>
  <c r="Q29" i="9"/>
  <c r="U29" i="9" s="1"/>
  <c r="Q37" i="9"/>
  <c r="U37" i="9" s="1"/>
  <c r="Q41" i="9"/>
  <c r="U41" i="9" s="1"/>
  <c r="Q49" i="9"/>
  <c r="U49" i="9" s="1"/>
  <c r="Q53" i="9"/>
  <c r="U53" i="9" s="1"/>
  <c r="Q57" i="9"/>
  <c r="U57" i="9" s="1"/>
  <c r="Q61" i="9"/>
  <c r="U61" i="9" s="1"/>
  <c r="Q65" i="9"/>
  <c r="U65" i="9" s="1"/>
  <c r="Q69" i="9"/>
  <c r="U69" i="9" s="1"/>
  <c r="Q73" i="9"/>
  <c r="U73" i="9" s="1"/>
  <c r="Q77" i="9"/>
  <c r="U77" i="9" s="1"/>
  <c r="Q81" i="9"/>
  <c r="U81" i="9" s="1"/>
  <c r="Q85" i="9"/>
  <c r="U85" i="9" s="1"/>
  <c r="Q27" i="9"/>
  <c r="U27" i="9" s="1"/>
  <c r="Q47" i="9"/>
  <c r="U47" i="9" s="1"/>
  <c r="Q59" i="9"/>
  <c r="U59" i="9" s="1"/>
  <c r="Q67" i="9"/>
  <c r="U67" i="9" s="1"/>
  <c r="Q79" i="9"/>
  <c r="U79" i="9" s="1"/>
  <c r="Q30" i="9"/>
  <c r="U30" i="9" s="1"/>
  <c r="Q34" i="9"/>
  <c r="U34" i="9" s="1"/>
  <c r="Q42" i="9"/>
  <c r="U42" i="9" s="1"/>
  <c r="Q46" i="9"/>
  <c r="U46" i="9" s="1"/>
  <c r="Q50" i="9"/>
  <c r="U50" i="9" s="1"/>
  <c r="Q54" i="9"/>
  <c r="U54" i="9" s="1"/>
  <c r="Q58" i="9"/>
  <c r="U58" i="9" s="1"/>
  <c r="Q62" i="9"/>
  <c r="U62" i="9" s="1"/>
  <c r="Q66" i="9"/>
  <c r="U66" i="9" s="1"/>
  <c r="Q70" i="9"/>
  <c r="U70" i="9" s="1"/>
  <c r="Q74" i="9"/>
  <c r="U74" i="9" s="1"/>
  <c r="Q78" i="9"/>
  <c r="U78" i="9" s="1"/>
  <c r="Q82" i="9"/>
  <c r="U82" i="9" s="1"/>
  <c r="Q43" i="9"/>
  <c r="U43" i="9" s="1"/>
  <c r="Q55" i="9"/>
  <c r="U55" i="9" s="1"/>
  <c r="Q71" i="9"/>
  <c r="U71" i="9" s="1"/>
  <c r="Q83" i="9"/>
  <c r="U83" i="9" s="1"/>
  <c r="U90" i="9"/>
  <c r="C166" i="7"/>
  <c r="I166" i="7" s="1"/>
  <c r="AB90" i="9"/>
  <c r="J166" i="7"/>
  <c r="AD90" i="7"/>
  <c r="J165" i="7"/>
  <c r="AD89" i="7"/>
  <c r="B161" i="7"/>
  <c r="B86" i="7"/>
  <c r="AP91" i="7"/>
  <c r="Q91" i="7"/>
  <c r="V91" i="7" l="1"/>
  <c r="AF91" i="7"/>
  <c r="AE85" i="7"/>
  <c r="AG85" i="7" s="1"/>
  <c r="AI85" i="7" s="1"/>
  <c r="J161" i="7"/>
  <c r="AD85" i="7"/>
  <c r="AB86" i="7"/>
  <c r="AD25" i="9"/>
  <c r="AE25" i="9" s="1"/>
  <c r="D102" i="9" s="1"/>
  <c r="K102" i="9" s="1"/>
  <c r="AG25" i="9"/>
  <c r="AH25" i="9" s="1"/>
  <c r="Q32" i="9"/>
  <c r="U32" i="9" s="1"/>
  <c r="Q26" i="9"/>
  <c r="U26" i="9" s="1"/>
  <c r="Q31" i="9"/>
  <c r="U31" i="9" s="1"/>
  <c r="Q38" i="9"/>
  <c r="U38" i="9" s="1"/>
  <c r="Q35" i="9"/>
  <c r="U35" i="9" s="1"/>
  <c r="Q45" i="9"/>
  <c r="U45" i="9" s="1"/>
  <c r="Q33" i="9"/>
  <c r="U33" i="9" s="1"/>
  <c r="Q51" i="9"/>
  <c r="U51" i="9" s="1"/>
  <c r="Q76" i="9"/>
  <c r="U76" i="9" s="1"/>
  <c r="Q60" i="9"/>
  <c r="U60" i="9" s="1"/>
  <c r="Q39" i="9"/>
  <c r="U39" i="9" s="1"/>
  <c r="Q72" i="9"/>
  <c r="U72" i="9" s="1"/>
  <c r="Q44" i="9"/>
  <c r="U44" i="9" s="1"/>
  <c r="Q63" i="9"/>
  <c r="U63" i="9" s="1"/>
  <c r="Q80" i="9"/>
  <c r="U80" i="9" s="1"/>
  <c r="Q64" i="9"/>
  <c r="U64" i="9" s="1"/>
  <c r="Q52" i="9"/>
  <c r="U52" i="9" s="1"/>
  <c r="Q36" i="9"/>
  <c r="U36" i="9" s="1"/>
  <c r="Q48" i="9"/>
  <c r="U48" i="9" s="1"/>
  <c r="Q28" i="9"/>
  <c r="U28" i="9" s="1"/>
  <c r="Q56" i="9"/>
  <c r="U56" i="9" s="1"/>
  <c r="Q40" i="9"/>
  <c r="U40" i="9" s="1"/>
  <c r="AD84" i="7"/>
  <c r="U91" i="7"/>
  <c r="J160" i="7"/>
  <c r="J167" i="7" s="1"/>
  <c r="AH86" i="7"/>
  <c r="L102" i="9"/>
  <c r="O102" i="9" s="1"/>
  <c r="AC90" i="9"/>
  <c r="AE90" i="9" s="1"/>
  <c r="D167" i="9" s="1"/>
  <c r="L167" i="9"/>
  <c r="B162" i="7"/>
  <c r="B87" i="7"/>
  <c r="E162" i="7" l="1"/>
  <c r="AC86" i="7"/>
  <c r="P102" i="9"/>
  <c r="R102" i="9" s="1"/>
  <c r="Q103" i="9" s="1"/>
  <c r="U91" i="9"/>
  <c r="Q91" i="9"/>
  <c r="AH87" i="7"/>
  <c r="AG87" i="7"/>
  <c r="L168" i="9"/>
  <c r="E52" i="8"/>
  <c r="B163" i="7"/>
  <c r="B88" i="7"/>
  <c r="AE86" i="7" l="1"/>
  <c r="AG86" i="7" s="1"/>
  <c r="AI86" i="7" s="1"/>
  <c r="AD86" i="7"/>
  <c r="I162" i="7"/>
  <c r="E167" i="7"/>
  <c r="S102" i="9"/>
  <c r="T102" i="9" s="1"/>
  <c r="N103" i="9" s="1"/>
  <c r="O103" i="9" s="1"/>
  <c r="AI87" i="7"/>
  <c r="AH88" i="7"/>
  <c r="AG88" i="7"/>
  <c r="B164" i="7"/>
  <c r="B89" i="7"/>
  <c r="AI88" i="7" l="1"/>
  <c r="AH89" i="7"/>
  <c r="AG89" i="7"/>
  <c r="B165" i="7"/>
  <c r="B90" i="7"/>
  <c r="AI89" i="7" l="1"/>
  <c r="AH90" i="7"/>
  <c r="AH91" i="7" s="1"/>
  <c r="AG90" i="7"/>
  <c r="B166" i="7"/>
  <c r="AI90" i="7" l="1"/>
  <c r="AS91" i="7" l="1"/>
  <c r="AN91" i="7"/>
  <c r="D167" i="7"/>
  <c r="AM91" i="7"/>
  <c r="AO91" i="7" l="1"/>
  <c r="K163" i="9" l="1"/>
  <c r="AG86" i="9"/>
  <c r="AH86" i="9" s="1"/>
  <c r="K164" i="9" l="1"/>
  <c r="AF87" i="9"/>
  <c r="AG87" i="9"/>
  <c r="K165" i="9" l="1"/>
  <c r="AF88" i="9"/>
  <c r="AH87" i="9"/>
  <c r="AG88" i="9"/>
  <c r="AH88" i="9" s="1"/>
  <c r="K166" i="9" l="1"/>
  <c r="AF89" i="9"/>
  <c r="AG89" i="9"/>
  <c r="AF90" i="9" l="1"/>
  <c r="AH89" i="9"/>
  <c r="AQ91" i="7"/>
  <c r="AG90" i="9" l="1"/>
  <c r="K167" i="9" l="1"/>
  <c r="AH90" i="9"/>
  <c r="R6" i="5" l="1"/>
  <c r="O6" i="5"/>
  <c r="AB8" i="5" l="1"/>
  <c r="O14" i="5"/>
  <c r="E8" i="6"/>
  <c r="E4" i="6"/>
  <c r="G15" i="5" l="1"/>
  <c r="I97" i="5"/>
  <c r="T98" i="5"/>
  <c r="I98" i="5"/>
  <c r="BA90" i="5"/>
  <c r="AZ90" i="5"/>
  <c r="BA89" i="5"/>
  <c r="AZ89" i="5"/>
  <c r="BA88" i="5"/>
  <c r="AZ88" i="5"/>
  <c r="BA87" i="5"/>
  <c r="AZ87" i="5"/>
  <c r="BA86" i="5"/>
  <c r="AZ86" i="5"/>
  <c r="BA85" i="5"/>
  <c r="AZ85" i="5"/>
  <c r="BA84" i="5"/>
  <c r="AZ84" i="5"/>
  <c r="BA83" i="5"/>
  <c r="AZ83" i="5"/>
  <c r="BA82" i="5"/>
  <c r="AZ82" i="5"/>
  <c r="BA81" i="5"/>
  <c r="AZ81" i="5"/>
  <c r="BA80" i="5"/>
  <c r="AZ80" i="5"/>
  <c r="BA79" i="5"/>
  <c r="AZ79" i="5"/>
  <c r="BA78" i="5"/>
  <c r="AZ78" i="5"/>
  <c r="BA77" i="5"/>
  <c r="AZ77" i="5"/>
  <c r="BA76" i="5"/>
  <c r="AZ76" i="5"/>
  <c r="BA75" i="5"/>
  <c r="AZ75" i="5"/>
  <c r="BA74" i="5"/>
  <c r="AZ74" i="5"/>
  <c r="BA73" i="5"/>
  <c r="AZ73" i="5"/>
  <c r="BA72" i="5"/>
  <c r="AZ72" i="5"/>
  <c r="BB71" i="5"/>
  <c r="BA71" i="5"/>
  <c r="AZ71" i="5"/>
  <c r="BA70" i="5"/>
  <c r="AZ70" i="5"/>
  <c r="BA69" i="5"/>
  <c r="AZ69" i="5"/>
  <c r="BA68" i="5"/>
  <c r="AZ68" i="5"/>
  <c r="BA67" i="5"/>
  <c r="AZ67" i="5"/>
  <c r="BA66" i="5"/>
  <c r="AZ66" i="5"/>
  <c r="BA65" i="5"/>
  <c r="AZ65" i="5"/>
  <c r="BA64" i="5"/>
  <c r="AZ64" i="5"/>
  <c r="BA63" i="5"/>
  <c r="AZ63" i="5"/>
  <c r="BA62" i="5"/>
  <c r="AZ62" i="5"/>
  <c r="BA61" i="5"/>
  <c r="AZ61" i="5"/>
  <c r="BA60" i="5"/>
  <c r="AZ60" i="5"/>
  <c r="BA59" i="5"/>
  <c r="AZ59" i="5"/>
  <c r="BA58" i="5"/>
  <c r="AZ58" i="5"/>
  <c r="BA57" i="5"/>
  <c r="AZ57" i="5"/>
  <c r="BA56" i="5"/>
  <c r="AZ56" i="5"/>
  <c r="BA55" i="5"/>
  <c r="AZ55" i="5"/>
  <c r="BA54" i="5"/>
  <c r="AZ54" i="5"/>
  <c r="BA53" i="5"/>
  <c r="AZ53" i="5"/>
  <c r="BA52" i="5"/>
  <c r="AZ52" i="5"/>
  <c r="BA51" i="5"/>
  <c r="AZ51" i="5"/>
  <c r="BA50" i="5"/>
  <c r="AZ50" i="5"/>
  <c r="BA49" i="5"/>
  <c r="AZ49" i="5"/>
  <c r="BA48" i="5"/>
  <c r="AZ48" i="5"/>
  <c r="BA47" i="5"/>
  <c r="AZ47" i="5"/>
  <c r="BA46" i="5"/>
  <c r="AZ46" i="5"/>
  <c r="BA45" i="5"/>
  <c r="AZ45" i="5"/>
  <c r="BA44" i="5"/>
  <c r="AZ44" i="5"/>
  <c r="BA43" i="5"/>
  <c r="AZ43" i="5"/>
  <c r="BA42" i="5"/>
  <c r="AZ42" i="5"/>
  <c r="BA41" i="5"/>
  <c r="AZ41" i="5"/>
  <c r="BA40" i="5"/>
  <c r="AZ40" i="5"/>
  <c r="BA39" i="5"/>
  <c r="AZ39" i="5"/>
  <c r="BA38" i="5"/>
  <c r="AZ38" i="5"/>
  <c r="BA37" i="5"/>
  <c r="AZ37" i="5"/>
  <c r="BA36" i="5"/>
  <c r="AZ36" i="5"/>
  <c r="O36" i="5"/>
  <c r="O48" i="5" s="1"/>
  <c r="BA35" i="5"/>
  <c r="AZ35" i="5"/>
  <c r="BA34" i="5"/>
  <c r="AZ34" i="5"/>
  <c r="BA33" i="5"/>
  <c r="AZ33" i="5"/>
  <c r="BA32" i="5"/>
  <c r="AZ32" i="5"/>
  <c r="BA31" i="5"/>
  <c r="AZ31" i="5"/>
  <c r="BA30" i="5"/>
  <c r="AZ30" i="5"/>
  <c r="BA29" i="5"/>
  <c r="AZ29" i="5"/>
  <c r="AX29" i="5"/>
  <c r="BA28" i="5"/>
  <c r="AZ28" i="5"/>
  <c r="AS28" i="5"/>
  <c r="AS29" i="5" s="1"/>
  <c r="Y28" i="5"/>
  <c r="AY28" i="5" s="1"/>
  <c r="AX28" i="5"/>
  <c r="BA27" i="5"/>
  <c r="AZ27" i="5"/>
  <c r="AH27" i="5"/>
  <c r="Y27" i="5"/>
  <c r="AX27" i="5"/>
  <c r="AH26" i="5"/>
  <c r="Z26" i="5"/>
  <c r="Z91" i="5" s="1"/>
  <c r="Y26" i="5"/>
  <c r="AY26" i="5" s="1"/>
  <c r="AX26" i="5"/>
  <c r="BE25" i="5"/>
  <c r="BB25" i="5"/>
  <c r="BA25" i="5"/>
  <c r="AZ25" i="5"/>
  <c r="AW25" i="5"/>
  <c r="AV25" i="5"/>
  <c r="Y25" i="5"/>
  <c r="X25" i="5"/>
  <c r="V25" i="5"/>
  <c r="V91" i="5" s="1"/>
  <c r="Q25" i="5"/>
  <c r="Q91" i="5" s="1"/>
  <c r="N25" i="5"/>
  <c r="N91" i="5" s="1"/>
  <c r="M25" i="5"/>
  <c r="M91" i="5" s="1"/>
  <c r="D25" i="5"/>
  <c r="C25" i="5"/>
  <c r="C26" i="5" s="1"/>
  <c r="BE24" i="5"/>
  <c r="BB24" i="5"/>
  <c r="BA24" i="5"/>
  <c r="AZ24" i="5"/>
  <c r="AY24" i="5"/>
  <c r="AX24" i="5"/>
  <c r="AW24" i="5"/>
  <c r="AV24" i="5"/>
  <c r="J24" i="5"/>
  <c r="J25" i="5" s="1"/>
  <c r="I24" i="5"/>
  <c r="H24" i="5"/>
  <c r="G24" i="5"/>
  <c r="F24" i="5"/>
  <c r="F25" i="5" s="1"/>
  <c r="E24" i="5"/>
  <c r="BE23" i="5"/>
  <c r="BB23" i="5"/>
  <c r="BA23" i="5"/>
  <c r="AZ23" i="5"/>
  <c r="AY23" i="5"/>
  <c r="AX23" i="5"/>
  <c r="AW23" i="5"/>
  <c r="AV23" i="5"/>
  <c r="I23" i="5"/>
  <c r="G23" i="5"/>
  <c r="E23" i="5"/>
  <c r="BE22" i="5"/>
  <c r="BB22" i="5"/>
  <c r="BA22" i="5"/>
  <c r="AZ22" i="5"/>
  <c r="AY22" i="5"/>
  <c r="AX22" i="5"/>
  <c r="AW22" i="5"/>
  <c r="BC22" i="5" s="1"/>
  <c r="AV22" i="5"/>
  <c r="O13" i="5"/>
  <c r="AB26" i="5" s="1"/>
  <c r="AB91" i="5" s="1"/>
  <c r="O12" i="5"/>
  <c r="W11" i="5"/>
  <c r="W10" i="5"/>
  <c r="R10" i="5"/>
  <c r="G10" i="5"/>
  <c r="AH9" i="5"/>
  <c r="I22" i="5" s="1"/>
  <c r="AH8" i="5"/>
  <c r="G22" i="5" s="1"/>
  <c r="W8" i="5"/>
  <c r="O8" i="5"/>
  <c r="AH7" i="5" s="1"/>
  <c r="E22" i="5" s="1"/>
  <c r="G8" i="5"/>
  <c r="W7" i="5"/>
  <c r="AZ26" i="5" l="1"/>
  <c r="AH28" i="5"/>
  <c r="BC23" i="5"/>
  <c r="D26" i="5"/>
  <c r="AS30" i="5"/>
  <c r="Y29" i="5"/>
  <c r="AY29" i="5" s="1"/>
  <c r="BC24" i="5"/>
  <c r="D22" i="5"/>
  <c r="C24" i="5"/>
  <c r="C23" i="5" s="1"/>
  <c r="C22" i="5" s="1"/>
  <c r="P25" i="5"/>
  <c r="P91" i="5" s="1"/>
  <c r="AB11" i="5"/>
  <c r="AC25" i="5" s="1"/>
  <c r="AC91" i="5" s="1"/>
  <c r="T99" i="5" s="1"/>
  <c r="H25" i="5"/>
  <c r="AM25" i="5" s="1"/>
  <c r="W28" i="5"/>
  <c r="AM28" i="5"/>
  <c r="W27" i="5"/>
  <c r="BD27" i="5" s="1"/>
  <c r="AM24" i="5"/>
  <c r="AO24" i="5" s="1"/>
  <c r="AD28" i="5"/>
  <c r="O15" i="5"/>
  <c r="T97" i="5"/>
  <c r="I25" i="5"/>
  <c r="I91" i="5" s="1"/>
  <c r="D27" i="5"/>
  <c r="AP26" i="5"/>
  <c r="C27" i="5"/>
  <c r="U24" i="5"/>
  <c r="W24" i="5" s="1"/>
  <c r="U23" i="5"/>
  <c r="W23" i="5" s="1"/>
  <c r="B22" i="5"/>
  <c r="U22" i="5"/>
  <c r="G25" i="5"/>
  <c r="G91" i="5" s="1"/>
  <c r="E25" i="5"/>
  <c r="E91" i="5" s="1"/>
  <c r="T102" i="5" s="1"/>
  <c r="AM26" i="5"/>
  <c r="AH29" i="5"/>
  <c r="J91" i="5"/>
  <c r="AY25" i="5"/>
  <c r="AD27" i="5"/>
  <c r="AH30" i="5"/>
  <c r="AZ91" i="5"/>
  <c r="T108" i="5"/>
  <c r="I108" i="5"/>
  <c r="AX31" i="5"/>
  <c r="T106" i="5"/>
  <c r="I106" i="5"/>
  <c r="Y30" i="5"/>
  <c r="AX25" i="5"/>
  <c r="F91" i="5"/>
  <c r="I103" i="5"/>
  <c r="T103" i="5"/>
  <c r="AL25" i="5"/>
  <c r="AA26" i="5"/>
  <c r="AM27" i="5"/>
  <c r="AY27" i="5"/>
  <c r="O60" i="5"/>
  <c r="AD29" i="5" l="1"/>
  <c r="I105" i="5"/>
  <c r="T105" i="5"/>
  <c r="AX30" i="5"/>
  <c r="AS31" i="5"/>
  <c r="W26" i="5"/>
  <c r="BD26" i="5" s="1"/>
  <c r="AE27" i="5"/>
  <c r="I99" i="5"/>
  <c r="AD25" i="5"/>
  <c r="H91" i="5"/>
  <c r="AE28" i="5"/>
  <c r="BD28" i="5"/>
  <c r="AM31" i="5"/>
  <c r="BC25" i="5"/>
  <c r="BD24" i="5"/>
  <c r="AE24" i="5"/>
  <c r="AM29" i="5"/>
  <c r="AA91" i="5"/>
  <c r="BA26" i="5"/>
  <c r="BA91" i="5" s="1"/>
  <c r="AD26" i="5"/>
  <c r="AE26" i="5" s="1"/>
  <c r="AD30" i="5"/>
  <c r="AY30" i="5"/>
  <c r="U91" i="5"/>
  <c r="W22" i="5"/>
  <c r="B23" i="5"/>
  <c r="AU23" i="5" s="1"/>
  <c r="AU22" i="5"/>
  <c r="I102" i="5"/>
  <c r="AX32" i="5"/>
  <c r="AP27" i="5"/>
  <c r="BB27" i="5" s="1"/>
  <c r="C28" i="5"/>
  <c r="D28" i="5"/>
  <c r="AO25" i="5"/>
  <c r="O91" i="5"/>
  <c r="AM30" i="5"/>
  <c r="BD23" i="5"/>
  <c r="AE23" i="5"/>
  <c r="BB26" i="5"/>
  <c r="Y31" i="5" l="1"/>
  <c r="AS32" i="5"/>
  <c r="AH31" i="5"/>
  <c r="W29" i="5"/>
  <c r="BD29" i="5" s="1"/>
  <c r="B24" i="5"/>
  <c r="AU24" i="5" s="1"/>
  <c r="AR23" i="5"/>
  <c r="AQ23" i="5"/>
  <c r="AF23" i="5"/>
  <c r="W30" i="5"/>
  <c r="T25" i="5"/>
  <c r="BD22" i="5"/>
  <c r="AE22" i="5"/>
  <c r="T104" i="5"/>
  <c r="I104" i="5"/>
  <c r="C29" i="5"/>
  <c r="AP28" i="5"/>
  <c r="D29" i="5"/>
  <c r="AR24" i="5"/>
  <c r="AQ24" i="5"/>
  <c r="AF24" i="5"/>
  <c r="W31" i="5"/>
  <c r="AM32" i="5"/>
  <c r="I111" i="5"/>
  <c r="T111" i="5"/>
  <c r="Y32" i="5" l="1"/>
  <c r="AH32" i="5"/>
  <c r="AS33" i="5"/>
  <c r="AY31" i="5"/>
  <c r="AD31" i="5"/>
  <c r="AE31" i="5" s="1"/>
  <c r="AE29" i="5"/>
  <c r="W32" i="5"/>
  <c r="BD32" i="5" s="1"/>
  <c r="AM33" i="5"/>
  <c r="BB28" i="5"/>
  <c r="AE30" i="5"/>
  <c r="BD30" i="5"/>
  <c r="B25" i="5"/>
  <c r="AQ22" i="5"/>
  <c r="AR22" i="5"/>
  <c r="AF22" i="5"/>
  <c r="BG22" i="5"/>
  <c r="T91" i="5"/>
  <c r="T110" i="5" s="1"/>
  <c r="W25" i="5"/>
  <c r="AX34" i="5"/>
  <c r="BD31" i="5"/>
  <c r="C30" i="5"/>
  <c r="AP29" i="5"/>
  <c r="BB29" i="5" s="1"/>
  <c r="D30" i="5"/>
  <c r="AX33" i="5"/>
  <c r="AS34" i="5" l="1"/>
  <c r="AH33" i="5"/>
  <c r="Y33" i="5"/>
  <c r="AD32" i="5"/>
  <c r="AE32" i="5" s="1"/>
  <c r="AY32" i="5"/>
  <c r="B26" i="5"/>
  <c r="AU25" i="5"/>
  <c r="W33" i="5"/>
  <c r="BH22" i="5"/>
  <c r="C31" i="5"/>
  <c r="D31" i="5"/>
  <c r="AP30" i="5"/>
  <c r="BB30" i="5" s="1"/>
  <c r="AE25" i="5"/>
  <c r="I110" i="5"/>
  <c r="AD33" i="5" l="1"/>
  <c r="AE33" i="5" s="1"/>
  <c r="AY33" i="5"/>
  <c r="AH34" i="5"/>
  <c r="Y34" i="5"/>
  <c r="AS35" i="5"/>
  <c r="AQ25" i="5"/>
  <c r="AR25" i="5"/>
  <c r="AM35" i="5"/>
  <c r="AF25" i="5"/>
  <c r="BD25" i="5" s="1"/>
  <c r="BD33" i="5"/>
  <c r="B27" i="5"/>
  <c r="AF26" i="5"/>
  <c r="AU26" i="5"/>
  <c r="AX35" i="5"/>
  <c r="AX36" i="5"/>
  <c r="D32" i="5"/>
  <c r="C32" i="5"/>
  <c r="AP31" i="5"/>
  <c r="BB31" i="5" s="1"/>
  <c r="AM34" i="5"/>
  <c r="BJ22" i="5"/>
  <c r="W34" i="5"/>
  <c r="AD34" i="5" l="1"/>
  <c r="AE34" i="5" s="1"/>
  <c r="AY34" i="5"/>
  <c r="Y35" i="5"/>
  <c r="AS36" i="5"/>
  <c r="AH35" i="5"/>
  <c r="W35" i="5"/>
  <c r="BD35" i="5" s="1"/>
  <c r="C33" i="5"/>
  <c r="D33" i="5"/>
  <c r="AP32" i="5"/>
  <c r="BB32" i="5" s="1"/>
  <c r="BK22" i="5"/>
  <c r="BL22" i="5" s="1"/>
  <c r="BI23" i="5"/>
  <c r="AX37" i="5"/>
  <c r="BD34" i="5"/>
  <c r="B28" i="5"/>
  <c r="AF27" i="5"/>
  <c r="AU27" i="5"/>
  <c r="AM36" i="5"/>
  <c r="L52" i="4"/>
  <c r="H52" i="4"/>
  <c r="H20" i="4"/>
  <c r="H51" i="4"/>
  <c r="L38" i="4"/>
  <c r="D49" i="4"/>
  <c r="AD35" i="5" l="1"/>
  <c r="AE35" i="5" s="1"/>
  <c r="AY35" i="5"/>
  <c r="Y36" i="5"/>
  <c r="AS37" i="5"/>
  <c r="AH36" i="5"/>
  <c r="AM37" i="5"/>
  <c r="AX38" i="5"/>
  <c r="BF23" i="5"/>
  <c r="AU28" i="5"/>
  <c r="B29" i="5"/>
  <c r="AF28" i="5"/>
  <c r="C34" i="5"/>
  <c r="AP33" i="5"/>
  <c r="BB33" i="5" s="1"/>
  <c r="D34" i="5"/>
  <c r="W36" i="5"/>
  <c r="L56" i="4"/>
  <c r="L62" i="4" s="1"/>
  <c r="H56" i="4"/>
  <c r="H62" i="4" s="1"/>
  <c r="T52" i="4"/>
  <c r="T58" i="4" s="1"/>
  <c r="P52" i="4"/>
  <c r="P58" i="4" s="1"/>
  <c r="D52" i="4"/>
  <c r="D58" i="4" s="1"/>
  <c r="T40" i="4"/>
  <c r="T41" i="4" s="1"/>
  <c r="P40" i="4"/>
  <c r="P41" i="4" s="1"/>
  <c r="D40" i="4"/>
  <c r="D41" i="4" s="1"/>
  <c r="L42" i="4"/>
  <c r="L43" i="4" s="1"/>
  <c r="L57" i="4" s="1"/>
  <c r="H38" i="4"/>
  <c r="H14" i="4"/>
  <c r="H25" i="4" s="1"/>
  <c r="D14" i="4"/>
  <c r="D22" i="4" s="1"/>
  <c r="H10" i="4"/>
  <c r="H11" i="4" s="1"/>
  <c r="H26" i="4" s="1"/>
  <c r="D10" i="4"/>
  <c r="D11" i="4" s="1"/>
  <c r="D23" i="4" s="1"/>
  <c r="AD36" i="5" l="1"/>
  <c r="AE36" i="5" s="1"/>
  <c r="AY36" i="5"/>
  <c r="AS38" i="5"/>
  <c r="AH37" i="5"/>
  <c r="Y37" i="5"/>
  <c r="W37" i="5"/>
  <c r="AX39" i="5"/>
  <c r="C35" i="5"/>
  <c r="D35" i="5"/>
  <c r="AP34" i="5"/>
  <c r="BB34" i="5" s="1"/>
  <c r="BG23" i="5"/>
  <c r="BD36" i="5"/>
  <c r="AM38" i="5"/>
  <c r="B30" i="5"/>
  <c r="AU29" i="5"/>
  <c r="AF29" i="5"/>
  <c r="P53" i="4"/>
  <c r="P54" i="4" s="1"/>
  <c r="P43" i="4"/>
  <c r="H42" i="4"/>
  <c r="H43" i="4" s="1"/>
  <c r="D43" i="4"/>
  <c r="D53" i="4"/>
  <c r="D54" i="4" s="1"/>
  <c r="D47" i="4"/>
  <c r="D50" i="4" s="1"/>
  <c r="H13" i="4"/>
  <c r="D17" i="4"/>
  <c r="H19" i="4"/>
  <c r="H17" i="4"/>
  <c r="D13" i="4"/>
  <c r="D24" i="4"/>
  <c r="T49" i="4"/>
  <c r="L51" i="4"/>
  <c r="T47" i="4"/>
  <c r="T43" i="4"/>
  <c r="T53" i="4"/>
  <c r="T54" i="4" s="1"/>
  <c r="P47" i="4"/>
  <c r="L49" i="4"/>
  <c r="L45" i="4"/>
  <c r="H27" i="4"/>
  <c r="L58" i="4"/>
  <c r="P49" i="4"/>
  <c r="D19" i="4"/>
  <c r="AS39" i="5" l="1"/>
  <c r="Y38" i="5"/>
  <c r="AH38" i="5"/>
  <c r="AY37" i="5"/>
  <c r="AD37" i="5"/>
  <c r="AE37" i="5" s="1"/>
  <c r="H22" i="4"/>
  <c r="H28" i="4" s="1"/>
  <c r="BD37" i="5"/>
  <c r="W38" i="5"/>
  <c r="BD38" i="5" s="1"/>
  <c r="AM39" i="5"/>
  <c r="B31" i="5"/>
  <c r="AF30" i="5"/>
  <c r="AU30" i="5"/>
  <c r="BH23" i="5"/>
  <c r="C36" i="5"/>
  <c r="D36" i="5"/>
  <c r="AX40" i="5"/>
  <c r="H49" i="4"/>
  <c r="H54" i="4" s="1"/>
  <c r="H57" i="4"/>
  <c r="H58" i="4" s="1"/>
  <c r="H45" i="4"/>
  <c r="P50" i="4"/>
  <c r="P55" i="4" s="1"/>
  <c r="L54" i="4"/>
  <c r="T50" i="4"/>
  <c r="T55" i="4" s="1"/>
  <c r="D55" i="4"/>
  <c r="D20" i="4"/>
  <c r="D25" i="4" s="1"/>
  <c r="AH39" i="5" l="1"/>
  <c r="Y39" i="5"/>
  <c r="AS40" i="5"/>
  <c r="AD38" i="5"/>
  <c r="AE38" i="5" s="1"/>
  <c r="AY38" i="5"/>
  <c r="AM40" i="5"/>
  <c r="AX41" i="5"/>
  <c r="D37" i="5"/>
  <c r="AP36" i="5"/>
  <c r="BB36" i="5" s="1"/>
  <c r="C37" i="5"/>
  <c r="W39" i="5"/>
  <c r="BJ23" i="5"/>
  <c r="B32" i="5"/>
  <c r="AU31" i="5"/>
  <c r="AF31" i="5"/>
  <c r="L59" i="4"/>
  <c r="H59" i="4"/>
  <c r="AH40" i="5" l="1"/>
  <c r="Y40" i="5"/>
  <c r="AS41" i="5"/>
  <c r="AY39" i="5"/>
  <c r="AD39" i="5"/>
  <c r="AE39" i="5" s="1"/>
  <c r="BD39" i="5"/>
  <c r="AX42" i="5"/>
  <c r="B33" i="5"/>
  <c r="AF32" i="5"/>
  <c r="AU32" i="5"/>
  <c r="D38" i="5"/>
  <c r="AP37" i="5"/>
  <c r="BB37" i="5" s="1"/>
  <c r="C38" i="5"/>
  <c r="AM41" i="5"/>
  <c r="BI24" i="5"/>
  <c r="BK23" i="5"/>
  <c r="BL23" i="5" s="1"/>
  <c r="W40" i="5"/>
  <c r="AD40" i="5" l="1"/>
  <c r="AE40" i="5" s="1"/>
  <c r="AY40" i="5"/>
  <c r="Y41" i="5"/>
  <c r="AS42" i="5"/>
  <c r="AH41" i="5"/>
  <c r="B34" i="5"/>
  <c r="AU33" i="5"/>
  <c r="AF33" i="5"/>
  <c r="AM42" i="5"/>
  <c r="BD40" i="5"/>
  <c r="W41" i="5"/>
  <c r="AX43" i="5"/>
  <c r="BF24" i="5"/>
  <c r="D39" i="5"/>
  <c r="C39" i="5"/>
  <c r="AP38" i="5"/>
  <c r="BB38" i="5" s="1"/>
  <c r="Y42" i="5" l="1"/>
  <c r="AS43" i="5"/>
  <c r="AH42" i="5"/>
  <c r="AY41" i="5"/>
  <c r="AD41" i="5"/>
  <c r="AE41" i="5" s="1"/>
  <c r="W42" i="5"/>
  <c r="BD42" i="5" s="1"/>
  <c r="BG24" i="5"/>
  <c r="D40" i="5"/>
  <c r="AP39" i="5"/>
  <c r="BB39" i="5" s="1"/>
  <c r="C40" i="5"/>
  <c r="AM43" i="5"/>
  <c r="AX44" i="5"/>
  <c r="B35" i="5"/>
  <c r="AF34" i="5"/>
  <c r="AU34" i="5"/>
  <c r="BD41" i="5"/>
  <c r="Y43" i="5" l="1"/>
  <c r="AS44" i="5"/>
  <c r="AH43" i="5"/>
  <c r="AD42" i="5"/>
  <c r="AE42" i="5" s="1"/>
  <c r="AY42" i="5"/>
  <c r="W43" i="5"/>
  <c r="AM44" i="5"/>
  <c r="AX45" i="5"/>
  <c r="D41" i="5"/>
  <c r="AP40" i="5"/>
  <c r="BB40" i="5" s="1"/>
  <c r="C41" i="5"/>
  <c r="B36" i="5"/>
  <c r="AU35" i="5"/>
  <c r="AF35" i="5"/>
  <c r="BH24" i="5"/>
  <c r="Y44" i="5" l="1"/>
  <c r="AH44" i="5"/>
  <c r="AS45" i="5"/>
  <c r="AY43" i="5"/>
  <c r="AD43" i="5"/>
  <c r="AE43" i="5" s="1"/>
  <c r="BD43" i="5"/>
  <c r="BJ24" i="5"/>
  <c r="AM45" i="5"/>
  <c r="AX46" i="5"/>
  <c r="D42" i="5"/>
  <c r="AP41" i="5"/>
  <c r="BB41" i="5" s="1"/>
  <c r="C42" i="5"/>
  <c r="B37" i="5"/>
  <c r="AF36" i="5"/>
  <c r="AU36" i="5"/>
  <c r="W44" i="5"/>
  <c r="AS46" i="5" l="1"/>
  <c r="Y45" i="5"/>
  <c r="AH45" i="5"/>
  <c r="AD44" i="5"/>
  <c r="AE44" i="5" s="1"/>
  <c r="AY44" i="5"/>
  <c r="BD44" i="5"/>
  <c r="AU37" i="5"/>
  <c r="AF37" i="5"/>
  <c r="B38" i="5"/>
  <c r="AX47" i="5"/>
  <c r="D43" i="5"/>
  <c r="C43" i="5"/>
  <c r="AP42" i="5"/>
  <c r="BB42" i="5" s="1"/>
  <c r="BI25" i="5"/>
  <c r="BK24" i="5"/>
  <c r="BL24" i="5" s="1"/>
  <c r="AM46" i="5"/>
  <c r="W45" i="5"/>
  <c r="AY45" i="5" l="1"/>
  <c r="AD45" i="5"/>
  <c r="AE45" i="5" s="1"/>
  <c r="AH46" i="5"/>
  <c r="AS47" i="5"/>
  <c r="Y46" i="5"/>
  <c r="W46" i="5"/>
  <c r="BD46" i="5" s="1"/>
  <c r="BF25" i="5"/>
  <c r="AM47" i="5"/>
  <c r="BD45" i="5"/>
  <c r="D44" i="5"/>
  <c r="AP43" i="5"/>
  <c r="BB43" i="5" s="1"/>
  <c r="C44" i="5"/>
  <c r="AX48" i="5"/>
  <c r="B39" i="5"/>
  <c r="AF38" i="5"/>
  <c r="AU38" i="5"/>
  <c r="AS48" i="5" l="1"/>
  <c r="Y47" i="5"/>
  <c r="AH47" i="5"/>
  <c r="AY46" i="5"/>
  <c r="AD46" i="5"/>
  <c r="AE46" i="5" s="1"/>
  <c r="W47" i="5"/>
  <c r="BD47" i="5" s="1"/>
  <c r="AX49" i="5"/>
  <c r="D45" i="5"/>
  <c r="AP44" i="5"/>
  <c r="BB44" i="5" s="1"/>
  <c r="C45" i="5"/>
  <c r="BG25" i="5"/>
  <c r="AU39" i="5"/>
  <c r="AF39" i="5"/>
  <c r="B40" i="5"/>
  <c r="AM48" i="5"/>
  <c r="AY47" i="5" l="1"/>
  <c r="AD47" i="5"/>
  <c r="AE47" i="5" s="1"/>
  <c r="Y48" i="5"/>
  <c r="AH48" i="5"/>
  <c r="AS49" i="5"/>
  <c r="D46" i="5"/>
  <c r="AP45" i="5"/>
  <c r="BB45" i="5" s="1"/>
  <c r="C46" i="5"/>
  <c r="W48" i="5"/>
  <c r="B41" i="5"/>
  <c r="AF40" i="5"/>
  <c r="AU40" i="5"/>
  <c r="BH25" i="5"/>
  <c r="AX50" i="5"/>
  <c r="AM49" i="5"/>
  <c r="AY48" i="5" l="1"/>
  <c r="AD48" i="5"/>
  <c r="AE48" i="5" s="1"/>
  <c r="AS50" i="5"/>
  <c r="Y49" i="5"/>
  <c r="AH49" i="5"/>
  <c r="W49" i="5"/>
  <c r="BD49" i="5" s="1"/>
  <c r="AM50" i="5"/>
  <c r="AU41" i="5"/>
  <c r="AF41" i="5"/>
  <c r="B42" i="5"/>
  <c r="BJ25" i="5"/>
  <c r="BD48" i="5"/>
  <c r="C47" i="5"/>
  <c r="D47" i="5"/>
  <c r="AP46" i="5"/>
  <c r="BB46" i="5" s="1"/>
  <c r="AX51" i="5"/>
  <c r="AY49" i="5" l="1"/>
  <c r="AD49" i="5"/>
  <c r="AE49" i="5" s="1"/>
  <c r="Y50" i="5"/>
  <c r="AH50" i="5"/>
  <c r="AS51" i="5"/>
  <c r="AM51" i="5"/>
  <c r="B43" i="5"/>
  <c r="AF42" i="5"/>
  <c r="AU42" i="5"/>
  <c r="D48" i="5"/>
  <c r="C48" i="5"/>
  <c r="BI26" i="5"/>
  <c r="BK25" i="5"/>
  <c r="AX52" i="5"/>
  <c r="W50" i="5"/>
  <c r="AD50" i="5" l="1"/>
  <c r="AE50" i="5" s="1"/>
  <c r="AY50" i="5"/>
  <c r="Y51" i="5"/>
  <c r="AH51" i="5"/>
  <c r="AS52" i="5"/>
  <c r="BL25" i="5"/>
  <c r="BD50" i="5"/>
  <c r="AM52" i="5"/>
  <c r="C49" i="5"/>
  <c r="D49" i="5"/>
  <c r="AP48" i="5"/>
  <c r="BB48" i="5" s="1"/>
  <c r="AU43" i="5"/>
  <c r="B44" i="5"/>
  <c r="AF43" i="5"/>
  <c r="AX53" i="5"/>
  <c r="W51" i="5"/>
  <c r="AD51" i="5" l="1"/>
  <c r="AE51" i="5" s="1"/>
  <c r="AY51" i="5"/>
  <c r="Y52" i="5"/>
  <c r="AH52" i="5"/>
  <c r="AS53" i="5"/>
  <c r="BF26" i="5"/>
  <c r="W52" i="5"/>
  <c r="AM53" i="5"/>
  <c r="BD51" i="5"/>
  <c r="AX54" i="5"/>
  <c r="B45" i="5"/>
  <c r="AF44" i="5"/>
  <c r="AU44" i="5"/>
  <c r="C50" i="5"/>
  <c r="D50" i="5"/>
  <c r="AP49" i="5"/>
  <c r="BB49" i="5" s="1"/>
  <c r="AD52" i="5" l="1"/>
  <c r="AE52" i="5" s="1"/>
  <c r="AY52" i="5"/>
  <c r="AS54" i="5"/>
  <c r="AH53" i="5"/>
  <c r="Y53" i="5"/>
  <c r="BD52" i="5"/>
  <c r="AX55" i="5"/>
  <c r="AU45" i="5"/>
  <c r="AF45" i="5"/>
  <c r="B46" i="5"/>
  <c r="W53" i="5"/>
  <c r="D51" i="5"/>
  <c r="C51" i="5"/>
  <c r="AP50" i="5"/>
  <c r="BB50" i="5" s="1"/>
  <c r="AM54" i="5"/>
  <c r="AH54" i="5" l="1"/>
  <c r="AS55" i="5"/>
  <c r="Y54" i="5"/>
  <c r="AD53" i="5"/>
  <c r="AE53" i="5" s="1"/>
  <c r="AY53" i="5"/>
  <c r="W54" i="5"/>
  <c r="C52" i="5"/>
  <c r="D52" i="5"/>
  <c r="AP51" i="5"/>
  <c r="BB51" i="5" s="1"/>
  <c r="BD54" i="5"/>
  <c r="AM55" i="5"/>
  <c r="B47" i="5"/>
  <c r="AF46" i="5"/>
  <c r="AU46" i="5"/>
  <c r="AX56" i="5"/>
  <c r="BD53" i="5"/>
  <c r="AD54" i="5" l="1"/>
  <c r="AE54" i="5" s="1"/>
  <c r="AY54" i="5"/>
  <c r="Y55" i="5"/>
  <c r="AH55" i="5"/>
  <c r="AS56" i="5"/>
  <c r="W55" i="5"/>
  <c r="AM56" i="5"/>
  <c r="AU47" i="5"/>
  <c r="AF47" i="5"/>
  <c r="B48" i="5"/>
  <c r="AX57" i="5"/>
  <c r="D53" i="5"/>
  <c r="AP52" i="5"/>
  <c r="BB52" i="5" s="1"/>
  <c r="C53" i="5"/>
  <c r="AD55" i="5" l="1"/>
  <c r="AE55" i="5" s="1"/>
  <c r="AY55" i="5"/>
  <c r="AS57" i="5"/>
  <c r="AH56" i="5"/>
  <c r="Y56" i="5"/>
  <c r="BD55" i="5"/>
  <c r="AX58" i="5"/>
  <c r="C54" i="5"/>
  <c r="D54" i="5"/>
  <c r="AP53" i="5"/>
  <c r="BB53" i="5" s="1"/>
  <c r="AM57" i="5"/>
  <c r="B49" i="5"/>
  <c r="AU48" i="5"/>
  <c r="AF48" i="5"/>
  <c r="W56" i="5"/>
  <c r="Y57" i="5" l="1"/>
  <c r="AS58" i="5"/>
  <c r="AH57" i="5"/>
  <c r="AD56" i="5"/>
  <c r="AE56" i="5" s="1"/>
  <c r="AY56" i="5"/>
  <c r="BD56" i="5"/>
  <c r="W57" i="5"/>
  <c r="D55" i="5"/>
  <c r="C55" i="5"/>
  <c r="AP54" i="5"/>
  <c r="BB54" i="5" s="1"/>
  <c r="AM58" i="5"/>
  <c r="AF49" i="5"/>
  <c r="AU49" i="5"/>
  <c r="B50" i="5"/>
  <c r="AX59" i="5"/>
  <c r="Y58" i="5" l="1"/>
  <c r="AH58" i="5"/>
  <c r="AS59" i="5"/>
  <c r="AY57" i="5"/>
  <c r="AD57" i="5"/>
  <c r="AE57" i="5" s="1"/>
  <c r="W58" i="5"/>
  <c r="BD58" i="5" s="1"/>
  <c r="BD57" i="5"/>
  <c r="AX60" i="5"/>
  <c r="AU50" i="5"/>
  <c r="B51" i="5"/>
  <c r="AF50" i="5"/>
  <c r="AM59" i="5"/>
  <c r="C56" i="5"/>
  <c r="AP55" i="5"/>
  <c r="BB55" i="5" s="1"/>
  <c r="D56" i="5"/>
  <c r="AH59" i="5" l="1"/>
  <c r="Y59" i="5"/>
  <c r="AS60" i="5"/>
  <c r="AY58" i="5"/>
  <c r="AD58" i="5"/>
  <c r="AE58" i="5" s="1"/>
  <c r="W59" i="5"/>
  <c r="D57" i="5"/>
  <c r="AP56" i="5"/>
  <c r="BB56" i="5" s="1"/>
  <c r="C57" i="5"/>
  <c r="AM60" i="5"/>
  <c r="AU51" i="5"/>
  <c r="B52" i="5"/>
  <c r="AF51" i="5"/>
  <c r="AX61" i="5"/>
  <c r="AS61" i="5" l="1"/>
  <c r="AH60" i="5"/>
  <c r="Y60" i="5"/>
  <c r="AD59" i="5"/>
  <c r="AE59" i="5" s="1"/>
  <c r="AY59" i="5"/>
  <c r="BD59" i="5"/>
  <c r="AM61" i="5"/>
  <c r="AU52" i="5"/>
  <c r="AF52" i="5"/>
  <c r="B53" i="5"/>
  <c r="C58" i="5"/>
  <c r="D58" i="5"/>
  <c r="AP57" i="5"/>
  <c r="BB57" i="5" s="1"/>
  <c r="W60" i="5"/>
  <c r="AD60" i="5" l="1"/>
  <c r="AE60" i="5" s="1"/>
  <c r="AY60" i="5"/>
  <c r="AS62" i="5"/>
  <c r="AH61" i="5"/>
  <c r="Y61" i="5"/>
  <c r="W61" i="5"/>
  <c r="BD61" i="5" s="1"/>
  <c r="BD60" i="5"/>
  <c r="D59" i="5"/>
  <c r="AP58" i="5"/>
  <c r="BB58" i="5" s="1"/>
  <c r="C59" i="5"/>
  <c r="AU53" i="5"/>
  <c r="AF53" i="5"/>
  <c r="B54" i="5"/>
  <c r="X62" i="5" l="1"/>
  <c r="AX62" i="5" s="1"/>
  <c r="R62" i="5"/>
  <c r="S62" i="5" s="1"/>
  <c r="AM62" i="5" s="1"/>
  <c r="AS63" i="5"/>
  <c r="AG62" i="5"/>
  <c r="AH62" i="5"/>
  <c r="Y62" i="5"/>
  <c r="AD61" i="5"/>
  <c r="AE61" i="5" s="1"/>
  <c r="AY61" i="5"/>
  <c r="C60" i="5"/>
  <c r="D60" i="5"/>
  <c r="AU54" i="5"/>
  <c r="B55" i="5"/>
  <c r="AF54" i="5"/>
  <c r="AI62" i="5" l="1"/>
  <c r="W62" i="5"/>
  <c r="BD62" i="5" s="1"/>
  <c r="AS64" i="5"/>
  <c r="Y63" i="5"/>
  <c r="X63" i="5"/>
  <c r="AX63" i="5" s="1"/>
  <c r="AH63" i="5"/>
  <c r="AG63" i="5"/>
  <c r="R63" i="5"/>
  <c r="S63" i="5" s="1"/>
  <c r="AM63" i="5" s="1"/>
  <c r="AY62" i="5"/>
  <c r="AD62" i="5"/>
  <c r="AE62" i="5" s="1"/>
  <c r="AU55" i="5"/>
  <c r="B56" i="5"/>
  <c r="AF55" i="5"/>
  <c r="D61" i="5"/>
  <c r="AP60" i="5"/>
  <c r="BB60" i="5" s="1"/>
  <c r="C61" i="5"/>
  <c r="W63" i="5" l="1"/>
  <c r="BD63" i="5" s="1"/>
  <c r="AK62" i="5"/>
  <c r="AV62" i="5" s="1"/>
  <c r="AJ62" i="5"/>
  <c r="AD63" i="5"/>
  <c r="AY63" i="5"/>
  <c r="AI63" i="5"/>
  <c r="AG64" i="5"/>
  <c r="R64" i="5"/>
  <c r="S64" i="5" s="1"/>
  <c r="AM64" i="5" s="1"/>
  <c r="X64" i="5"/>
  <c r="AX64" i="5" s="1"/>
  <c r="AH64" i="5"/>
  <c r="AS65" i="5"/>
  <c r="Y64" i="5"/>
  <c r="D62" i="5"/>
  <c r="C62" i="5"/>
  <c r="AP61" i="5"/>
  <c r="BB61" i="5" s="1"/>
  <c r="AU56" i="5"/>
  <c r="B57" i="5"/>
  <c r="AF56" i="5"/>
  <c r="AE63" i="5" l="1"/>
  <c r="W64" i="5"/>
  <c r="BD64" i="5" s="1"/>
  <c r="AI64" i="5"/>
  <c r="AW62" i="5"/>
  <c r="AL62" i="5"/>
  <c r="AG65" i="5"/>
  <c r="X65" i="5"/>
  <c r="AX65" i="5" s="1"/>
  <c r="R65" i="5"/>
  <c r="S65" i="5" s="1"/>
  <c r="AM65" i="5" s="1"/>
  <c r="AS66" i="5"/>
  <c r="Y65" i="5"/>
  <c r="AH65" i="5"/>
  <c r="AK63" i="5"/>
  <c r="AV63" i="5" s="1"/>
  <c r="AJ63" i="5"/>
  <c r="AD64" i="5"/>
  <c r="AY64" i="5"/>
  <c r="C63" i="5"/>
  <c r="AP62" i="5"/>
  <c r="D63" i="5"/>
  <c r="AU57" i="5"/>
  <c r="AF57" i="5"/>
  <c r="B58" i="5"/>
  <c r="AE64" i="5" l="1"/>
  <c r="W65" i="5"/>
  <c r="BD65" i="5" s="1"/>
  <c r="AJ64" i="5"/>
  <c r="AK64" i="5"/>
  <c r="AV64" i="5" s="1"/>
  <c r="AW63" i="5"/>
  <c r="AL63" i="5"/>
  <c r="X66" i="5"/>
  <c r="AX66" i="5" s="1"/>
  <c r="AG66" i="5"/>
  <c r="AH66" i="5"/>
  <c r="Y66" i="5"/>
  <c r="AS67" i="5"/>
  <c r="R66" i="5"/>
  <c r="S66" i="5" s="1"/>
  <c r="AM66" i="5" s="1"/>
  <c r="AY65" i="5"/>
  <c r="AD65" i="5"/>
  <c r="AI65" i="5"/>
  <c r="AU58" i="5"/>
  <c r="B59" i="5"/>
  <c r="AF58" i="5"/>
  <c r="BB62" i="5"/>
  <c r="BC62" i="5" s="1"/>
  <c r="AQ62" i="5"/>
  <c r="D64" i="5"/>
  <c r="AP63" i="5"/>
  <c r="C64" i="5"/>
  <c r="AE65" i="5" l="1"/>
  <c r="W66" i="5"/>
  <c r="BD66" i="5" s="1"/>
  <c r="AW64" i="5"/>
  <c r="AL64" i="5"/>
  <c r="AY66" i="5"/>
  <c r="AD66" i="5"/>
  <c r="AK65" i="5"/>
  <c r="AV65" i="5" s="1"/>
  <c r="AJ65" i="5"/>
  <c r="AG67" i="5"/>
  <c r="Y67" i="5"/>
  <c r="R67" i="5"/>
  <c r="S67" i="5" s="1"/>
  <c r="AM67" i="5" s="1"/>
  <c r="AH67" i="5"/>
  <c r="X67" i="5"/>
  <c r="AX67" i="5" s="1"/>
  <c r="AS68" i="5"/>
  <c r="AI66" i="5"/>
  <c r="BB63" i="5"/>
  <c r="BC63" i="5" s="1"/>
  <c r="AQ63" i="5"/>
  <c r="AU59" i="5"/>
  <c r="AF59" i="5"/>
  <c r="B60" i="5"/>
  <c r="C65" i="5"/>
  <c r="AP64" i="5"/>
  <c r="D65" i="5"/>
  <c r="AE66" i="5" l="1"/>
  <c r="W67" i="5"/>
  <c r="BD67" i="5" s="1"/>
  <c r="AL65" i="5"/>
  <c r="AW65" i="5"/>
  <c r="AJ66" i="5"/>
  <c r="AK66" i="5"/>
  <c r="AV66" i="5" s="1"/>
  <c r="AS69" i="5"/>
  <c r="AG68" i="5"/>
  <c r="AH68" i="5"/>
  <c r="X68" i="5"/>
  <c r="AX68" i="5" s="1"/>
  <c r="Y68" i="5"/>
  <c r="R68" i="5"/>
  <c r="S68" i="5" s="1"/>
  <c r="AM68" i="5" s="1"/>
  <c r="AD67" i="5"/>
  <c r="AY67" i="5"/>
  <c r="AI67" i="5"/>
  <c r="BB64" i="5"/>
  <c r="BC64" i="5" s="1"/>
  <c r="AQ64" i="5"/>
  <c r="D66" i="5"/>
  <c r="AP65" i="5"/>
  <c r="C66" i="5"/>
  <c r="AU60" i="5"/>
  <c r="AF60" i="5"/>
  <c r="B61" i="5"/>
  <c r="AE67" i="5" l="1"/>
  <c r="W68" i="5"/>
  <c r="BD68" i="5" s="1"/>
  <c r="AW66" i="5"/>
  <c r="AL66" i="5"/>
  <c r="AI68" i="5"/>
  <c r="AJ67" i="5"/>
  <c r="AK67" i="5"/>
  <c r="AV67" i="5" s="1"/>
  <c r="AD68" i="5"/>
  <c r="AY68" i="5"/>
  <c r="Y69" i="5"/>
  <c r="R69" i="5"/>
  <c r="S69" i="5" s="1"/>
  <c r="AM69" i="5" s="1"/>
  <c r="AS70" i="5"/>
  <c r="X69" i="5"/>
  <c r="AX69" i="5" s="1"/>
  <c r="AG69" i="5"/>
  <c r="AH69" i="5"/>
  <c r="BB65" i="5"/>
  <c r="BC65" i="5" s="1"/>
  <c r="AQ65" i="5"/>
  <c r="AU61" i="5"/>
  <c r="AF61" i="5"/>
  <c r="B62" i="5"/>
  <c r="C67" i="5"/>
  <c r="AP66" i="5"/>
  <c r="D67" i="5"/>
  <c r="AE68" i="5" l="1"/>
  <c r="AI69" i="5"/>
  <c r="AJ69" i="5" s="1"/>
  <c r="W69" i="5"/>
  <c r="BD69" i="5" s="1"/>
  <c r="R70" i="5"/>
  <c r="S70" i="5" s="1"/>
  <c r="AM70" i="5" s="1"/>
  <c r="AG70" i="5"/>
  <c r="AH70" i="5"/>
  <c r="AS71" i="5"/>
  <c r="Y70" i="5"/>
  <c r="X70" i="5"/>
  <c r="AX70" i="5" s="1"/>
  <c r="AJ68" i="5"/>
  <c r="AK68" i="5"/>
  <c r="AV68" i="5" s="1"/>
  <c r="AY69" i="5"/>
  <c r="AD69" i="5"/>
  <c r="AW67" i="5"/>
  <c r="AL67" i="5"/>
  <c r="BB66" i="5"/>
  <c r="BC66" i="5" s="1"/>
  <c r="AQ66" i="5"/>
  <c r="D68" i="5"/>
  <c r="AP67" i="5"/>
  <c r="C68" i="5"/>
  <c r="B63" i="5"/>
  <c r="AF62" i="5"/>
  <c r="AU62" i="5"/>
  <c r="AE69" i="5" l="1"/>
  <c r="AK69" i="5"/>
  <c r="AV69" i="5" s="1"/>
  <c r="AD70" i="5"/>
  <c r="AY70" i="5"/>
  <c r="W70" i="5"/>
  <c r="BD70" i="5" s="1"/>
  <c r="AW68" i="5"/>
  <c r="AL68" i="5"/>
  <c r="AW69" i="5"/>
  <c r="AL69" i="5"/>
  <c r="AS72" i="5"/>
  <c r="X71" i="5"/>
  <c r="AX71" i="5" s="1"/>
  <c r="AH71" i="5"/>
  <c r="R71" i="5"/>
  <c r="S71" i="5" s="1"/>
  <c r="AM71" i="5" s="1"/>
  <c r="Y71" i="5"/>
  <c r="AG71" i="5"/>
  <c r="AI70" i="5"/>
  <c r="AU63" i="5"/>
  <c r="AF63" i="5"/>
  <c r="B64" i="5"/>
  <c r="D69" i="5"/>
  <c r="C69" i="5"/>
  <c r="AP68" i="5"/>
  <c r="BB67" i="5"/>
  <c r="BC67" i="5" s="1"/>
  <c r="AQ67" i="5"/>
  <c r="AE70" i="5" l="1"/>
  <c r="W71" i="5"/>
  <c r="BD71" i="5" s="1"/>
  <c r="AI71" i="5"/>
  <c r="AJ71" i="5" s="1"/>
  <c r="AW71" i="5" s="1"/>
  <c r="AD71" i="5"/>
  <c r="AY71" i="5"/>
  <c r="Y72" i="5"/>
  <c r="R72" i="5"/>
  <c r="S72" i="5" s="1"/>
  <c r="AM72" i="5" s="1"/>
  <c r="AH72" i="5"/>
  <c r="AS73" i="5"/>
  <c r="AG72" i="5"/>
  <c r="X72" i="5"/>
  <c r="AX72" i="5" s="1"/>
  <c r="AJ70" i="5"/>
  <c r="AK70" i="5"/>
  <c r="AV70" i="5" s="1"/>
  <c r="B65" i="5"/>
  <c r="AF64" i="5"/>
  <c r="AU64" i="5"/>
  <c r="BB68" i="5"/>
  <c r="BC68" i="5" s="1"/>
  <c r="AQ68" i="5"/>
  <c r="D70" i="5"/>
  <c r="AP69" i="5"/>
  <c r="C70" i="5"/>
  <c r="AL71" i="5" l="1"/>
  <c r="AE71" i="5"/>
  <c r="AK71" i="5"/>
  <c r="AV71" i="5" s="1"/>
  <c r="BC71" i="5" s="1"/>
  <c r="AI72" i="5"/>
  <c r="AY72" i="5"/>
  <c r="AD72" i="5"/>
  <c r="W72" i="5"/>
  <c r="BD72" i="5" s="1"/>
  <c r="AL70" i="5"/>
  <c r="AW70" i="5"/>
  <c r="R73" i="5"/>
  <c r="S73" i="5" s="1"/>
  <c r="AM73" i="5" s="1"/>
  <c r="AG73" i="5"/>
  <c r="AH73" i="5"/>
  <c r="Y73" i="5"/>
  <c r="AS74" i="5"/>
  <c r="X73" i="5"/>
  <c r="AX73" i="5" s="1"/>
  <c r="BB69" i="5"/>
  <c r="BC69" i="5" s="1"/>
  <c r="AQ69" i="5"/>
  <c r="AU65" i="5"/>
  <c r="AF65" i="5"/>
  <c r="B66" i="5"/>
  <c r="D71" i="5"/>
  <c r="C71" i="5"/>
  <c r="AP70" i="5"/>
  <c r="AQ71" i="5" l="1"/>
  <c r="W73" i="5"/>
  <c r="BD73" i="5" s="1"/>
  <c r="AI73" i="5"/>
  <c r="AJ73" i="5" s="1"/>
  <c r="AK72" i="5"/>
  <c r="AV72" i="5" s="1"/>
  <c r="AJ72" i="5"/>
  <c r="AE72" i="5"/>
  <c r="AH74" i="5"/>
  <c r="R74" i="5"/>
  <c r="S74" i="5" s="1"/>
  <c r="AM74" i="5" s="1"/>
  <c r="X74" i="5"/>
  <c r="AX74" i="5" s="1"/>
  <c r="Y74" i="5"/>
  <c r="AG74" i="5"/>
  <c r="AS75" i="5"/>
  <c r="AD73" i="5"/>
  <c r="AY73" i="5"/>
  <c r="D72" i="5"/>
  <c r="C72" i="5"/>
  <c r="BB70" i="5"/>
  <c r="BC70" i="5" s="1"/>
  <c r="AQ70" i="5"/>
  <c r="B67" i="5"/>
  <c r="AF66" i="5"/>
  <c r="AU66" i="5"/>
  <c r="AI74" i="5" l="1"/>
  <c r="AK74" i="5" s="1"/>
  <c r="AV74" i="5" s="1"/>
  <c r="AE73" i="5"/>
  <c r="AK73" i="5"/>
  <c r="AV73" i="5" s="1"/>
  <c r="AL72" i="5"/>
  <c r="AW72" i="5"/>
  <c r="W74" i="5"/>
  <c r="BD74" i="5" s="1"/>
  <c r="X75" i="5"/>
  <c r="AX75" i="5" s="1"/>
  <c r="AH75" i="5"/>
  <c r="Y75" i="5"/>
  <c r="AS76" i="5"/>
  <c r="AG75" i="5"/>
  <c r="R75" i="5"/>
  <c r="S75" i="5" s="1"/>
  <c r="AM75" i="5" s="1"/>
  <c r="AW73" i="5"/>
  <c r="AL73" i="5"/>
  <c r="AD74" i="5"/>
  <c r="AY74" i="5"/>
  <c r="C73" i="5"/>
  <c r="D73" i="5"/>
  <c r="AP72" i="5"/>
  <c r="AU67" i="5"/>
  <c r="B68" i="5"/>
  <c r="AF67" i="5"/>
  <c r="AJ74" i="5" l="1"/>
  <c r="AW74" i="5" s="1"/>
  <c r="W75" i="5"/>
  <c r="BD75" i="5" s="1"/>
  <c r="AE74" i="5"/>
  <c r="AH76" i="5"/>
  <c r="AS77" i="5"/>
  <c r="Y76" i="5"/>
  <c r="X76" i="5"/>
  <c r="AX76" i="5" s="1"/>
  <c r="AG76" i="5"/>
  <c r="R76" i="5"/>
  <c r="S76" i="5" s="1"/>
  <c r="AM76" i="5" s="1"/>
  <c r="AD75" i="5"/>
  <c r="AY75" i="5"/>
  <c r="AI75" i="5"/>
  <c r="BB72" i="5"/>
  <c r="BC72" i="5" s="1"/>
  <c r="AQ72" i="5"/>
  <c r="B69" i="5"/>
  <c r="AF68" i="5"/>
  <c r="AU68" i="5"/>
  <c r="D74" i="5"/>
  <c r="C74" i="5"/>
  <c r="AP73" i="5"/>
  <c r="AL74" i="5" l="1"/>
  <c r="AE75" i="5"/>
  <c r="AI76" i="5"/>
  <c r="AJ76" i="5" s="1"/>
  <c r="AW76" i="5" s="1"/>
  <c r="AG86" i="10"/>
  <c r="W76" i="5"/>
  <c r="BD76" i="5" s="1"/>
  <c r="AY76" i="5"/>
  <c r="AD76" i="5"/>
  <c r="X77" i="5"/>
  <c r="AX77" i="5" s="1"/>
  <c r="AH77" i="5"/>
  <c r="Y77" i="5"/>
  <c r="AS78" i="5"/>
  <c r="R77" i="5"/>
  <c r="S77" i="5" s="1"/>
  <c r="AM77" i="5" s="1"/>
  <c r="AG77" i="5"/>
  <c r="AK75" i="5"/>
  <c r="AV75" i="5" s="1"/>
  <c r="AJ75" i="5"/>
  <c r="AU69" i="5"/>
  <c r="AF69" i="5"/>
  <c r="B70" i="5"/>
  <c r="BB73" i="5"/>
  <c r="BC73" i="5" s="1"/>
  <c r="AQ73" i="5"/>
  <c r="C75" i="5"/>
  <c r="AP74" i="5"/>
  <c r="D75" i="5"/>
  <c r="AK76" i="5" l="1"/>
  <c r="AV76" i="5" s="1"/>
  <c r="AL76" i="5"/>
  <c r="AF86" i="10"/>
  <c r="AH86" i="10"/>
  <c r="AE76" i="5"/>
  <c r="AI77" i="5"/>
  <c r="W77" i="5"/>
  <c r="BD77" i="5" s="1"/>
  <c r="AW75" i="5"/>
  <c r="AL75" i="5"/>
  <c r="Y78" i="5"/>
  <c r="AG78" i="5"/>
  <c r="R78" i="5"/>
  <c r="S78" i="5" s="1"/>
  <c r="AM78" i="5" s="1"/>
  <c r="AH78" i="5"/>
  <c r="X78" i="5"/>
  <c r="AX78" i="5" s="1"/>
  <c r="AS79" i="5"/>
  <c r="AD77" i="5"/>
  <c r="AY77" i="5"/>
  <c r="BB74" i="5"/>
  <c r="BC74" i="5" s="1"/>
  <c r="AQ74" i="5"/>
  <c r="B71" i="5"/>
  <c r="AF70" i="5"/>
  <c r="AU70" i="5"/>
  <c r="D76" i="5"/>
  <c r="AP75" i="5"/>
  <c r="C76" i="5"/>
  <c r="AE77" i="5" l="1"/>
  <c r="W78" i="5"/>
  <c r="BD78" i="5" s="1"/>
  <c r="AK77" i="5"/>
  <c r="AV77" i="5" s="1"/>
  <c r="AJ77" i="5"/>
  <c r="AS80" i="5"/>
  <c r="R79" i="5"/>
  <c r="S79" i="5" s="1"/>
  <c r="AM79" i="5" s="1"/>
  <c r="AG79" i="5"/>
  <c r="X79" i="5"/>
  <c r="AX79" i="5" s="1"/>
  <c r="AH79" i="5"/>
  <c r="Y79" i="5"/>
  <c r="AI78" i="5"/>
  <c r="AY78" i="5"/>
  <c r="AD78" i="5"/>
  <c r="BB75" i="5"/>
  <c r="BC75" i="5" s="1"/>
  <c r="AQ75" i="5"/>
  <c r="C77" i="5"/>
  <c r="AP76" i="5"/>
  <c r="D77" i="5"/>
  <c r="AU71" i="5"/>
  <c r="B72" i="5"/>
  <c r="AF71" i="5"/>
  <c r="AE78" i="5" l="1"/>
  <c r="AW77" i="5"/>
  <c r="AL77" i="5"/>
  <c r="AI79" i="5"/>
  <c r="AJ79" i="5" s="1"/>
  <c r="AW79" i="5" s="1"/>
  <c r="AK78" i="5"/>
  <c r="AV78" i="5" s="1"/>
  <c r="AJ78" i="5"/>
  <c r="AY79" i="5"/>
  <c r="AD79" i="5"/>
  <c r="W79" i="5"/>
  <c r="BD79" i="5" s="1"/>
  <c r="AH80" i="5"/>
  <c r="X80" i="5"/>
  <c r="AX80" i="5" s="1"/>
  <c r="AS81" i="5"/>
  <c r="AG80" i="5"/>
  <c r="R80" i="5"/>
  <c r="S80" i="5" s="1"/>
  <c r="AM80" i="5" s="1"/>
  <c r="Y80" i="5"/>
  <c r="D78" i="5"/>
  <c r="AP77" i="5"/>
  <c r="C78" i="5"/>
  <c r="AU72" i="5"/>
  <c r="AF72" i="5"/>
  <c r="B73" i="5"/>
  <c r="BB76" i="5"/>
  <c r="BC76" i="5" s="1"/>
  <c r="AQ76" i="5"/>
  <c r="AL79" i="5" l="1"/>
  <c r="AK79" i="5"/>
  <c r="AV79" i="5" s="1"/>
  <c r="AE79" i="5"/>
  <c r="AY80" i="5"/>
  <c r="AD80" i="5"/>
  <c r="AG81" i="5"/>
  <c r="Y81" i="5"/>
  <c r="X81" i="5"/>
  <c r="AX81" i="5" s="1"/>
  <c r="AH81" i="5"/>
  <c r="AS82" i="5"/>
  <c r="R81" i="5"/>
  <c r="S81" i="5" s="1"/>
  <c r="AM81" i="5" s="1"/>
  <c r="AW78" i="5"/>
  <c r="AL78" i="5"/>
  <c r="W80" i="5"/>
  <c r="AI80" i="5"/>
  <c r="AU73" i="5"/>
  <c r="AF73" i="5"/>
  <c r="B74" i="5"/>
  <c r="C79" i="5"/>
  <c r="AP78" i="5"/>
  <c r="D79" i="5"/>
  <c r="BB77" i="5"/>
  <c r="BC77" i="5" s="1"/>
  <c r="AQ77" i="5"/>
  <c r="AI81" i="5" l="1"/>
  <c r="AJ81" i="5" s="1"/>
  <c r="AW81" i="5" s="1"/>
  <c r="AS83" i="5"/>
  <c r="AG82" i="5"/>
  <c r="R82" i="5"/>
  <c r="S82" i="5" s="1"/>
  <c r="AM82" i="5" s="1"/>
  <c r="AH82" i="5"/>
  <c r="X82" i="5"/>
  <c r="AX82" i="5" s="1"/>
  <c r="Y82" i="5"/>
  <c r="AJ80" i="5"/>
  <c r="AK80" i="5"/>
  <c r="AV80" i="5" s="1"/>
  <c r="AY81" i="5"/>
  <c r="AD81" i="5"/>
  <c r="W81" i="5"/>
  <c r="BD81" i="5" s="1"/>
  <c r="BD80" i="5"/>
  <c r="AE80" i="5"/>
  <c r="B75" i="5"/>
  <c r="AF74" i="5"/>
  <c r="AU74" i="5"/>
  <c r="BB78" i="5"/>
  <c r="BC78" i="5" s="1"/>
  <c r="AQ78" i="5"/>
  <c r="D80" i="5"/>
  <c r="AP79" i="5"/>
  <c r="C80" i="5"/>
  <c r="W82" i="5" l="1"/>
  <c r="BD82" i="5" s="1"/>
  <c r="AK81" i="5"/>
  <c r="AV81" i="5" s="1"/>
  <c r="AL81" i="5"/>
  <c r="AW80" i="5"/>
  <c r="AL80" i="5"/>
  <c r="AE81" i="5"/>
  <c r="AD82" i="5"/>
  <c r="AY82" i="5"/>
  <c r="AI82" i="5"/>
  <c r="AG83" i="5"/>
  <c r="R83" i="5"/>
  <c r="S83" i="5" s="1"/>
  <c r="AM83" i="5" s="1"/>
  <c r="Y83" i="5"/>
  <c r="AS84" i="5"/>
  <c r="X83" i="5"/>
  <c r="AX83" i="5" s="1"/>
  <c r="AH83" i="5"/>
  <c r="AU75" i="5"/>
  <c r="B76" i="5"/>
  <c r="AF75" i="5"/>
  <c r="C81" i="5"/>
  <c r="AP80" i="5"/>
  <c r="D81" i="5"/>
  <c r="BB79" i="5"/>
  <c r="BC79" i="5" s="1"/>
  <c r="AQ79" i="5"/>
  <c r="AE82" i="5" l="1"/>
  <c r="W83" i="5"/>
  <c r="AI83" i="5"/>
  <c r="R84" i="5"/>
  <c r="S84" i="5" s="1"/>
  <c r="AM84" i="5" s="1"/>
  <c r="X84" i="5"/>
  <c r="AX84" i="5" s="1"/>
  <c r="AH84" i="5"/>
  <c r="AG84" i="5"/>
  <c r="Y84" i="5"/>
  <c r="AS85" i="5"/>
  <c r="AK82" i="5"/>
  <c r="AV82" i="5" s="1"/>
  <c r="AJ82" i="5"/>
  <c r="AY83" i="5"/>
  <c r="AD83" i="5"/>
  <c r="BD83" i="5"/>
  <c r="D82" i="5"/>
  <c r="AP81" i="5"/>
  <c r="C82" i="5"/>
  <c r="B77" i="5"/>
  <c r="AF76" i="5"/>
  <c r="AU76" i="5"/>
  <c r="BB80" i="5"/>
  <c r="BC80" i="5" s="1"/>
  <c r="AQ80" i="5"/>
  <c r="AE83" i="5" l="1"/>
  <c r="W84" i="5"/>
  <c r="BD84" i="5" s="1"/>
  <c r="AG85" i="5"/>
  <c r="X85" i="5"/>
  <c r="AX85" i="5" s="1"/>
  <c r="AS86" i="5"/>
  <c r="R85" i="5"/>
  <c r="S85" i="5" s="1"/>
  <c r="AM85" i="5" s="1"/>
  <c r="AH85" i="5"/>
  <c r="Y85" i="5"/>
  <c r="AD84" i="5"/>
  <c r="AY84" i="5"/>
  <c r="AW82" i="5"/>
  <c r="AL82" i="5"/>
  <c r="AI84" i="5"/>
  <c r="AK83" i="5"/>
  <c r="AV83" i="5" s="1"/>
  <c r="AJ83" i="5"/>
  <c r="D83" i="5"/>
  <c r="C83" i="5"/>
  <c r="AP82" i="5"/>
  <c r="BB81" i="5"/>
  <c r="BC81" i="5" s="1"/>
  <c r="AQ81" i="5"/>
  <c r="AU77" i="5"/>
  <c r="B78" i="5"/>
  <c r="AF77" i="5"/>
  <c r="AE84" i="5" l="1"/>
  <c r="W85" i="5"/>
  <c r="AJ84" i="5"/>
  <c r="AK84" i="5"/>
  <c r="AV84" i="5" s="1"/>
  <c r="AH86" i="5"/>
  <c r="X86" i="5"/>
  <c r="AX86" i="5" s="1"/>
  <c r="Y86" i="5"/>
  <c r="AG86" i="5"/>
  <c r="R86" i="5"/>
  <c r="S86" i="5" s="1"/>
  <c r="AM86" i="5" s="1"/>
  <c r="AS87" i="5"/>
  <c r="AD85" i="5"/>
  <c r="AY85" i="5"/>
  <c r="AW83" i="5"/>
  <c r="AL83" i="5"/>
  <c r="AI85" i="5"/>
  <c r="D84" i="5"/>
  <c r="AP83" i="5"/>
  <c r="C84" i="5"/>
  <c r="B79" i="5"/>
  <c r="AF78" i="5"/>
  <c r="AU78" i="5"/>
  <c r="BB82" i="5"/>
  <c r="BC82" i="5" s="1"/>
  <c r="AQ82" i="5"/>
  <c r="AI86" i="5" l="1"/>
  <c r="AK85" i="5"/>
  <c r="AV85" i="5" s="1"/>
  <c r="AJ85" i="5"/>
  <c r="AD86" i="5"/>
  <c r="AY86" i="5"/>
  <c r="AW84" i="5"/>
  <c r="AL84" i="5"/>
  <c r="W86" i="5"/>
  <c r="BD86" i="5" s="1"/>
  <c r="Y87" i="5"/>
  <c r="R87" i="5"/>
  <c r="S87" i="5" s="1"/>
  <c r="AM87" i="5" s="1"/>
  <c r="AS88" i="5"/>
  <c r="AH87" i="5"/>
  <c r="AG87" i="5"/>
  <c r="X87" i="5"/>
  <c r="AX87" i="5" s="1"/>
  <c r="AE85" i="5"/>
  <c r="BD85" i="5"/>
  <c r="BB83" i="5"/>
  <c r="BC83" i="5" s="1"/>
  <c r="AQ83" i="5"/>
  <c r="AU79" i="5"/>
  <c r="B80" i="5"/>
  <c r="AF79" i="5"/>
  <c r="C85" i="5"/>
  <c r="AP84" i="5"/>
  <c r="D85" i="5"/>
  <c r="W87" i="5" l="1"/>
  <c r="BD87" i="5" s="1"/>
  <c r="AG88" i="5"/>
  <c r="Y88" i="5"/>
  <c r="AS89" i="5"/>
  <c r="R88" i="5"/>
  <c r="S88" i="5" s="1"/>
  <c r="AM88" i="5" s="1"/>
  <c r="X88" i="5"/>
  <c r="AX88" i="5" s="1"/>
  <c r="AH88" i="5"/>
  <c r="AW85" i="5"/>
  <c r="AL85" i="5"/>
  <c r="AE86" i="5"/>
  <c r="AI87" i="5"/>
  <c r="AD87" i="5"/>
  <c r="AY87" i="5"/>
  <c r="AJ86" i="5"/>
  <c r="AK86" i="5"/>
  <c r="AV86" i="5" s="1"/>
  <c r="B81" i="5"/>
  <c r="AF80" i="5"/>
  <c r="AU80" i="5"/>
  <c r="BB84" i="5"/>
  <c r="BC84" i="5" s="1"/>
  <c r="AQ84" i="5"/>
  <c r="D86" i="5"/>
  <c r="AP85" i="5"/>
  <c r="C86" i="5"/>
  <c r="AE87" i="5" l="1"/>
  <c r="W88" i="5"/>
  <c r="BD88" i="5" s="1"/>
  <c r="AS90" i="5"/>
  <c r="AH89" i="5"/>
  <c r="AG89" i="5"/>
  <c r="R89" i="5"/>
  <c r="S89" i="5" s="1"/>
  <c r="AM89" i="5" s="1"/>
  <c r="X89" i="5"/>
  <c r="AX89" i="5" s="1"/>
  <c r="Y89" i="5"/>
  <c r="AK87" i="5"/>
  <c r="AV87" i="5" s="1"/>
  <c r="AJ87" i="5"/>
  <c r="AD88" i="5"/>
  <c r="AY88" i="5"/>
  <c r="AL86" i="5"/>
  <c r="AW86" i="5"/>
  <c r="AI88" i="5"/>
  <c r="AP86" i="5"/>
  <c r="D87" i="5"/>
  <c r="C87" i="5"/>
  <c r="BB85" i="5"/>
  <c r="BC85" i="5" s="1"/>
  <c r="AQ85" i="5"/>
  <c r="AU81" i="5"/>
  <c r="B82" i="5"/>
  <c r="AF81" i="5"/>
  <c r="AE88" i="5" l="1"/>
  <c r="W89" i="5"/>
  <c r="BD89" i="5" s="1"/>
  <c r="AI89" i="5"/>
  <c r="AJ89" i="5" s="1"/>
  <c r="AW89" i="5" s="1"/>
  <c r="AW87" i="5"/>
  <c r="AL87" i="5"/>
  <c r="AJ88" i="5"/>
  <c r="AK88" i="5"/>
  <c r="AV88" i="5" s="1"/>
  <c r="AD89" i="5"/>
  <c r="AY89" i="5"/>
  <c r="X90" i="5"/>
  <c r="AG90" i="5"/>
  <c r="R90" i="5"/>
  <c r="S90" i="5" s="1"/>
  <c r="AM90" i="5" s="1"/>
  <c r="AM91" i="5" s="1"/>
  <c r="AH90" i="5"/>
  <c r="AH91" i="5" s="1"/>
  <c r="Y90" i="5"/>
  <c r="B83" i="5"/>
  <c r="AF82" i="5"/>
  <c r="AU82" i="5"/>
  <c r="D88" i="5"/>
  <c r="AP87" i="5"/>
  <c r="C88" i="5"/>
  <c r="BB86" i="5"/>
  <c r="BC86" i="5" s="1"/>
  <c r="AQ86" i="5"/>
  <c r="AE89" i="5" l="1"/>
  <c r="AK89" i="5"/>
  <c r="AV89" i="5" s="1"/>
  <c r="S91" i="5"/>
  <c r="W90" i="5"/>
  <c r="BD90" i="5" s="1"/>
  <c r="BD91" i="5" s="1"/>
  <c r="AI90" i="5"/>
  <c r="AY90" i="5"/>
  <c r="AY91" i="5" s="1"/>
  <c r="AD90" i="5"/>
  <c r="Y91" i="5"/>
  <c r="AL89" i="5"/>
  <c r="AW88" i="5"/>
  <c r="AL88" i="5"/>
  <c r="AX90" i="5"/>
  <c r="AX91" i="5" s="1"/>
  <c r="X91" i="5"/>
  <c r="R91" i="5"/>
  <c r="BB87" i="5"/>
  <c r="BC87" i="5" s="1"/>
  <c r="AQ87" i="5"/>
  <c r="AU83" i="5"/>
  <c r="B84" i="5"/>
  <c r="AF83" i="5"/>
  <c r="I109" i="5"/>
  <c r="AP88" i="5"/>
  <c r="D89" i="5"/>
  <c r="C89" i="5"/>
  <c r="W91" i="5" l="1"/>
  <c r="AJ90" i="5"/>
  <c r="AK90" i="5"/>
  <c r="AV90" i="5" s="1"/>
  <c r="I107" i="5"/>
  <c r="T107" i="5"/>
  <c r="AD91" i="5"/>
  <c r="AE90" i="5"/>
  <c r="AE91" i="5" s="1"/>
  <c r="D90" i="5"/>
  <c r="AP89" i="5"/>
  <c r="C90" i="5"/>
  <c r="AP90" i="5" s="1"/>
  <c r="BB88" i="5"/>
  <c r="BC88" i="5" s="1"/>
  <c r="AQ88" i="5"/>
  <c r="B85" i="5"/>
  <c r="AF84" i="5"/>
  <c r="AU84" i="5"/>
  <c r="AW90" i="5" l="1"/>
  <c r="AL90" i="5"/>
  <c r="BB89" i="5"/>
  <c r="BC89" i="5" s="1"/>
  <c r="AQ89" i="5"/>
  <c r="AU85" i="5"/>
  <c r="B86" i="5"/>
  <c r="AF85" i="5"/>
  <c r="BB90" i="5"/>
  <c r="AQ90" i="5"/>
  <c r="B87" i="5" l="1"/>
  <c r="AF86" i="5"/>
  <c r="AU86" i="5"/>
  <c r="BC90" i="5"/>
  <c r="AU87" i="5" l="1"/>
  <c r="B88" i="5"/>
  <c r="AF87" i="5"/>
  <c r="B89" i="5" l="1"/>
  <c r="AF88" i="5"/>
  <c r="AU88" i="5"/>
  <c r="AU89" i="5" l="1"/>
  <c r="B90" i="5"/>
  <c r="AF89" i="5"/>
  <c r="AF90" i="5" l="1"/>
  <c r="AF91" i="5" s="1"/>
  <c r="AU90" i="5"/>
  <c r="AF94" i="5" l="1"/>
  <c r="AG26" i="5"/>
  <c r="J6" i="5" s="1"/>
  <c r="AI26" i="5" l="1"/>
  <c r="AG27" i="5"/>
  <c r="AG28" i="5" l="1"/>
  <c r="AI27" i="5"/>
  <c r="AK26" i="5"/>
  <c r="AV26" i="5" s="1"/>
  <c r="AJ26" i="5"/>
  <c r="AQ26" i="5" l="1"/>
  <c r="AW26" i="5"/>
  <c r="AL26" i="5"/>
  <c r="AJ27" i="5"/>
  <c r="AK27" i="5"/>
  <c r="AQ27" i="5" s="1"/>
  <c r="AI28" i="5"/>
  <c r="AG29" i="5"/>
  <c r="AV27" i="5" l="1"/>
  <c r="AK28" i="5"/>
  <c r="AQ28" i="5" s="1"/>
  <c r="AJ28" i="5"/>
  <c r="AW27" i="5"/>
  <c r="AL27" i="5"/>
  <c r="AO26" i="5"/>
  <c r="AN26" i="5"/>
  <c r="AI29" i="5"/>
  <c r="AG30" i="5"/>
  <c r="BC26" i="5"/>
  <c r="BC27" i="5" l="1"/>
  <c r="AV28" i="5"/>
  <c r="AI30" i="5"/>
  <c r="AG31" i="5"/>
  <c r="BE26" i="5"/>
  <c r="AR26" i="5"/>
  <c r="AO27" i="5"/>
  <c r="AN27" i="5"/>
  <c r="AW28" i="5"/>
  <c r="AL28" i="5"/>
  <c r="AJ29" i="5"/>
  <c r="AK29" i="5"/>
  <c r="AQ29" i="5" s="1"/>
  <c r="BC28" i="5" l="1"/>
  <c r="AV29" i="5"/>
  <c r="AI31" i="5"/>
  <c r="AG32" i="5"/>
  <c r="AO28" i="5"/>
  <c r="AN28" i="5"/>
  <c r="AK30" i="5"/>
  <c r="AQ30" i="5" s="1"/>
  <c r="AJ30" i="5"/>
  <c r="AL29" i="5"/>
  <c r="AW29" i="5"/>
  <c r="BC29" i="5" s="1"/>
  <c r="BG26" i="5"/>
  <c r="BE27" i="5"/>
  <c r="AR27" i="5"/>
  <c r="AV30" i="5" l="1"/>
  <c r="BH26" i="5"/>
  <c r="BE28" i="5"/>
  <c r="AR28" i="5"/>
  <c r="AI32" i="5"/>
  <c r="AG33" i="5"/>
  <c r="AK31" i="5"/>
  <c r="AQ31" i="5" s="1"/>
  <c r="AJ31" i="5"/>
  <c r="AN29" i="5"/>
  <c r="AO29" i="5"/>
  <c r="AW30" i="5"/>
  <c r="AL30" i="5"/>
  <c r="BC30" i="5" l="1"/>
  <c r="AV31" i="5"/>
  <c r="AI33" i="5"/>
  <c r="AG34" i="5"/>
  <c r="BE29" i="5"/>
  <c r="AR29" i="5"/>
  <c r="AK32" i="5"/>
  <c r="AP35" i="5" s="1"/>
  <c r="AJ32" i="5"/>
  <c r="BJ26" i="5"/>
  <c r="AO30" i="5"/>
  <c r="AN30" i="5"/>
  <c r="AW31" i="5"/>
  <c r="AL31" i="5"/>
  <c r="BC31" i="5" l="1"/>
  <c r="AV32" i="5"/>
  <c r="AQ32" i="5"/>
  <c r="AI34" i="5"/>
  <c r="AG35" i="5"/>
  <c r="AN31" i="5"/>
  <c r="AO31" i="5"/>
  <c r="AW32" i="5"/>
  <c r="AL32" i="5"/>
  <c r="AK33" i="5"/>
  <c r="AV33" i="5" s="1"/>
  <c r="AJ33" i="5"/>
  <c r="BI27" i="5"/>
  <c r="BK26" i="5"/>
  <c r="BE30" i="5"/>
  <c r="AR30" i="5"/>
  <c r="BC32" i="5" l="1"/>
  <c r="BL26" i="5"/>
  <c r="BF27" i="5" s="1"/>
  <c r="BE31" i="5"/>
  <c r="AR31" i="5"/>
  <c r="AW33" i="5"/>
  <c r="BC33" i="5" s="1"/>
  <c r="AL33" i="5"/>
  <c r="AK34" i="5"/>
  <c r="AV34" i="5" s="1"/>
  <c r="AJ34" i="5"/>
  <c r="AQ33" i="5"/>
  <c r="AO32" i="5"/>
  <c r="AN32" i="5"/>
  <c r="AI35" i="5"/>
  <c r="AG36" i="5"/>
  <c r="AQ34" i="5" l="1"/>
  <c r="BG27" i="5"/>
  <c r="AI36" i="5"/>
  <c r="AG37" i="5"/>
  <c r="AK35" i="5"/>
  <c r="AV35" i="5" s="1"/>
  <c r="AJ35" i="5"/>
  <c r="AN33" i="5"/>
  <c r="BE33" i="5" s="1"/>
  <c r="AO33" i="5"/>
  <c r="BE32" i="5"/>
  <c r="AR32" i="5"/>
  <c r="AW34" i="5"/>
  <c r="BC34" i="5" s="1"/>
  <c r="AL34" i="5"/>
  <c r="BH27" i="5" l="1"/>
  <c r="AQ35" i="5"/>
  <c r="AR33" i="5"/>
  <c r="AO34" i="5"/>
  <c r="AN34" i="5"/>
  <c r="AI37" i="5"/>
  <c r="AG38" i="5"/>
  <c r="AJ36" i="5"/>
  <c r="AK36" i="5"/>
  <c r="AV36" i="5" s="1"/>
  <c r="AW35" i="5"/>
  <c r="BC35" i="5" s="1"/>
  <c r="AL35" i="5"/>
  <c r="BJ27" i="5" l="1"/>
  <c r="AQ36" i="5"/>
  <c r="AK37" i="5"/>
  <c r="AQ37" i="5" s="1"/>
  <c r="AJ37" i="5"/>
  <c r="AW36" i="5"/>
  <c r="BC36" i="5" s="1"/>
  <c r="AL36" i="5"/>
  <c r="AO35" i="5"/>
  <c r="AN35" i="5"/>
  <c r="AI38" i="5"/>
  <c r="AG39" i="5"/>
  <c r="BE34" i="5"/>
  <c r="AR34" i="5"/>
  <c r="BK27" i="5" l="1"/>
  <c r="BI28" i="5"/>
  <c r="AV37" i="5"/>
  <c r="AI39" i="5"/>
  <c r="AG40" i="5"/>
  <c r="AJ38" i="5"/>
  <c r="AK38" i="5"/>
  <c r="AQ38" i="5" s="1"/>
  <c r="AW37" i="5"/>
  <c r="AL37" i="5"/>
  <c r="BE35" i="5"/>
  <c r="AR35" i="5"/>
  <c r="AN36" i="5"/>
  <c r="AO36" i="5"/>
  <c r="BL27" i="5" l="1"/>
  <c r="BC37" i="5"/>
  <c r="AV38" i="5"/>
  <c r="AN37" i="5"/>
  <c r="AO37" i="5"/>
  <c r="AK39" i="5"/>
  <c r="AV39" i="5" s="1"/>
  <c r="AJ39" i="5"/>
  <c r="AI40" i="5"/>
  <c r="AG41" i="5"/>
  <c r="BE36" i="5"/>
  <c r="AR36" i="5"/>
  <c r="AW38" i="5"/>
  <c r="AL38" i="5"/>
  <c r="BF28" i="5" l="1"/>
  <c r="BG28" i="5" s="1"/>
  <c r="BH28" i="5" s="1"/>
  <c r="BJ28" i="5" s="1"/>
  <c r="BC38" i="5"/>
  <c r="AQ39" i="5"/>
  <c r="AI41" i="5"/>
  <c r="AG42" i="5"/>
  <c r="BE37" i="5"/>
  <c r="AR37" i="5"/>
  <c r="AN38" i="5"/>
  <c r="AO38" i="5"/>
  <c r="AJ40" i="5"/>
  <c r="AK40" i="5"/>
  <c r="AV40" i="5" s="1"/>
  <c r="AW39" i="5"/>
  <c r="BC39" i="5" s="1"/>
  <c r="AL39" i="5"/>
  <c r="BI29" i="5" l="1"/>
  <c r="BK28" i="5"/>
  <c r="AQ40" i="5"/>
  <c r="AN39" i="5"/>
  <c r="AO39" i="5"/>
  <c r="AJ41" i="5"/>
  <c r="AK41" i="5"/>
  <c r="AV41" i="5" s="1"/>
  <c r="AW40" i="5"/>
  <c r="BC40" i="5" s="1"/>
  <c r="AL40" i="5"/>
  <c r="BE38" i="5"/>
  <c r="AR38" i="5"/>
  <c r="AI42" i="5"/>
  <c r="AG43" i="5"/>
  <c r="BL28" i="5" l="1"/>
  <c r="AI43" i="5"/>
  <c r="AG44" i="5"/>
  <c r="AQ41" i="5"/>
  <c r="BE39" i="5"/>
  <c r="AR39" i="5"/>
  <c r="AN40" i="5"/>
  <c r="AO40" i="5"/>
  <c r="AJ42" i="5"/>
  <c r="AK42" i="5"/>
  <c r="AQ42" i="5" s="1"/>
  <c r="AW41" i="5"/>
  <c r="BC41" i="5" s="1"/>
  <c r="AL41" i="5"/>
  <c r="BF29" i="5" l="1"/>
  <c r="BG29" i="5" s="1"/>
  <c r="BH29" i="5" s="1"/>
  <c r="BJ29" i="5" s="1"/>
  <c r="BI30" i="5" s="1"/>
  <c r="AV42" i="5"/>
  <c r="AI44" i="5"/>
  <c r="AG45" i="5"/>
  <c r="AN41" i="5"/>
  <c r="BE41" i="5" s="1"/>
  <c r="AO41" i="5"/>
  <c r="BE40" i="5"/>
  <c r="AR40" i="5"/>
  <c r="AK43" i="5"/>
  <c r="AQ43" i="5" s="1"/>
  <c r="AJ43" i="5"/>
  <c r="AW42" i="5"/>
  <c r="AL42" i="5"/>
  <c r="BK29" i="5" l="1"/>
  <c r="BL29" i="5" s="1"/>
  <c r="BF30" i="5" s="1"/>
  <c r="BG30" i="5" s="1"/>
  <c r="BH30" i="5" s="1"/>
  <c r="BJ30" i="5" s="1"/>
  <c r="BI31" i="5" s="1"/>
  <c r="BC42" i="5"/>
  <c r="AR41" i="5"/>
  <c r="AN42" i="5"/>
  <c r="AO42" i="5"/>
  <c r="AV43" i="5"/>
  <c r="AI45" i="5"/>
  <c r="AG46" i="5"/>
  <c r="AW43" i="5"/>
  <c r="AL43" i="5"/>
  <c r="AJ44" i="5"/>
  <c r="AK44" i="5"/>
  <c r="AP47" i="5" s="1"/>
  <c r="BK30" i="5" l="1"/>
  <c r="BL30" i="5" s="1"/>
  <c r="BF31" i="5" s="1"/>
  <c r="BG31" i="5" s="1"/>
  <c r="BH31" i="5" s="1"/>
  <c r="BJ31" i="5" s="1"/>
  <c r="BI32" i="5" s="1"/>
  <c r="AW44" i="5"/>
  <c r="AL44" i="5"/>
  <c r="AV44" i="5"/>
  <c r="AN43" i="5"/>
  <c r="AO43" i="5"/>
  <c r="BC43" i="5"/>
  <c r="AI46" i="5"/>
  <c r="AG47" i="5"/>
  <c r="BE42" i="5"/>
  <c r="AR42" i="5"/>
  <c r="AQ44" i="5"/>
  <c r="AK45" i="5"/>
  <c r="AV45" i="5" s="1"/>
  <c r="AJ45" i="5"/>
  <c r="BK31" i="5" l="1"/>
  <c r="BL31" i="5" s="1"/>
  <c r="BF32" i="5" s="1"/>
  <c r="BG32" i="5" s="1"/>
  <c r="BH32" i="5" s="1"/>
  <c r="BJ32" i="5" s="1"/>
  <c r="BK32" i="5" s="1"/>
  <c r="BL32" i="5" s="1"/>
  <c r="BF33" i="5" s="1"/>
  <c r="BG33" i="5" s="1"/>
  <c r="BH33" i="5" s="1"/>
  <c r="AQ45" i="5"/>
  <c r="BC44" i="5"/>
  <c r="AW45" i="5"/>
  <c r="BC45" i="5" s="1"/>
  <c r="AL45" i="5"/>
  <c r="BE43" i="5"/>
  <c r="AR43" i="5"/>
  <c r="AI47" i="5"/>
  <c r="AG48" i="5"/>
  <c r="AN44" i="5"/>
  <c r="BE44" i="5" s="1"/>
  <c r="AO44" i="5"/>
  <c r="AJ46" i="5"/>
  <c r="AK46" i="5"/>
  <c r="AQ46" i="5" s="1"/>
  <c r="BI33" i="5" l="1"/>
  <c r="BJ33" i="5" s="1"/>
  <c r="BI34" i="5" s="1"/>
  <c r="AV46" i="5"/>
  <c r="AW46" i="5"/>
  <c r="AL46" i="5"/>
  <c r="AI48" i="5"/>
  <c r="AG49" i="5"/>
  <c r="AK47" i="5"/>
  <c r="AQ47" i="5" s="1"/>
  <c r="AJ47" i="5"/>
  <c r="AN45" i="5"/>
  <c r="AO45" i="5"/>
  <c r="AR44" i="5"/>
  <c r="BK33" i="5" l="1"/>
  <c r="BL33" i="5" s="1"/>
  <c r="BF34" i="5" s="1"/>
  <c r="BG34" i="5" s="1"/>
  <c r="BH34" i="5" s="1"/>
  <c r="BJ34" i="5" s="1"/>
  <c r="BC46" i="5"/>
  <c r="AV47" i="5"/>
  <c r="AN46" i="5"/>
  <c r="AO46" i="5"/>
  <c r="AW47" i="5"/>
  <c r="AL47" i="5"/>
  <c r="AI49" i="5"/>
  <c r="AG50" i="5"/>
  <c r="BE45" i="5"/>
  <c r="AR45" i="5"/>
  <c r="AJ48" i="5"/>
  <c r="AK48" i="5"/>
  <c r="AQ48" i="5" s="1"/>
  <c r="BK34" i="5" l="1"/>
  <c r="BL34" i="5" s="1"/>
  <c r="BF35" i="5" s="1"/>
  <c r="BG35" i="5" s="1"/>
  <c r="BH35" i="5" s="1"/>
  <c r="BI35" i="5"/>
  <c r="BC47" i="5"/>
  <c r="AV48" i="5"/>
  <c r="AN47" i="5"/>
  <c r="AO47" i="5"/>
  <c r="AK49" i="5"/>
  <c r="AV49" i="5" s="1"/>
  <c r="AJ49" i="5"/>
  <c r="AW48" i="5"/>
  <c r="AL48" i="5"/>
  <c r="BE46" i="5"/>
  <c r="AR46" i="5"/>
  <c r="AI50" i="5"/>
  <c r="AG51" i="5"/>
  <c r="BJ35" i="5" l="1"/>
  <c r="BC48" i="5"/>
  <c r="AQ49" i="5"/>
  <c r="AI51" i="5"/>
  <c r="AG52" i="5"/>
  <c r="AW49" i="5"/>
  <c r="BC49" i="5" s="1"/>
  <c r="AL49" i="5"/>
  <c r="BE47" i="5"/>
  <c r="AR47" i="5"/>
  <c r="AN48" i="5"/>
  <c r="AO48" i="5"/>
  <c r="AJ50" i="5"/>
  <c r="AK50" i="5"/>
  <c r="AQ50" i="5" s="1"/>
  <c r="BI36" i="5" l="1"/>
  <c r="BK35" i="5"/>
  <c r="BL35" i="5" s="1"/>
  <c r="BF36" i="5" s="1"/>
  <c r="BG36" i="5" s="1"/>
  <c r="BH36" i="5" s="1"/>
  <c r="AV50" i="5"/>
  <c r="AK51" i="5"/>
  <c r="AQ51" i="5" s="1"/>
  <c r="AJ51" i="5"/>
  <c r="AW50" i="5"/>
  <c r="AL50" i="5"/>
  <c r="AO49" i="5"/>
  <c r="AN49" i="5"/>
  <c r="BE48" i="5"/>
  <c r="AR48" i="5"/>
  <c r="AI52" i="5"/>
  <c r="AG53" i="5"/>
  <c r="BJ36" i="5" l="1"/>
  <c r="BK36" i="5" s="1"/>
  <c r="BL36" i="5" s="1"/>
  <c r="BC50" i="5"/>
  <c r="AV51" i="5"/>
  <c r="BE49" i="5"/>
  <c r="AR49" i="5"/>
  <c r="AI53" i="5"/>
  <c r="AG54" i="5"/>
  <c r="AO50" i="5"/>
  <c r="AN50" i="5"/>
  <c r="AW51" i="5"/>
  <c r="AL51" i="5"/>
  <c r="AJ52" i="5"/>
  <c r="AK52" i="5"/>
  <c r="AQ52" i="5" s="1"/>
  <c r="BI37" i="5" l="1"/>
  <c r="BC51" i="5"/>
  <c r="BF37" i="5"/>
  <c r="AV52" i="5"/>
  <c r="AK53" i="5"/>
  <c r="AV53" i="5" s="1"/>
  <c r="AJ53" i="5"/>
  <c r="AW52" i="5"/>
  <c r="AL52" i="5"/>
  <c r="BE50" i="5"/>
  <c r="AR50" i="5"/>
  <c r="AO51" i="5"/>
  <c r="AN51" i="5"/>
  <c r="AI54" i="5"/>
  <c r="AG55" i="5"/>
  <c r="BC52" i="5" l="1"/>
  <c r="BG37" i="5"/>
  <c r="AQ53" i="5"/>
  <c r="BE51" i="5"/>
  <c r="AR51" i="5"/>
  <c r="AI55" i="5"/>
  <c r="AG56" i="5"/>
  <c r="AJ54" i="5"/>
  <c r="AK54" i="5"/>
  <c r="AV54" i="5" s="1"/>
  <c r="AO52" i="5"/>
  <c r="AN52" i="5"/>
  <c r="AW53" i="5"/>
  <c r="BC53" i="5" s="1"/>
  <c r="AL53" i="5"/>
  <c r="BH37" i="5" l="1"/>
  <c r="AQ54" i="5"/>
  <c r="AK55" i="5"/>
  <c r="AQ55" i="5" s="1"/>
  <c r="AJ55" i="5"/>
  <c r="BE52" i="5"/>
  <c r="AR52" i="5"/>
  <c r="AW54" i="5"/>
  <c r="BC54" i="5" s="1"/>
  <c r="AL54" i="5"/>
  <c r="AI56" i="5"/>
  <c r="AG57" i="5"/>
  <c r="AO53" i="5"/>
  <c r="AN53" i="5"/>
  <c r="BJ37" i="5" l="1"/>
  <c r="AV55" i="5"/>
  <c r="AI57" i="5"/>
  <c r="AG58" i="5"/>
  <c r="AW55" i="5"/>
  <c r="AL55" i="5"/>
  <c r="AJ56" i="5"/>
  <c r="AK56" i="5"/>
  <c r="AP59" i="5" s="1"/>
  <c r="BE53" i="5"/>
  <c r="AR53" i="5"/>
  <c r="AO54" i="5"/>
  <c r="AN54" i="5"/>
  <c r="BI38" i="5" l="1"/>
  <c r="BK37" i="5"/>
  <c r="BL37" i="5" s="1"/>
  <c r="BB91" i="5"/>
  <c r="AP91" i="5"/>
  <c r="AW56" i="5"/>
  <c r="AL56" i="5"/>
  <c r="AI58" i="5"/>
  <c r="AG59" i="5"/>
  <c r="BE54" i="5"/>
  <c r="AR54" i="5"/>
  <c r="AV56" i="5"/>
  <c r="AK57" i="5"/>
  <c r="AV57" i="5" s="1"/>
  <c r="AJ57" i="5"/>
  <c r="AQ56" i="5"/>
  <c r="AO55" i="5"/>
  <c r="AN55" i="5"/>
  <c r="BC55" i="5"/>
  <c r="BF38" i="5" l="1"/>
  <c r="AQ57" i="5"/>
  <c r="BC56" i="5"/>
  <c r="AJ58" i="5"/>
  <c r="AK58" i="5"/>
  <c r="AQ58" i="5" s="1"/>
  <c r="BE55" i="5"/>
  <c r="AR55" i="5"/>
  <c r="AW57" i="5"/>
  <c r="BC57" i="5" s="1"/>
  <c r="AL57" i="5"/>
  <c r="AO56" i="5"/>
  <c r="AN56" i="5"/>
  <c r="BE56" i="5" s="1"/>
  <c r="AI59" i="5"/>
  <c r="AG60" i="5"/>
  <c r="BG38" i="5" l="1"/>
  <c r="AR56" i="5"/>
  <c r="AI60" i="5"/>
  <c r="AG61" i="5"/>
  <c r="AV58" i="5"/>
  <c r="AK59" i="5"/>
  <c r="AV59" i="5" s="1"/>
  <c r="AJ59" i="5"/>
  <c r="AO57" i="5"/>
  <c r="AN57" i="5"/>
  <c r="AW58" i="5"/>
  <c r="AL58" i="5"/>
  <c r="BH38" i="5" l="1"/>
  <c r="BE57" i="5"/>
  <c r="AR57" i="5"/>
  <c r="AW59" i="5"/>
  <c r="BC59" i="5" s="1"/>
  <c r="AL59" i="5"/>
  <c r="AI61" i="5"/>
  <c r="AG91" i="5"/>
  <c r="AK60" i="5"/>
  <c r="AQ60" i="5" s="1"/>
  <c r="AJ60" i="5"/>
  <c r="AQ59" i="5"/>
  <c r="BC58" i="5"/>
  <c r="AO58" i="5"/>
  <c r="AN58" i="5"/>
  <c r="BJ38" i="5" l="1"/>
  <c r="AV60" i="5"/>
  <c r="AW60" i="5"/>
  <c r="AL60" i="5"/>
  <c r="AJ61" i="5"/>
  <c r="AK61" i="5"/>
  <c r="AK91" i="5" s="1"/>
  <c r="AI91" i="5"/>
  <c r="T96" i="5" s="1"/>
  <c r="BE58" i="5"/>
  <c r="AR58" i="5"/>
  <c r="AO59" i="5"/>
  <c r="AN59" i="5"/>
  <c r="BE59" i="5" s="1"/>
  <c r="BI39" i="5" l="1"/>
  <c r="BK38" i="5"/>
  <c r="BL38" i="5" s="1"/>
  <c r="BC60" i="5"/>
  <c r="AV61" i="5"/>
  <c r="AV91" i="5" s="1"/>
  <c r="AQ61" i="5"/>
  <c r="AR59" i="5"/>
  <c r="AN60" i="5"/>
  <c r="AO60" i="5"/>
  <c r="I96" i="5"/>
  <c r="I100" i="5" s="1"/>
  <c r="T100" i="5"/>
  <c r="AW61" i="5"/>
  <c r="AW91" i="5" s="1"/>
  <c r="AL61" i="5"/>
  <c r="AJ91" i="5"/>
  <c r="BF39" i="5" l="1"/>
  <c r="BE60" i="5"/>
  <c r="AR60" i="5"/>
  <c r="AN61" i="5"/>
  <c r="BE61" i="5" s="1"/>
  <c r="AO61" i="5"/>
  <c r="AL91" i="5"/>
  <c r="G11" i="5"/>
  <c r="AQ91" i="5"/>
  <c r="BC61" i="5"/>
  <c r="BG39" i="5" l="1"/>
  <c r="BC91" i="5"/>
  <c r="AO62" i="5"/>
  <c r="AN62" i="5"/>
  <c r="AR61" i="5"/>
  <c r="BH39" i="5" l="1"/>
  <c r="BJ39" i="5" s="1"/>
  <c r="AO63" i="5"/>
  <c r="AN63" i="5"/>
  <c r="BE62" i="5"/>
  <c r="AR62" i="5"/>
  <c r="BI40" i="5" l="1"/>
  <c r="BK39" i="5"/>
  <c r="BL39" i="5" s="1"/>
  <c r="BE63" i="5"/>
  <c r="AR63" i="5"/>
  <c r="AO64" i="5"/>
  <c r="AN64" i="5"/>
  <c r="BF40" i="5" l="1"/>
  <c r="AN65" i="5"/>
  <c r="AO65" i="5"/>
  <c r="BE64" i="5"/>
  <c r="AR64" i="5"/>
  <c r="BG40" i="5" l="1"/>
  <c r="AO66" i="5"/>
  <c r="AN66" i="5"/>
  <c r="BE65" i="5"/>
  <c r="AR65" i="5"/>
  <c r="BH40" i="5" l="1"/>
  <c r="BJ40" i="5" s="1"/>
  <c r="AN67" i="5"/>
  <c r="AO67" i="5"/>
  <c r="BE66" i="5"/>
  <c r="AR66" i="5"/>
  <c r="BI41" i="5" l="1"/>
  <c r="BK40" i="5"/>
  <c r="BL40" i="5" s="1"/>
  <c r="BF41" i="5" s="1"/>
  <c r="BG41" i="5" s="1"/>
  <c r="BH41" i="5" s="1"/>
  <c r="AN68" i="5"/>
  <c r="AO68" i="5"/>
  <c r="BE67" i="5"/>
  <c r="AR67" i="5"/>
  <c r="BJ41" i="5" l="1"/>
  <c r="BK41" i="5" s="1"/>
  <c r="BL41" i="5" s="1"/>
  <c r="BF42" i="5" s="1"/>
  <c r="BG42" i="5" s="1"/>
  <c r="BH42" i="5" s="1"/>
  <c r="BE68" i="5"/>
  <c r="AR68" i="5"/>
  <c r="AN69" i="5"/>
  <c r="AO69" i="5"/>
  <c r="BI42" i="5" l="1"/>
  <c r="BJ42" i="5" s="1"/>
  <c r="BE69" i="5"/>
  <c r="AR69" i="5"/>
  <c r="AN70" i="5"/>
  <c r="AO70" i="5"/>
  <c r="BK42" i="5" l="1"/>
  <c r="BL42" i="5" s="1"/>
  <c r="BF43" i="5" s="1"/>
  <c r="BG43" i="5" s="1"/>
  <c r="BH43" i="5" s="1"/>
  <c r="BI43" i="5"/>
  <c r="AN71" i="5"/>
  <c r="AO71" i="5"/>
  <c r="BE70" i="5"/>
  <c r="AR70" i="5"/>
  <c r="BJ43" i="5" l="1"/>
  <c r="BI44" i="5" s="1"/>
  <c r="AO72" i="5"/>
  <c r="AN72" i="5"/>
  <c r="BE71" i="5"/>
  <c r="AR71" i="5"/>
  <c r="BK43" i="5" l="1"/>
  <c r="BL43" i="5" s="1"/>
  <c r="BF44" i="5" s="1"/>
  <c r="BG44" i="5" s="1"/>
  <c r="BH44" i="5" s="1"/>
  <c r="BJ44" i="5" s="1"/>
  <c r="BI45" i="5" s="1"/>
  <c r="BE72" i="5"/>
  <c r="AR72" i="5"/>
  <c r="AO73" i="5"/>
  <c r="AN73" i="5"/>
  <c r="BK44" i="5" l="1"/>
  <c r="BL44" i="5" s="1"/>
  <c r="BF45" i="5" s="1"/>
  <c r="BG45" i="5" s="1"/>
  <c r="BH45" i="5" s="1"/>
  <c r="BJ45" i="5" s="1"/>
  <c r="BK45" i="5" s="1"/>
  <c r="BL45" i="5" s="1"/>
  <c r="BF46" i="5" s="1"/>
  <c r="BG46" i="5" s="1"/>
  <c r="BH46" i="5" s="1"/>
  <c r="BE73" i="5"/>
  <c r="AR73" i="5"/>
  <c r="AO74" i="5"/>
  <c r="AN74" i="5"/>
  <c r="BI46" i="5" l="1"/>
  <c r="BJ46" i="5" s="1"/>
  <c r="BK46" i="5" s="1"/>
  <c r="BL46" i="5" s="1"/>
  <c r="BF47" i="5" s="1"/>
  <c r="BG47" i="5" s="1"/>
  <c r="BH47" i="5" s="1"/>
  <c r="AO75" i="5"/>
  <c r="AN75" i="5"/>
  <c r="BE74" i="5"/>
  <c r="AR74" i="5"/>
  <c r="BI47" i="5" l="1"/>
  <c r="BJ47" i="5" s="1"/>
  <c r="BE75" i="5"/>
  <c r="AR75" i="5"/>
  <c r="AN76" i="5"/>
  <c r="AO76" i="5"/>
  <c r="BK47" i="5" l="1"/>
  <c r="BL47" i="5" s="1"/>
  <c r="BF48" i="5" s="1"/>
  <c r="BG48" i="5" s="1"/>
  <c r="BH48" i="5" s="1"/>
  <c r="BI48" i="5"/>
  <c r="AN77" i="5"/>
  <c r="AO77" i="5"/>
  <c r="BE76" i="5"/>
  <c r="AR76" i="5"/>
  <c r="BJ48" i="5" l="1"/>
  <c r="BE77" i="5"/>
  <c r="AR77" i="5"/>
  <c r="AN78" i="5"/>
  <c r="AO78" i="5"/>
  <c r="BI49" i="5" l="1"/>
  <c r="BK48" i="5"/>
  <c r="BL48" i="5" s="1"/>
  <c r="BF49" i="5" s="1"/>
  <c r="BG49" i="5" s="1"/>
  <c r="BH49" i="5" s="1"/>
  <c r="AO79" i="5"/>
  <c r="AN79" i="5"/>
  <c r="BE78" i="5"/>
  <c r="AR78" i="5"/>
  <c r="BJ49" i="5" l="1"/>
  <c r="BI50" i="5" s="1"/>
  <c r="BE79" i="5"/>
  <c r="AR79" i="5"/>
  <c r="AO80" i="5"/>
  <c r="AN80" i="5"/>
  <c r="BK49" i="5" l="1"/>
  <c r="BL49" i="5" s="1"/>
  <c r="BF50" i="5" s="1"/>
  <c r="BG50" i="5" s="1"/>
  <c r="BH50" i="5" s="1"/>
  <c r="BJ50" i="5" s="1"/>
  <c r="BE80" i="5"/>
  <c r="AR80" i="5"/>
  <c r="AO81" i="5"/>
  <c r="AN81" i="5"/>
  <c r="BK50" i="5" l="1"/>
  <c r="BL50" i="5" s="1"/>
  <c r="BF51" i="5" s="1"/>
  <c r="BG51" i="5" s="1"/>
  <c r="BH51" i="5" s="1"/>
  <c r="BI51" i="5"/>
  <c r="BE81" i="5"/>
  <c r="AR81" i="5"/>
  <c r="AN82" i="5"/>
  <c r="AO82" i="5"/>
  <c r="BJ51" i="5" l="1"/>
  <c r="BI52" i="5" s="1"/>
  <c r="AO83" i="5"/>
  <c r="AN83" i="5"/>
  <c r="BE82" i="5"/>
  <c r="AR82" i="5"/>
  <c r="BK51" i="5" l="1"/>
  <c r="BL51" i="5" s="1"/>
  <c r="BF52" i="5" s="1"/>
  <c r="BG52" i="5" s="1"/>
  <c r="BH52" i="5" s="1"/>
  <c r="BJ52" i="5" s="1"/>
  <c r="BI53" i="5" s="1"/>
  <c r="BE83" i="5"/>
  <c r="AR83" i="5"/>
  <c r="AN84" i="5"/>
  <c r="AO84" i="5"/>
  <c r="BK52" i="5" l="1"/>
  <c r="BL52" i="5" s="1"/>
  <c r="BF53" i="5" s="1"/>
  <c r="BG53" i="5" s="1"/>
  <c r="BH53" i="5" s="1"/>
  <c r="BJ53" i="5" s="1"/>
  <c r="BK53" i="5" s="1"/>
  <c r="BL53" i="5" s="1"/>
  <c r="BF54" i="5" s="1"/>
  <c r="BG54" i="5" s="1"/>
  <c r="BH54" i="5" s="1"/>
  <c r="AO85" i="5"/>
  <c r="AN85" i="5"/>
  <c r="BE84" i="5"/>
  <c r="AR84" i="5"/>
  <c r="BI54" i="5" l="1"/>
  <c r="BJ54" i="5" s="1"/>
  <c r="BI55" i="5" s="1"/>
  <c r="AN86" i="5"/>
  <c r="AO86" i="5"/>
  <c r="BE85" i="5"/>
  <c r="AR85" i="5"/>
  <c r="BK54" i="5" l="1"/>
  <c r="BL54" i="5" s="1"/>
  <c r="BF55" i="5" s="1"/>
  <c r="BG55" i="5" s="1"/>
  <c r="BH55" i="5" s="1"/>
  <c r="BJ55" i="5" s="1"/>
  <c r="BK55" i="5" s="1"/>
  <c r="BL55" i="5" s="1"/>
  <c r="BF56" i="5" s="1"/>
  <c r="BG56" i="5" s="1"/>
  <c r="BH56" i="5" s="1"/>
  <c r="AO87" i="5"/>
  <c r="AN87" i="5"/>
  <c r="BE86" i="5"/>
  <c r="AR86" i="5"/>
  <c r="BI56" i="5" l="1"/>
  <c r="BJ56" i="5" s="1"/>
  <c r="BI57" i="5" s="1"/>
  <c r="AN88" i="5"/>
  <c r="AO88" i="5"/>
  <c r="BE87" i="5"/>
  <c r="AR87" i="5"/>
  <c r="BK56" i="5" l="1"/>
  <c r="BL56" i="5" s="1"/>
  <c r="BF57" i="5" s="1"/>
  <c r="BG57" i="5" s="1"/>
  <c r="BH57" i="5" s="1"/>
  <c r="BJ57" i="5" s="1"/>
  <c r="BK57" i="5" s="1"/>
  <c r="BL57" i="5" s="1"/>
  <c r="BF58" i="5" s="1"/>
  <c r="BG58" i="5" s="1"/>
  <c r="BH58" i="5" s="1"/>
  <c r="BE88" i="5"/>
  <c r="AR88" i="5"/>
  <c r="AO89" i="5"/>
  <c r="AN89" i="5"/>
  <c r="BI58" i="5" l="1"/>
  <c r="BJ58" i="5" s="1"/>
  <c r="BI59" i="5" s="1"/>
  <c r="BE89" i="5"/>
  <c r="AR89" i="5"/>
  <c r="AN90" i="5"/>
  <c r="AO90" i="5"/>
  <c r="BK58" i="5" l="1"/>
  <c r="BL58" i="5" s="1"/>
  <c r="BF59" i="5" s="1"/>
  <c r="BG59" i="5" s="1"/>
  <c r="BH59" i="5" s="1"/>
  <c r="BJ59" i="5" s="1"/>
  <c r="BK59" i="5" s="1"/>
  <c r="BL59" i="5" s="1"/>
  <c r="BF60" i="5" s="1"/>
  <c r="BE90" i="5"/>
  <c r="AR90" i="5"/>
  <c r="AN91" i="5"/>
  <c r="T109" i="5" s="1"/>
  <c r="BI60" i="5" l="1"/>
  <c r="BG60" i="5"/>
  <c r="G12" i="5"/>
  <c r="AR91" i="5"/>
  <c r="BE91" i="5"/>
  <c r="BH60" i="5" l="1"/>
  <c r="BJ60" i="5" l="1"/>
  <c r="BK60" i="5" l="1"/>
  <c r="BL60" i="5" s="1"/>
  <c r="BI61" i="5"/>
  <c r="BF61" i="5" l="1"/>
  <c r="BG61" i="5" l="1"/>
  <c r="BF91" i="5"/>
  <c r="BH61" i="5" l="1"/>
  <c r="BG91" i="5"/>
  <c r="BJ61" i="5" l="1"/>
  <c r="BH91" i="5"/>
  <c r="BI62" i="5" l="1"/>
  <c r="BK61" i="5"/>
  <c r="BL61" i="5" s="1"/>
  <c r="BF62" i="5" l="1"/>
  <c r="BG62" i="5" s="1"/>
  <c r="BH62" i="5" s="1"/>
  <c r="BJ62" i="5" s="1"/>
  <c r="BI63" i="5" l="1"/>
  <c r="BK62" i="5"/>
  <c r="BL62" i="5" s="1"/>
  <c r="BL91" i="5" s="1"/>
  <c r="T112" i="5" s="1"/>
  <c r="BF63" i="5" l="1"/>
  <c r="BG63" i="5" s="1"/>
  <c r="BH63" i="5" s="1"/>
  <c r="BJ63" i="5" s="1"/>
  <c r="BI64" i="5" s="1"/>
  <c r="BK63" i="5" l="1"/>
  <c r="BL63" i="5" s="1"/>
  <c r="BF64" i="5" s="1"/>
  <c r="BG64" i="5" s="1"/>
  <c r="BH64" i="5" s="1"/>
  <c r="BJ64" i="5" s="1"/>
  <c r="BK64" i="5" l="1"/>
  <c r="BL64" i="5" s="1"/>
  <c r="BF65" i="5" s="1"/>
  <c r="BG65" i="5" s="1"/>
  <c r="BH65" i="5" s="1"/>
  <c r="BI65" i="5"/>
  <c r="BJ65" i="5" l="1"/>
  <c r="BI66" i="5" s="1"/>
  <c r="BK65" i="5" l="1"/>
  <c r="BL65" i="5" s="1"/>
  <c r="BF66" i="5" s="1"/>
  <c r="BG66" i="5" s="1"/>
  <c r="BH66" i="5" s="1"/>
  <c r="BJ66" i="5" s="1"/>
  <c r="BK66" i="5" s="1"/>
  <c r="BL66" i="5" s="1"/>
  <c r="BF67" i="5" s="1"/>
  <c r="BG67" i="5" s="1"/>
  <c r="BH67" i="5" s="1"/>
  <c r="BI67" i="5" l="1"/>
  <c r="BJ67" i="5" s="1"/>
  <c r="I112" i="5"/>
  <c r="I114" i="5" s="1"/>
  <c r="I115" i="5" s="1"/>
  <c r="BK67" i="5" l="1"/>
  <c r="BL67" i="5" s="1"/>
  <c r="BF68" i="5" s="1"/>
  <c r="BG68" i="5" s="1"/>
  <c r="BH68" i="5" s="1"/>
  <c r="BI68" i="5"/>
  <c r="T114" i="5"/>
  <c r="T115" i="5" s="1"/>
  <c r="U115" i="5" s="1"/>
  <c r="BJ68" i="5" l="1"/>
  <c r="BK68" i="5" l="1"/>
  <c r="BL68" i="5" s="1"/>
  <c r="BF69" i="5" s="1"/>
  <c r="BG69" i="5" s="1"/>
  <c r="BH69" i="5" s="1"/>
  <c r="BI69" i="5"/>
  <c r="T163" i="10" l="1"/>
  <c r="N164" i="10" s="1"/>
  <c r="O164" i="10" s="1"/>
  <c r="P164" i="10" s="1"/>
  <c r="BJ69" i="5"/>
  <c r="BI70" i="5" s="1"/>
  <c r="BK69" i="5" l="1"/>
  <c r="BL69" i="5" s="1"/>
  <c r="BF70" i="5" s="1"/>
  <c r="BG70" i="5" s="1"/>
  <c r="BH70" i="5" s="1"/>
  <c r="BJ70" i="5" s="1"/>
  <c r="BI71" i="5" s="1"/>
  <c r="T164" i="10" l="1"/>
  <c r="N165" i="10" s="1"/>
  <c r="O165" i="10" s="1"/>
  <c r="P165" i="10" s="1"/>
  <c r="BK70" i="5"/>
  <c r="BL70" i="5" s="1"/>
  <c r="BF71" i="5" s="1"/>
  <c r="BG71" i="5" s="1"/>
  <c r="BH71" i="5" s="1"/>
  <c r="BJ71" i="5" s="1"/>
  <c r="BK71" i="5" s="1"/>
  <c r="BL71" i="5" s="1"/>
  <c r="BF72" i="5" s="1"/>
  <c r="BG72" i="5" s="1"/>
  <c r="BH72" i="5" s="1"/>
  <c r="BI72" i="5" l="1"/>
  <c r="BJ72" i="5" s="1"/>
  <c r="T165" i="10" l="1"/>
  <c r="N166" i="10" s="1"/>
  <c r="O166" i="10" s="1"/>
  <c r="P166" i="10" s="1"/>
  <c r="BK72" i="5"/>
  <c r="BL72" i="5" s="1"/>
  <c r="BF73" i="5" s="1"/>
  <c r="BG73" i="5" s="1"/>
  <c r="BH73" i="5" s="1"/>
  <c r="BI73" i="5"/>
  <c r="T166" i="10" l="1"/>
  <c r="N167" i="10" s="1"/>
  <c r="O167" i="10" s="1"/>
  <c r="BJ73" i="5"/>
  <c r="P167" i="10" l="1"/>
  <c r="BK73" i="5"/>
  <c r="BL73" i="5" s="1"/>
  <c r="BF74" i="5" s="1"/>
  <c r="BG74" i="5" s="1"/>
  <c r="BH74" i="5" s="1"/>
  <c r="BI74" i="5"/>
  <c r="BJ74" i="5" l="1"/>
  <c r="T167" i="10" l="1"/>
  <c r="BI75" i="5"/>
  <c r="BK74" i="5"/>
  <c r="BL74" i="5" s="1"/>
  <c r="BF75" i="5" s="1"/>
  <c r="BG75" i="5" s="1"/>
  <c r="BH75" i="5" s="1"/>
  <c r="BJ75" i="5" l="1"/>
  <c r="BK75" i="5" s="1"/>
  <c r="BL75" i="5" s="1"/>
  <c r="BF76" i="5" s="1"/>
  <c r="BG76" i="5" s="1"/>
  <c r="BH76" i="5" s="1"/>
  <c r="BI76" i="5" l="1"/>
  <c r="BJ76" i="5" s="1"/>
  <c r="BI77" i="5" s="1"/>
  <c r="BK76" i="5" l="1"/>
  <c r="BL76" i="5" s="1"/>
  <c r="BF77" i="5" s="1"/>
  <c r="BG77" i="5" s="1"/>
  <c r="BH77" i="5" s="1"/>
  <c r="BJ77" i="5" s="1"/>
  <c r="BI78" i="5" s="1"/>
  <c r="BK77" i="5" l="1"/>
  <c r="BL77" i="5" s="1"/>
  <c r="BF78" i="5" s="1"/>
  <c r="BG78" i="5" s="1"/>
  <c r="BH78" i="5" s="1"/>
  <c r="BJ78" i="5" s="1"/>
  <c r="BI79" i="5" s="1"/>
  <c r="BK78" i="5" l="1"/>
  <c r="BL78" i="5" s="1"/>
  <c r="BF79" i="5" s="1"/>
  <c r="BG79" i="5" s="1"/>
  <c r="BH79" i="5" s="1"/>
  <c r="BJ79" i="5" s="1"/>
  <c r="BK79" i="5" s="1"/>
  <c r="BL79" i="5" s="1"/>
  <c r="BF80" i="5" s="1"/>
  <c r="BG80" i="5" s="1"/>
  <c r="BH80" i="5" s="1"/>
  <c r="BI80" i="5" l="1"/>
  <c r="BJ80" i="5" s="1"/>
  <c r="BK80" i="5" l="1"/>
  <c r="BL80" i="5" s="1"/>
  <c r="BF81" i="5" s="1"/>
  <c r="BG81" i="5" s="1"/>
  <c r="BH81" i="5" s="1"/>
  <c r="BI81" i="5"/>
  <c r="BJ81" i="5" l="1"/>
  <c r="BK81" i="5" s="1"/>
  <c r="BL81" i="5" s="1"/>
  <c r="BF82" i="5" s="1"/>
  <c r="BG82" i="5" s="1"/>
  <c r="BH82" i="5" s="1"/>
  <c r="BI82" i="5" l="1"/>
  <c r="BJ82" i="5" s="1"/>
  <c r="BI83" i="5" l="1"/>
  <c r="BK82" i="5"/>
  <c r="BL82" i="5" s="1"/>
  <c r="BF83" i="5" s="1"/>
  <c r="BG83" i="5" s="1"/>
  <c r="BH83" i="5" s="1"/>
  <c r="BJ83" i="5" l="1"/>
  <c r="BI84" i="5" s="1"/>
  <c r="BK83" i="5" l="1"/>
  <c r="BL83" i="5" s="1"/>
  <c r="BF84" i="5" s="1"/>
  <c r="BG84" i="5" s="1"/>
  <c r="BH84" i="5" s="1"/>
  <c r="BJ84" i="5" s="1"/>
  <c r="BK84" i="5" s="1"/>
  <c r="BL84" i="5" s="1"/>
  <c r="BF85" i="5" s="1"/>
  <c r="BG85" i="5" s="1"/>
  <c r="BH85" i="5" s="1"/>
  <c r="BI85" i="5" l="1"/>
  <c r="BJ85" i="5" s="1"/>
  <c r="BI86" i="5" s="1"/>
  <c r="BK85" i="5" l="1"/>
  <c r="BL85" i="5" s="1"/>
  <c r="BF86" i="5" s="1"/>
  <c r="BG86" i="5" s="1"/>
  <c r="BH86" i="5" s="1"/>
  <c r="BJ86" i="5" s="1"/>
  <c r="BK86" i="5" s="1"/>
  <c r="BL86" i="5" s="1"/>
  <c r="BF87" i="5" s="1"/>
  <c r="BG87" i="5" s="1"/>
  <c r="BH87" i="5" s="1"/>
  <c r="BI87" i="5" l="1"/>
  <c r="BJ87" i="5" s="1"/>
  <c r="BK87" i="5" s="1"/>
  <c r="BL87" i="5" s="1"/>
  <c r="BF88" i="5" s="1"/>
  <c r="BG88" i="5" s="1"/>
  <c r="BH88" i="5" s="1"/>
  <c r="BI88" i="5" l="1"/>
  <c r="BJ88" i="5" s="1"/>
  <c r="BI89" i="5" l="1"/>
  <c r="BK88" i="5"/>
  <c r="BL88" i="5" s="1"/>
  <c r="BF89" i="5" s="1"/>
  <c r="BG89" i="5" s="1"/>
  <c r="BH89" i="5" s="1"/>
  <c r="BJ89" i="5" l="1"/>
  <c r="BK89" i="5" s="1"/>
  <c r="BL89" i="5" s="1"/>
  <c r="BF90" i="5" s="1"/>
  <c r="BG90" i="5" s="1"/>
  <c r="BH90" i="5" s="1"/>
  <c r="BI90" i="5" l="1"/>
  <c r="BJ90" i="5" s="1"/>
  <c r="BK90" i="5" s="1"/>
  <c r="E2" i="8"/>
  <c r="BL90" i="5" l="1"/>
  <c r="BK91" i="5"/>
  <c r="F2" i="8"/>
  <c r="E4" i="8"/>
  <c r="I2" i="8"/>
  <c r="I4" i="8" s="1"/>
  <c r="N4" i="8" l="1"/>
  <c r="D4" i="8"/>
  <c r="F4" i="8"/>
  <c r="E51" i="8"/>
  <c r="E55" i="8" s="1"/>
  <c r="D3" i="8" l="1"/>
  <c r="D1" i="8"/>
  <c r="O103" i="10" l="1"/>
  <c r="X91" i="7" l="1"/>
  <c r="AC91" i="7" l="1"/>
  <c r="AD30" i="7"/>
  <c r="AE30" i="7"/>
  <c r="AE91" i="7" l="1"/>
  <c r="AG30" i="7"/>
  <c r="AG91" i="7" s="1"/>
  <c r="AD91" i="7"/>
  <c r="AD92" i="7" l="1"/>
  <c r="AI30" i="7"/>
  <c r="AI91" i="7" s="1"/>
  <c r="AJ26" i="7" s="1"/>
  <c r="Z26" i="9" s="1"/>
  <c r="AB26" i="9" s="1"/>
  <c r="AC26" i="9" s="1"/>
  <c r="AF92" i="5" l="1"/>
  <c r="AL26" i="7" l="1"/>
  <c r="AJ27" i="7"/>
  <c r="C102" i="7" l="1"/>
  <c r="I102" i="7" s="1"/>
  <c r="J6" i="7"/>
  <c r="D25" i="1" s="1"/>
  <c r="Z27" i="9"/>
  <c r="AB27" i="9" s="1"/>
  <c r="AC27" i="9" s="1"/>
  <c r="AL27" i="7"/>
  <c r="AJ28" i="7"/>
  <c r="Z28" i="9" l="1"/>
  <c r="AB28" i="9" s="1"/>
  <c r="AC28" i="9" s="1"/>
  <c r="AL28" i="7"/>
  <c r="AJ29" i="7"/>
  <c r="C103" i="7"/>
  <c r="I103" i="7" s="1"/>
  <c r="J6" i="9"/>
  <c r="J6" i="10"/>
  <c r="AD26" i="9"/>
  <c r="AE26" i="9" l="1"/>
  <c r="D103" i="9" s="1"/>
  <c r="D34" i="1"/>
  <c r="D40" i="1" s="1"/>
  <c r="AD27" i="9"/>
  <c r="C104" i="7"/>
  <c r="I104" i="7" s="1"/>
  <c r="AL29" i="7"/>
  <c r="Z29" i="9"/>
  <c r="AJ30" i="7"/>
  <c r="D26" i="1"/>
  <c r="M102" i="7"/>
  <c r="AG26" i="9" l="1"/>
  <c r="AH26" i="9" s="1"/>
  <c r="AD28" i="9"/>
  <c r="AE27" i="9"/>
  <c r="Z30" i="9"/>
  <c r="AB30" i="9" s="1"/>
  <c r="AC30" i="9" s="1"/>
  <c r="AL30" i="7"/>
  <c r="AJ31" i="7"/>
  <c r="AB29" i="9"/>
  <c r="O102" i="7"/>
  <c r="C105" i="7"/>
  <c r="I105" i="7" s="1"/>
  <c r="AF26" i="9"/>
  <c r="D104" i="9" l="1"/>
  <c r="AG27" i="9"/>
  <c r="AH27" i="9" s="1"/>
  <c r="N103" i="7"/>
  <c r="P102" i="7"/>
  <c r="AF27" i="9"/>
  <c r="C106" i="7"/>
  <c r="I106" i="7" s="1"/>
  <c r="AC29" i="9"/>
  <c r="AD29" i="9" s="1"/>
  <c r="AE28" i="9"/>
  <c r="AF28" i="9" s="1"/>
  <c r="Z31" i="9"/>
  <c r="AB31" i="9" s="1"/>
  <c r="AC31" i="9" s="1"/>
  <c r="AL31" i="7"/>
  <c r="AJ32" i="7"/>
  <c r="D105" i="9" l="1"/>
  <c r="AG28" i="9"/>
  <c r="Q102" i="7"/>
  <c r="Z32" i="9"/>
  <c r="AB32" i="9" s="1"/>
  <c r="AC32" i="9" s="1"/>
  <c r="AL32" i="7"/>
  <c r="AJ33" i="7"/>
  <c r="C107" i="7"/>
  <c r="I107" i="7" s="1"/>
  <c r="AE29" i="9"/>
  <c r="AD30" i="9"/>
  <c r="D106" i="9" l="1"/>
  <c r="AG29" i="9"/>
  <c r="AH29" i="9" s="1"/>
  <c r="AL33" i="7"/>
  <c r="Z33" i="9"/>
  <c r="AB33" i="9" s="1"/>
  <c r="AJ34" i="7"/>
  <c r="AF29" i="9"/>
  <c r="C108" i="7"/>
  <c r="I108" i="7" s="1"/>
  <c r="AH28" i="9"/>
  <c r="AE30" i="9"/>
  <c r="AD31" i="9"/>
  <c r="K103" i="7"/>
  <c r="L103" i="7" s="1"/>
  <c r="AG30" i="9" l="1"/>
  <c r="D107" i="9"/>
  <c r="AF30" i="9"/>
  <c r="Z34" i="9"/>
  <c r="AB34" i="9" s="1"/>
  <c r="AC34" i="9" s="1"/>
  <c r="AL34" i="7"/>
  <c r="AJ35" i="7"/>
  <c r="AC33" i="9"/>
  <c r="AE31" i="9"/>
  <c r="AD32" i="9"/>
  <c r="C109" i="7"/>
  <c r="I109" i="7" s="1"/>
  <c r="C110" i="7" l="1"/>
  <c r="I110" i="7" s="1"/>
  <c r="M103" i="7"/>
  <c r="AE32" i="9"/>
  <c r="AF32" i="9" s="1"/>
  <c r="AD33" i="9"/>
  <c r="AH30" i="9"/>
  <c r="D108" i="9"/>
  <c r="AG31" i="9"/>
  <c r="AH31" i="9" s="1"/>
  <c r="AF31" i="9"/>
  <c r="Z35" i="9"/>
  <c r="AB35" i="9" s="1"/>
  <c r="AC35" i="9" s="1"/>
  <c r="AL35" i="7"/>
  <c r="AJ36" i="7"/>
  <c r="Z36" i="9" l="1"/>
  <c r="AB36" i="9" s="1"/>
  <c r="AC36" i="9" s="1"/>
  <c r="AL36" i="7"/>
  <c r="AJ37" i="7"/>
  <c r="C111" i="7"/>
  <c r="I111" i="7" s="1"/>
  <c r="AE33" i="9"/>
  <c r="AD34" i="9"/>
  <c r="AG32" i="9"/>
  <c r="AH32" i="9" s="1"/>
  <c r="D109" i="9"/>
  <c r="O103" i="7"/>
  <c r="P103" i="7" l="1"/>
  <c r="N104" i="7"/>
  <c r="D110" i="9"/>
  <c r="AG33" i="9"/>
  <c r="AH33" i="9" s="1"/>
  <c r="Z37" i="9"/>
  <c r="AB37" i="9" s="1"/>
  <c r="AC37" i="9" s="1"/>
  <c r="AL37" i="7"/>
  <c r="AJ38" i="7"/>
  <c r="AF33" i="9"/>
  <c r="C112" i="7"/>
  <c r="I112" i="7" s="1"/>
  <c r="AE34" i="9"/>
  <c r="AF34" i="9" s="1"/>
  <c r="AD35" i="9"/>
  <c r="AE35" i="9" l="1"/>
  <c r="AF35" i="9" s="1"/>
  <c r="AD36" i="9"/>
  <c r="C113" i="7"/>
  <c r="I113" i="7" s="1"/>
  <c r="Q103" i="7"/>
  <c r="AG34" i="9"/>
  <c r="AH34" i="9" s="1"/>
  <c r="D111" i="9"/>
  <c r="AL38" i="7"/>
  <c r="Z38" i="9"/>
  <c r="AB38" i="9" s="1"/>
  <c r="AC38" i="9" s="1"/>
  <c r="AJ39" i="7"/>
  <c r="AE36" i="9" l="1"/>
  <c r="AF36" i="9" s="1"/>
  <c r="AD37" i="9"/>
  <c r="Z39" i="9"/>
  <c r="AB39" i="9" s="1"/>
  <c r="AC39" i="9" s="1"/>
  <c r="AL39" i="7"/>
  <c r="AJ40" i="7"/>
  <c r="K104" i="7"/>
  <c r="L104" i="7" s="1"/>
  <c r="C114" i="7"/>
  <c r="I114" i="7" s="1"/>
  <c r="AG35" i="9"/>
  <c r="AH35" i="9" s="1"/>
  <c r="D112" i="9"/>
  <c r="C115" i="7" l="1"/>
  <c r="I115" i="7" s="1"/>
  <c r="AG36" i="9"/>
  <c r="AH36" i="9" s="1"/>
  <c r="D113" i="9"/>
  <c r="Z40" i="9"/>
  <c r="AB40" i="9" s="1"/>
  <c r="AC40" i="9" s="1"/>
  <c r="AL40" i="7"/>
  <c r="AJ41" i="7"/>
  <c r="AE37" i="9"/>
  <c r="AF37" i="9" s="1"/>
  <c r="AD38" i="9"/>
  <c r="AG37" i="9" l="1"/>
  <c r="AH37" i="9" s="1"/>
  <c r="D114" i="9"/>
  <c r="M104" i="7"/>
  <c r="Z41" i="9"/>
  <c r="AB41" i="9" s="1"/>
  <c r="AC41" i="9" s="1"/>
  <c r="AL41" i="7"/>
  <c r="AJ42" i="7"/>
  <c r="AE38" i="9"/>
  <c r="AD39" i="9"/>
  <c r="C116" i="7"/>
  <c r="I116" i="7" s="1"/>
  <c r="AE39" i="9" l="1"/>
  <c r="AF39" i="9" s="1"/>
  <c r="AD40" i="9"/>
  <c r="D115" i="9"/>
  <c r="AG38" i="9"/>
  <c r="AH38" i="9" s="1"/>
  <c r="AF38" i="9"/>
  <c r="Z42" i="9"/>
  <c r="AB42" i="9" s="1"/>
  <c r="AC42" i="9" s="1"/>
  <c r="AL42" i="7"/>
  <c r="AJ43" i="7"/>
  <c r="C117" i="7"/>
  <c r="I117" i="7" s="1"/>
  <c r="O104" i="7"/>
  <c r="N105" i="7" l="1"/>
  <c r="P104" i="7"/>
  <c r="AE40" i="9"/>
  <c r="AD41" i="9"/>
  <c r="Z43" i="9"/>
  <c r="AB43" i="9" s="1"/>
  <c r="AC43" i="9" s="1"/>
  <c r="AL43" i="7"/>
  <c r="AJ44" i="7"/>
  <c r="C118" i="7"/>
  <c r="I118" i="7" s="1"/>
  <c r="D116" i="9"/>
  <c r="AG39" i="9"/>
  <c r="AH39" i="9" s="1"/>
  <c r="C119" i="7" l="1"/>
  <c r="I119" i="7" s="1"/>
  <c r="Q104" i="7"/>
  <c r="AE41" i="9"/>
  <c r="AD42" i="9"/>
  <c r="D117" i="9"/>
  <c r="AG40" i="9"/>
  <c r="AH40" i="9" s="1"/>
  <c r="Z44" i="9"/>
  <c r="AB44" i="9" s="1"/>
  <c r="AC44" i="9" s="1"/>
  <c r="AL44" i="7"/>
  <c r="AJ45" i="7"/>
  <c r="AF40" i="9"/>
  <c r="C120" i="7" l="1"/>
  <c r="I120" i="7" s="1"/>
  <c r="AE42" i="9"/>
  <c r="AF42" i="9" s="1"/>
  <c r="AD43" i="9"/>
  <c r="K105" i="7"/>
  <c r="L105" i="7" s="1"/>
  <c r="D118" i="9"/>
  <c r="AG41" i="9"/>
  <c r="AH41" i="9" s="1"/>
  <c r="AF41" i="9"/>
  <c r="Z45" i="9"/>
  <c r="AB45" i="9" s="1"/>
  <c r="AC45" i="9" s="1"/>
  <c r="AL45" i="7"/>
  <c r="AJ46" i="7"/>
  <c r="AE43" i="9" l="1"/>
  <c r="AF43" i="9" s="1"/>
  <c r="AD44" i="9"/>
  <c r="Z46" i="9"/>
  <c r="AB46" i="9" s="1"/>
  <c r="AC46" i="9" s="1"/>
  <c r="AL46" i="7"/>
  <c r="AJ47" i="7"/>
  <c r="AG42" i="9"/>
  <c r="AH42" i="9" s="1"/>
  <c r="D119" i="9"/>
  <c r="C121" i="7"/>
  <c r="I121" i="7" s="1"/>
  <c r="C122" i="7" l="1"/>
  <c r="I122" i="7" s="1"/>
  <c r="Z47" i="9"/>
  <c r="AB47" i="9" s="1"/>
  <c r="AC47" i="9" s="1"/>
  <c r="AL47" i="7"/>
  <c r="AJ48" i="7"/>
  <c r="D120" i="9"/>
  <c r="AG43" i="9"/>
  <c r="AH43" i="9" s="1"/>
  <c r="M105" i="7"/>
  <c r="AE44" i="9"/>
  <c r="AF44" i="9" s="1"/>
  <c r="AD45" i="9"/>
  <c r="C123" i="7" l="1"/>
  <c r="I123" i="7" s="1"/>
  <c r="AE45" i="9"/>
  <c r="AD46" i="9"/>
  <c r="O105" i="7"/>
  <c r="D121" i="9"/>
  <c r="AG44" i="9"/>
  <c r="AH44" i="9" s="1"/>
  <c r="Z48" i="9"/>
  <c r="AB48" i="9" s="1"/>
  <c r="AC48" i="9" s="1"/>
  <c r="AL48" i="7"/>
  <c r="AJ49" i="7"/>
  <c r="Z49" i="9" l="1"/>
  <c r="AB49" i="9" s="1"/>
  <c r="AC49" i="9" s="1"/>
  <c r="AL49" i="7"/>
  <c r="AJ50" i="7"/>
  <c r="D122" i="9"/>
  <c r="AG45" i="9"/>
  <c r="AH45" i="9" s="1"/>
  <c r="AE46" i="9"/>
  <c r="AD47" i="9"/>
  <c r="C124" i="7"/>
  <c r="I124" i="7" s="1"/>
  <c r="N106" i="7"/>
  <c r="P105" i="7"/>
  <c r="AF45" i="9"/>
  <c r="Z50" i="9" l="1"/>
  <c r="AB50" i="9" s="1"/>
  <c r="AC50" i="9" s="1"/>
  <c r="AL50" i="7"/>
  <c r="AJ51" i="7"/>
  <c r="C125" i="7"/>
  <c r="I125" i="7" s="1"/>
  <c r="Q105" i="7"/>
  <c r="AE47" i="9"/>
  <c r="AD48" i="9"/>
  <c r="D123" i="9"/>
  <c r="AG46" i="9"/>
  <c r="AH46" i="9" s="1"/>
  <c r="AF46" i="9"/>
  <c r="AL51" i="7" l="1"/>
  <c r="Z51" i="9"/>
  <c r="AB51" i="9" s="1"/>
  <c r="AC51" i="9" s="1"/>
  <c r="AJ52" i="7"/>
  <c r="AE48" i="9"/>
  <c r="AF48" i="9" s="1"/>
  <c r="AD49" i="9"/>
  <c r="C126" i="7"/>
  <c r="I126" i="7" s="1"/>
  <c r="D124" i="9"/>
  <c r="AG47" i="9"/>
  <c r="AH47" i="9" s="1"/>
  <c r="AF47" i="9"/>
  <c r="K106" i="7"/>
  <c r="L106" i="7" s="1"/>
  <c r="Z52" i="9" l="1"/>
  <c r="AB52" i="9" s="1"/>
  <c r="AC52" i="9" s="1"/>
  <c r="AL52" i="7"/>
  <c r="AJ53" i="7"/>
  <c r="AE49" i="9"/>
  <c r="AD50" i="9"/>
  <c r="AG48" i="9"/>
  <c r="AH48" i="9" s="1"/>
  <c r="D125" i="9"/>
  <c r="C127" i="7"/>
  <c r="I127" i="7" s="1"/>
  <c r="D126" i="9" l="1"/>
  <c r="AG49" i="9"/>
  <c r="AH49" i="9" s="1"/>
  <c r="AF49" i="9"/>
  <c r="M106" i="7"/>
  <c r="Z53" i="9"/>
  <c r="AB53" i="9" s="1"/>
  <c r="AC53" i="9" s="1"/>
  <c r="AL53" i="7"/>
  <c r="AJ54" i="7"/>
  <c r="AE50" i="9"/>
  <c r="AF50" i="9" s="1"/>
  <c r="AD51" i="9"/>
  <c r="C128" i="7"/>
  <c r="I128" i="7" s="1"/>
  <c r="AG50" i="9" l="1"/>
  <c r="AH50" i="9" s="1"/>
  <c r="D127" i="9"/>
  <c r="O106" i="7"/>
  <c r="C129" i="7"/>
  <c r="I129" i="7" s="1"/>
  <c r="AE51" i="9"/>
  <c r="AD52" i="9"/>
  <c r="Z54" i="9"/>
  <c r="AB54" i="9" s="1"/>
  <c r="AC54" i="9" s="1"/>
  <c r="AL54" i="7"/>
  <c r="AJ55" i="7"/>
  <c r="AE52" i="9" l="1"/>
  <c r="AD53" i="9"/>
  <c r="P106" i="7"/>
  <c r="N107" i="7"/>
  <c r="Z55" i="9"/>
  <c r="AB55" i="9" s="1"/>
  <c r="AC55" i="9" s="1"/>
  <c r="AL55" i="7"/>
  <c r="AJ56" i="7"/>
  <c r="D128" i="9"/>
  <c r="AG51" i="9"/>
  <c r="AH51" i="9" s="1"/>
  <c r="AF51" i="9"/>
  <c r="C130" i="7"/>
  <c r="I130" i="7" s="1"/>
  <c r="Z56" i="9" l="1"/>
  <c r="AB56" i="9" s="1"/>
  <c r="AC56" i="9" s="1"/>
  <c r="AL56" i="7"/>
  <c r="AJ57" i="7"/>
  <c r="C131" i="7"/>
  <c r="I131" i="7" s="1"/>
  <c r="AE53" i="9"/>
  <c r="AD54" i="9"/>
  <c r="Q106" i="7"/>
  <c r="D129" i="9"/>
  <c r="AG52" i="9"/>
  <c r="AH52" i="9" s="1"/>
  <c r="AF52" i="9"/>
  <c r="D130" i="9" l="1"/>
  <c r="AG53" i="9"/>
  <c r="AH53" i="9" s="1"/>
  <c r="Z57" i="9"/>
  <c r="AB57" i="9" s="1"/>
  <c r="AC57" i="9" s="1"/>
  <c r="AL57" i="7"/>
  <c r="AJ58" i="7"/>
  <c r="AE54" i="9"/>
  <c r="AF54" i="9" s="1"/>
  <c r="AD55" i="9"/>
  <c r="K107" i="7"/>
  <c r="L107" i="7" s="1"/>
  <c r="AF53" i="9"/>
  <c r="C132" i="7"/>
  <c r="I132" i="7" s="1"/>
  <c r="C133" i="7" l="1"/>
  <c r="I133" i="7" s="1"/>
  <c r="AE55" i="9"/>
  <c r="AF55" i="9" s="1"/>
  <c r="AD56" i="9"/>
  <c r="D131" i="9"/>
  <c r="AG54" i="9"/>
  <c r="AH54" i="9" s="1"/>
  <c r="Z58" i="9"/>
  <c r="AB58" i="9" s="1"/>
  <c r="AC58" i="9" s="1"/>
  <c r="AL58" i="7"/>
  <c r="AJ59" i="7"/>
  <c r="C134" i="7" l="1"/>
  <c r="I134" i="7" s="1"/>
  <c r="D132" i="9"/>
  <c r="AG55" i="9"/>
  <c r="AH55" i="9" s="1"/>
  <c r="M107" i="7"/>
  <c r="O107" i="7" s="1"/>
  <c r="Z59" i="9"/>
  <c r="AB59" i="9" s="1"/>
  <c r="AC59" i="9" s="1"/>
  <c r="AJ60" i="7"/>
  <c r="AL59" i="7"/>
  <c r="AE56" i="9"/>
  <c r="AF56" i="9" s="1"/>
  <c r="AD57" i="9"/>
  <c r="C135" i="7" l="1"/>
  <c r="I135" i="7" s="1"/>
  <c r="D133" i="9"/>
  <c r="AG56" i="9"/>
  <c r="AH56" i="9" s="1"/>
  <c r="AE57" i="9"/>
  <c r="AF57" i="9" s="1"/>
  <c r="AD58" i="9"/>
  <c r="Z60" i="9"/>
  <c r="AB60" i="9" s="1"/>
  <c r="AC60" i="9" s="1"/>
  <c r="AL60" i="7"/>
  <c r="AJ61" i="7"/>
  <c r="N108" i="7"/>
  <c r="P107" i="7"/>
  <c r="Q107" i="7" s="1"/>
  <c r="K108" i="7" s="1"/>
  <c r="L108" i="7" l="1"/>
  <c r="M108" i="7" s="1"/>
  <c r="O108" i="7" s="1"/>
  <c r="Z61" i="9"/>
  <c r="AB61" i="9" s="1"/>
  <c r="AC61" i="9" s="1"/>
  <c r="AL61" i="7"/>
  <c r="AJ62" i="7"/>
  <c r="AE58" i="9"/>
  <c r="AF58" i="9" s="1"/>
  <c r="AD59" i="9"/>
  <c r="C136" i="7"/>
  <c r="I136" i="7" s="1"/>
  <c r="D134" i="9"/>
  <c r="AG57" i="9"/>
  <c r="AH57" i="9" s="1"/>
  <c r="Z62" i="9" l="1"/>
  <c r="AB62" i="9" s="1"/>
  <c r="AC62" i="9" s="1"/>
  <c r="AL62" i="7"/>
  <c r="AJ63" i="7"/>
  <c r="C137" i="7"/>
  <c r="I137" i="7" s="1"/>
  <c r="N109" i="7"/>
  <c r="P108" i="7"/>
  <c r="Q108" i="7" s="1"/>
  <c r="K109" i="7" s="1"/>
  <c r="AE59" i="9"/>
  <c r="AD60" i="9"/>
  <c r="D135" i="9"/>
  <c r="AG58" i="9"/>
  <c r="AH58" i="9" s="1"/>
  <c r="L109" i="7" l="1"/>
  <c r="M109" i="7" s="1"/>
  <c r="O109" i="7" s="1"/>
  <c r="Z63" i="9"/>
  <c r="AB63" i="9" s="1"/>
  <c r="AC63" i="9" s="1"/>
  <c r="AL63" i="7"/>
  <c r="AJ64" i="7"/>
  <c r="AE60" i="9"/>
  <c r="AD61" i="9"/>
  <c r="C138" i="7"/>
  <c r="I138" i="7" s="1"/>
  <c r="D136" i="9"/>
  <c r="AG59" i="9"/>
  <c r="AH59" i="9" s="1"/>
  <c r="AF59" i="9"/>
  <c r="N110" i="7" l="1"/>
  <c r="P109" i="7"/>
  <c r="Q109" i="7" s="1"/>
  <c r="K110" i="7" s="1"/>
  <c r="Z64" i="9"/>
  <c r="AB64" i="9" s="1"/>
  <c r="AC64" i="9" s="1"/>
  <c r="AL64" i="7"/>
  <c r="AJ65" i="7"/>
  <c r="AE61" i="9"/>
  <c r="AD62" i="9"/>
  <c r="C139" i="7"/>
  <c r="I139" i="7" s="1"/>
  <c r="D137" i="9"/>
  <c r="AG60" i="9"/>
  <c r="AH60" i="9" s="1"/>
  <c r="AF60" i="9"/>
  <c r="L110" i="7" l="1"/>
  <c r="M110" i="7" s="1"/>
  <c r="O110" i="7" s="1"/>
  <c r="D138" i="9"/>
  <c r="AG61" i="9"/>
  <c r="AH61" i="9" s="1"/>
  <c r="Z65" i="9"/>
  <c r="AB65" i="9" s="1"/>
  <c r="AC65" i="9" s="1"/>
  <c r="AL65" i="7"/>
  <c r="AJ66" i="7"/>
  <c r="AF61" i="9"/>
  <c r="C140" i="7"/>
  <c r="I140" i="7" s="1"/>
  <c r="AE62" i="9"/>
  <c r="AD63" i="9"/>
  <c r="N111" i="7" l="1"/>
  <c r="P110" i="7"/>
  <c r="Q110" i="7" s="1"/>
  <c r="K111" i="7" s="1"/>
  <c r="Z66" i="9"/>
  <c r="AB66" i="9" s="1"/>
  <c r="AC66" i="9" s="1"/>
  <c r="AL66" i="7"/>
  <c r="AJ67" i="7"/>
  <c r="AE63" i="9"/>
  <c r="AF63" i="9" s="1"/>
  <c r="AD64" i="9"/>
  <c r="C141" i="7"/>
  <c r="I141" i="7" s="1"/>
  <c r="D139" i="9"/>
  <c r="AG62" i="9"/>
  <c r="AH62" i="9" s="1"/>
  <c r="AF62" i="9"/>
  <c r="L111" i="7" l="1"/>
  <c r="M111" i="7" s="1"/>
  <c r="O111" i="7" s="1"/>
  <c r="Z67" i="9"/>
  <c r="AB67" i="9" s="1"/>
  <c r="AC67" i="9" s="1"/>
  <c r="AL67" i="7"/>
  <c r="AJ68" i="7"/>
  <c r="AE64" i="9"/>
  <c r="AF64" i="9" s="1"/>
  <c r="AD65" i="9"/>
  <c r="C142" i="7"/>
  <c r="I142" i="7" s="1"/>
  <c r="AG63" i="9"/>
  <c r="AH63" i="9" s="1"/>
  <c r="D140" i="9"/>
  <c r="P111" i="7" l="1"/>
  <c r="Q111" i="7" s="1"/>
  <c r="K112" i="7" s="1"/>
  <c r="N112" i="7"/>
  <c r="AE65" i="9"/>
  <c r="AF65" i="9" s="1"/>
  <c r="AD66" i="9"/>
  <c r="Z68" i="9"/>
  <c r="AB68" i="9" s="1"/>
  <c r="AC68" i="9" s="1"/>
  <c r="AL68" i="7"/>
  <c r="AJ69" i="7"/>
  <c r="D141" i="9"/>
  <c r="AG64" i="9"/>
  <c r="AH64" i="9" s="1"/>
  <c r="C143" i="7"/>
  <c r="I143" i="7" s="1"/>
  <c r="L112" i="7" l="1"/>
  <c r="M112" i="7" s="1"/>
  <c r="O112" i="7" s="1"/>
  <c r="C144" i="7"/>
  <c r="I144" i="7" s="1"/>
  <c r="D142" i="9"/>
  <c r="AG65" i="9"/>
  <c r="AH65" i="9" s="1"/>
  <c r="Z69" i="9"/>
  <c r="AB69" i="9" s="1"/>
  <c r="AC69" i="9" s="1"/>
  <c r="AJ70" i="7"/>
  <c r="AL69" i="7"/>
  <c r="AE66" i="9"/>
  <c r="AF66" i="9" s="1"/>
  <c r="AD67" i="9"/>
  <c r="P112" i="7" l="1"/>
  <c r="Q112" i="7" s="1"/>
  <c r="K113" i="7" s="1"/>
  <c r="N113" i="7"/>
  <c r="C145" i="7"/>
  <c r="I145" i="7" s="1"/>
  <c r="AE67" i="9"/>
  <c r="AF67" i="9" s="1"/>
  <c r="AD68" i="9"/>
  <c r="Z70" i="9"/>
  <c r="AB70" i="9" s="1"/>
  <c r="AC70" i="9" s="1"/>
  <c r="AL70" i="7"/>
  <c r="AJ71" i="7"/>
  <c r="D143" i="9"/>
  <c r="AG66" i="9"/>
  <c r="AH66" i="9" s="1"/>
  <c r="L113" i="7" l="1"/>
  <c r="M113" i="7" s="1"/>
  <c r="O113" i="7" s="1"/>
  <c r="AE68" i="9"/>
  <c r="AF68" i="9" s="1"/>
  <c r="AD69" i="9"/>
  <c r="D144" i="9"/>
  <c r="D98" i="9" s="1"/>
  <c r="F98" i="9" s="1"/>
  <c r="AG67" i="9"/>
  <c r="AH67" i="9" s="1"/>
  <c r="C146" i="7"/>
  <c r="I146" i="7" s="1"/>
  <c r="Z71" i="9"/>
  <c r="AB71" i="9" s="1"/>
  <c r="AC71" i="9" s="1"/>
  <c r="AL71" i="7"/>
  <c r="AJ72" i="7"/>
  <c r="P113" i="7" l="1"/>
  <c r="Q113" i="7" s="1"/>
  <c r="K114" i="7" s="1"/>
  <c r="N114" i="7"/>
  <c r="C147" i="7"/>
  <c r="I147" i="7" s="1"/>
  <c r="AE69" i="9"/>
  <c r="AF69" i="9" s="1"/>
  <c r="AD70" i="9"/>
  <c r="D145" i="9"/>
  <c r="AG68" i="9"/>
  <c r="AH68" i="9" s="1"/>
  <c r="Z72" i="9"/>
  <c r="AB72" i="9" s="1"/>
  <c r="AC72" i="9" s="1"/>
  <c r="AL72" i="7"/>
  <c r="AJ73" i="7"/>
  <c r="L114" i="7" l="1"/>
  <c r="M114" i="7" s="1"/>
  <c r="O114" i="7" s="1"/>
  <c r="C148" i="7"/>
  <c r="I148" i="7" s="1"/>
  <c r="AE70" i="9"/>
  <c r="AF70" i="9" s="1"/>
  <c r="AD71" i="9"/>
  <c r="D146" i="9"/>
  <c r="AG69" i="9"/>
  <c r="AH69" i="9" s="1"/>
  <c r="Z73" i="9"/>
  <c r="AB73" i="9" s="1"/>
  <c r="AC73" i="9" s="1"/>
  <c r="AL73" i="7"/>
  <c r="AJ74" i="7"/>
  <c r="P114" i="7" l="1"/>
  <c r="Q114" i="7" s="1"/>
  <c r="K115" i="7" s="1"/>
  <c r="N115" i="7"/>
  <c r="Z74" i="9"/>
  <c r="AL74" i="7"/>
  <c r="AJ75" i="7"/>
  <c r="AE71" i="9"/>
  <c r="AF71" i="9" s="1"/>
  <c r="AD72" i="9"/>
  <c r="C149" i="7"/>
  <c r="I149" i="7" s="1"/>
  <c r="D147" i="9"/>
  <c r="AG70" i="9"/>
  <c r="AH70" i="9" s="1"/>
  <c r="AB74" i="9" l="1"/>
  <c r="AC74" i="9" s="1"/>
  <c r="L115" i="7"/>
  <c r="M115" i="7" s="1"/>
  <c r="O115" i="7" s="1"/>
  <c r="D148" i="9"/>
  <c r="AG71" i="9"/>
  <c r="AH71" i="9" s="1"/>
  <c r="AE72" i="9"/>
  <c r="AF72" i="9" s="1"/>
  <c r="AD73" i="9"/>
  <c r="Z75" i="9"/>
  <c r="AB75" i="9" s="1"/>
  <c r="AC75" i="9" s="1"/>
  <c r="AL75" i="7"/>
  <c r="AJ76" i="7"/>
  <c r="C150" i="7"/>
  <c r="I150" i="7" s="1"/>
  <c r="P115" i="7" l="1"/>
  <c r="Q115" i="7" s="1"/>
  <c r="K116" i="7" s="1"/>
  <c r="N116" i="7"/>
  <c r="C151" i="7"/>
  <c r="I151" i="7" s="1"/>
  <c r="Z76" i="9"/>
  <c r="AB76" i="9" s="1"/>
  <c r="AC76" i="9" s="1"/>
  <c r="AL76" i="7"/>
  <c r="AJ77" i="7"/>
  <c r="D149" i="9"/>
  <c r="AG72" i="9"/>
  <c r="AH72" i="9" s="1"/>
  <c r="AE73" i="9"/>
  <c r="AF73" i="9" s="1"/>
  <c r="AD74" i="9"/>
  <c r="L116" i="7" l="1"/>
  <c r="M116" i="7" s="1"/>
  <c r="O116" i="7" s="1"/>
  <c r="C152" i="7"/>
  <c r="I152" i="7" s="1"/>
  <c r="AE74" i="9"/>
  <c r="AF74" i="9" s="1"/>
  <c r="AD75" i="9"/>
  <c r="D150" i="9"/>
  <c r="AG73" i="9"/>
  <c r="AH73" i="9" s="1"/>
  <c r="Z77" i="9"/>
  <c r="AB77" i="9" s="1"/>
  <c r="AC77" i="9" s="1"/>
  <c r="AJ78" i="7"/>
  <c r="AL77" i="7"/>
  <c r="N117" i="7" l="1"/>
  <c r="P116" i="7"/>
  <c r="Q116" i="7" s="1"/>
  <c r="K117" i="7" s="1"/>
  <c r="C153" i="7"/>
  <c r="I153" i="7" s="1"/>
  <c r="Z78" i="9"/>
  <c r="AB78" i="9" s="1"/>
  <c r="AC78" i="9" s="1"/>
  <c r="AL78" i="7"/>
  <c r="AJ79" i="7"/>
  <c r="AE75" i="9"/>
  <c r="AF75" i="9" s="1"/>
  <c r="AD76" i="9"/>
  <c r="D151" i="9"/>
  <c r="AG74" i="9"/>
  <c r="AH74" i="9" s="1"/>
  <c r="L117" i="7" l="1"/>
  <c r="M117" i="7" s="1"/>
  <c r="O117" i="7" s="1"/>
  <c r="C154" i="7"/>
  <c r="I154" i="7" s="1"/>
  <c r="D152" i="9"/>
  <c r="AG75" i="9"/>
  <c r="AH75" i="9" s="1"/>
  <c r="AE76" i="9"/>
  <c r="AF76" i="9" s="1"/>
  <c r="AD77" i="9"/>
  <c r="Z79" i="9"/>
  <c r="AB79" i="9" s="1"/>
  <c r="AC79" i="9" s="1"/>
  <c r="AL79" i="7"/>
  <c r="AJ80" i="7"/>
  <c r="N118" i="7" l="1"/>
  <c r="P117" i="7"/>
  <c r="Q117" i="7" s="1"/>
  <c r="K118" i="7" s="1"/>
  <c r="D153" i="9"/>
  <c r="AG76" i="9"/>
  <c r="AH76" i="9" s="1"/>
  <c r="C155" i="7"/>
  <c r="I155" i="7" s="1"/>
  <c r="Z80" i="9"/>
  <c r="AB80" i="9" s="1"/>
  <c r="AC80" i="9" s="1"/>
  <c r="AL80" i="7"/>
  <c r="AJ81" i="7"/>
  <c r="AE77" i="9"/>
  <c r="AF77" i="9" s="1"/>
  <c r="AD78" i="9"/>
  <c r="L118" i="7" l="1"/>
  <c r="M118" i="7" s="1"/>
  <c r="O118" i="7" s="1"/>
  <c r="D154" i="9"/>
  <c r="AG77" i="9"/>
  <c r="AH77" i="9" s="1"/>
  <c r="Z81" i="9"/>
  <c r="AB81" i="9" s="1"/>
  <c r="AC81" i="9" s="1"/>
  <c r="AL81" i="7"/>
  <c r="AJ82" i="7"/>
  <c r="C156" i="7"/>
  <c r="I156" i="7" s="1"/>
  <c r="AE78" i="9"/>
  <c r="AF78" i="9" s="1"/>
  <c r="AD79" i="9"/>
  <c r="AD80" i="9" s="1"/>
  <c r="AD81" i="9" l="1"/>
  <c r="N119" i="7"/>
  <c r="P118" i="7"/>
  <c r="Q118" i="7" s="1"/>
  <c r="K119" i="7" s="1"/>
  <c r="AE79" i="9"/>
  <c r="AF79" i="9" s="1"/>
  <c r="Z82" i="9"/>
  <c r="AB82" i="9" s="1"/>
  <c r="AC82" i="9" s="1"/>
  <c r="AL82" i="7"/>
  <c r="AJ83" i="7"/>
  <c r="D155" i="9"/>
  <c r="AG78" i="9"/>
  <c r="AH78" i="9" s="1"/>
  <c r="C157" i="7"/>
  <c r="I157" i="7" s="1"/>
  <c r="L119" i="7" l="1"/>
  <c r="M119" i="7" s="1"/>
  <c r="O119" i="7" s="1"/>
  <c r="AE80" i="9"/>
  <c r="AF80" i="9" s="1"/>
  <c r="D156" i="9"/>
  <c r="AG79" i="9"/>
  <c r="AH79" i="9" s="1"/>
  <c r="Z83" i="9"/>
  <c r="AB83" i="9" s="1"/>
  <c r="AC83" i="9" s="1"/>
  <c r="AL83" i="7"/>
  <c r="AJ84" i="7"/>
  <c r="C158" i="7"/>
  <c r="I158" i="7" s="1"/>
  <c r="P119" i="7" l="1"/>
  <c r="Q119" i="7" s="1"/>
  <c r="K120" i="7" s="1"/>
  <c r="N120" i="7"/>
  <c r="AG80" i="9"/>
  <c r="AH80" i="9" s="1"/>
  <c r="D157" i="9"/>
  <c r="Z84" i="9"/>
  <c r="AB84" i="9" s="1"/>
  <c r="AC84" i="9" s="1"/>
  <c r="AL84" i="7"/>
  <c r="AJ85" i="7"/>
  <c r="C159" i="7"/>
  <c r="I159" i="7" s="1"/>
  <c r="AE81" i="9"/>
  <c r="AD82" i="9"/>
  <c r="AF81" i="9" l="1"/>
  <c r="AG81" i="9"/>
  <c r="AH81" i="9" s="1"/>
  <c r="L120" i="7"/>
  <c r="M120" i="7" s="1"/>
  <c r="O120" i="7" s="1"/>
  <c r="C160" i="7"/>
  <c r="I160" i="7" s="1"/>
  <c r="AE82" i="9"/>
  <c r="AF82" i="9" s="1"/>
  <c r="AD83" i="9"/>
  <c r="D158" i="9"/>
  <c r="Z85" i="9"/>
  <c r="AL85" i="7"/>
  <c r="AJ91" i="7"/>
  <c r="AG92" i="5" s="1"/>
  <c r="AF93" i="5" s="1"/>
  <c r="P120" i="7" l="1"/>
  <c r="Q120" i="7" s="1"/>
  <c r="K121" i="7" s="1"/>
  <c r="N121" i="7"/>
  <c r="AE83" i="9"/>
  <c r="AF83" i="9" s="1"/>
  <c r="AD84" i="9"/>
  <c r="D159" i="9"/>
  <c r="AG82" i="9"/>
  <c r="AH82" i="9" s="1"/>
  <c r="C161" i="7"/>
  <c r="I161" i="7" s="1"/>
  <c r="AL91" i="7"/>
  <c r="AB85" i="9"/>
  <c r="Z91" i="9"/>
  <c r="L121" i="7" l="1"/>
  <c r="M121" i="7" s="1"/>
  <c r="O121" i="7" s="1"/>
  <c r="AC85" i="9"/>
  <c r="AD85" i="9" s="1"/>
  <c r="AB91" i="9"/>
  <c r="AC91" i="9" s="1"/>
  <c r="AD91" i="9" s="1"/>
  <c r="AE84" i="9"/>
  <c r="AF84" i="9" s="1"/>
  <c r="D160" i="9"/>
  <c r="AG83" i="9"/>
  <c r="AH83" i="9" s="1"/>
  <c r="C167" i="7"/>
  <c r="P121" i="7" l="1"/>
  <c r="Q121" i="7" s="1"/>
  <c r="K122" i="7" s="1"/>
  <c r="N122" i="7"/>
  <c r="D161" i="9"/>
  <c r="AG84" i="9"/>
  <c r="AH84" i="9" s="1"/>
  <c r="I167" i="7"/>
  <c r="AE85" i="9"/>
  <c r="AF85" i="9" s="1"/>
  <c r="AF91" i="9" s="1"/>
  <c r="L122" i="7" l="1"/>
  <c r="M122" i="7" s="1"/>
  <c r="O122" i="7" s="1"/>
  <c r="D162" i="9"/>
  <c r="D168" i="9" s="1"/>
  <c r="AG85" i="9"/>
  <c r="AE91" i="9"/>
  <c r="N123" i="7" l="1"/>
  <c r="P122" i="7"/>
  <c r="Q122" i="7" s="1"/>
  <c r="K123" i="7" s="1"/>
  <c r="AH85" i="9"/>
  <c r="AG91" i="9"/>
  <c r="AH91" i="9" l="1"/>
  <c r="AI26" i="9" s="1"/>
  <c r="E27" i="1" s="1"/>
  <c r="F27" i="1" s="1"/>
  <c r="L123" i="7"/>
  <c r="M123" i="7" s="1"/>
  <c r="O123" i="7" s="1"/>
  <c r="AL26" i="9" l="1"/>
  <c r="E103" i="9" s="1"/>
  <c r="AI27" i="9"/>
  <c r="AL27" i="9" s="1"/>
  <c r="E104" i="9" s="1"/>
  <c r="K104" i="9" s="1"/>
  <c r="N124" i="7"/>
  <c r="P123" i="7"/>
  <c r="Q123" i="7" s="1"/>
  <c r="K124" i="7" s="1"/>
  <c r="E28" i="1" l="1"/>
  <c r="AI28" i="9"/>
  <c r="AI29" i="9" s="1"/>
  <c r="U16" i="10"/>
  <c r="U28" i="10" s="1"/>
  <c r="L124" i="7"/>
  <c r="M124" i="7" s="1"/>
  <c r="O124" i="7" s="1"/>
  <c r="K103" i="9"/>
  <c r="AL28" i="9" l="1"/>
  <c r="E105" i="9" s="1"/>
  <c r="F28" i="1"/>
  <c r="F34" i="1" s="1"/>
  <c r="F40" i="1" s="1"/>
  <c r="F29" i="1"/>
  <c r="F30" i="1" s="1"/>
  <c r="N125" i="7"/>
  <c r="P124" i="7"/>
  <c r="Q124" i="7" s="1"/>
  <c r="K125" i="7" s="1"/>
  <c r="AB73" i="10"/>
  <c r="AB58" i="10"/>
  <c r="AB55" i="10"/>
  <c r="AB64" i="10"/>
  <c r="AB52" i="10"/>
  <c r="AB49" i="10"/>
  <c r="AB31" i="10"/>
  <c r="AB79" i="10"/>
  <c r="AB76" i="10"/>
  <c r="AB43" i="10"/>
  <c r="AB46" i="10"/>
  <c r="AB32" i="10"/>
  <c r="AC32" i="10" s="1"/>
  <c r="AB81" i="10"/>
  <c r="AC81" i="10" s="1"/>
  <c r="AB68" i="10"/>
  <c r="AC68" i="10" s="1"/>
  <c r="AB27" i="10"/>
  <c r="AC27" i="10" s="1"/>
  <c r="AB28" i="10"/>
  <c r="AB85" i="10"/>
  <c r="AB37" i="10"/>
  <c r="AB40" i="10"/>
  <c r="AB39" i="10"/>
  <c r="AC39" i="10" s="1"/>
  <c r="AB53" i="10"/>
  <c r="AC53" i="10" s="1"/>
  <c r="AB63" i="10"/>
  <c r="AC63" i="10" s="1"/>
  <c r="AB65" i="10"/>
  <c r="AC65" i="10" s="1"/>
  <c r="AB82" i="10"/>
  <c r="AB70" i="10"/>
  <c r="AB42" i="10"/>
  <c r="AC42" i="10" s="1"/>
  <c r="AB30" i="10"/>
  <c r="AC30" i="10" s="1"/>
  <c r="AB33" i="10"/>
  <c r="AC33" i="10" s="1"/>
  <c r="AB36" i="10"/>
  <c r="AC36" i="10" s="1"/>
  <c r="AB35" i="10"/>
  <c r="AC35" i="10" s="1"/>
  <c r="AB75" i="10"/>
  <c r="AC75" i="10" s="1"/>
  <c r="AB84" i="10"/>
  <c r="AC84" i="10" s="1"/>
  <c r="AB51" i="10"/>
  <c r="AC51" i="10" s="1"/>
  <c r="AB60" i="10"/>
  <c r="AC60" i="10" s="1"/>
  <c r="AB41" i="10"/>
  <c r="AC41" i="10" s="1"/>
  <c r="AB38" i="10"/>
  <c r="AC38" i="10" s="1"/>
  <c r="AB45" i="10"/>
  <c r="AC45" i="10" s="1"/>
  <c r="AB34" i="10"/>
  <c r="AB59" i="10"/>
  <c r="AC59" i="10" s="1"/>
  <c r="AB74" i="10"/>
  <c r="AC74" i="10" s="1"/>
  <c r="AB67" i="10"/>
  <c r="AB66" i="10"/>
  <c r="AC66" i="10" s="1"/>
  <c r="AB47" i="10"/>
  <c r="AC47" i="10" s="1"/>
  <c r="AB54" i="10"/>
  <c r="AC54" i="10" s="1"/>
  <c r="AB44" i="10"/>
  <c r="AC44" i="10" s="1"/>
  <c r="AB61" i="10"/>
  <c r="AB72" i="10"/>
  <c r="AC72" i="10" s="1"/>
  <c r="AB69" i="10"/>
  <c r="AC69" i="10" s="1"/>
  <c r="AB29" i="10"/>
  <c r="AC29" i="10" s="1"/>
  <c r="AB48" i="10"/>
  <c r="AC48" i="10" s="1"/>
  <c r="U37" i="10"/>
  <c r="U49" i="10"/>
  <c r="U64" i="10"/>
  <c r="U67" i="10"/>
  <c r="AB56" i="10"/>
  <c r="AC56" i="10" s="1"/>
  <c r="AB71" i="10"/>
  <c r="AC71" i="10" s="1"/>
  <c r="U31" i="10"/>
  <c r="U40" i="10"/>
  <c r="U55" i="10"/>
  <c r="AB50" i="10"/>
  <c r="AC50" i="10" s="1"/>
  <c r="U34" i="10"/>
  <c r="AB80" i="10"/>
  <c r="AC80" i="10" s="1"/>
  <c r="AB57" i="10"/>
  <c r="AC57" i="10" s="1"/>
  <c r="AB78" i="10"/>
  <c r="AC78" i="10" s="1"/>
  <c r="AB83" i="10"/>
  <c r="AC83" i="10" s="1"/>
  <c r="AB62" i="10"/>
  <c r="AC62" i="10" s="1"/>
  <c r="AB77" i="10"/>
  <c r="AC77" i="10" s="1"/>
  <c r="U46" i="10"/>
  <c r="U61" i="10"/>
  <c r="U73" i="10"/>
  <c r="U79" i="10"/>
  <c r="U85" i="10"/>
  <c r="U52" i="10"/>
  <c r="U82" i="10"/>
  <c r="AB26" i="10"/>
  <c r="U43" i="10"/>
  <c r="U58" i="10"/>
  <c r="U70" i="10"/>
  <c r="U76" i="10"/>
  <c r="AL29" i="9"/>
  <c r="E106" i="9" s="1"/>
  <c r="K106" i="9" s="1"/>
  <c r="AI30" i="9"/>
  <c r="P103" i="9"/>
  <c r="L125" i="7" l="1"/>
  <c r="M125" i="7" s="1"/>
  <c r="O125" i="7" s="1"/>
  <c r="AC43" i="10"/>
  <c r="L120" i="10"/>
  <c r="AC85" i="10"/>
  <c r="L162" i="10"/>
  <c r="AC46" i="10"/>
  <c r="L123" i="10"/>
  <c r="U91" i="10"/>
  <c r="AC28" i="10"/>
  <c r="L105" i="10"/>
  <c r="AC64" i="10"/>
  <c r="L141" i="10"/>
  <c r="R103" i="9"/>
  <c r="AC76" i="10"/>
  <c r="L153" i="10"/>
  <c r="AB91" i="10"/>
  <c r="AC26" i="10"/>
  <c r="AC79" i="10"/>
  <c r="L156" i="10"/>
  <c r="AC55" i="10"/>
  <c r="L132" i="10"/>
  <c r="AC49" i="10"/>
  <c r="L126" i="10"/>
  <c r="AC82" i="10"/>
  <c r="L159" i="10"/>
  <c r="AC73" i="10"/>
  <c r="L150" i="10"/>
  <c r="AC40" i="10"/>
  <c r="L117" i="10"/>
  <c r="AC37" i="10"/>
  <c r="L114" i="10"/>
  <c r="K105" i="9"/>
  <c r="AC70" i="10"/>
  <c r="L147" i="10"/>
  <c r="AL30" i="9"/>
  <c r="E107" i="9" s="1"/>
  <c r="K107" i="9" s="1"/>
  <c r="AI31" i="9"/>
  <c r="AC58" i="10"/>
  <c r="L135" i="10"/>
  <c r="AC52" i="10"/>
  <c r="L129" i="10"/>
  <c r="AC61" i="10"/>
  <c r="L138" i="10"/>
  <c r="AC34" i="10"/>
  <c r="L111" i="10"/>
  <c r="AC31" i="10"/>
  <c r="L108" i="10"/>
  <c r="AC67" i="10"/>
  <c r="L144" i="10"/>
  <c r="P125" i="7" l="1"/>
  <c r="Q125" i="7" s="1"/>
  <c r="K126" i="7" s="1"/>
  <c r="N126" i="7"/>
  <c r="AC91" i="10"/>
  <c r="AD91" i="10" s="1"/>
  <c r="AD26" i="10"/>
  <c r="Q104" i="9"/>
  <c r="S103" i="9"/>
  <c r="L168" i="10"/>
  <c r="AI32" i="9"/>
  <c r="AL31" i="9"/>
  <c r="E108" i="9" s="1"/>
  <c r="K108" i="9" s="1"/>
  <c r="L126" i="7" l="1"/>
  <c r="M126" i="7" s="1"/>
  <c r="O126" i="7" s="1"/>
  <c r="AD27" i="10"/>
  <c r="AE26" i="10"/>
  <c r="T103" i="9"/>
  <c r="AL32" i="9"/>
  <c r="AI33" i="9"/>
  <c r="N127" i="7" l="1"/>
  <c r="P126" i="7"/>
  <c r="Q126" i="7" s="1"/>
  <c r="K127" i="7" s="1"/>
  <c r="AL33" i="9"/>
  <c r="E110" i="9" s="1"/>
  <c r="K110" i="9" s="1"/>
  <c r="AI34" i="9"/>
  <c r="N104" i="9"/>
  <c r="E109" i="9"/>
  <c r="AF26" i="10"/>
  <c r="AG26" i="10"/>
  <c r="AE27" i="10"/>
  <c r="AD28" i="10"/>
  <c r="L127" i="7" l="1"/>
  <c r="M127" i="7" s="1"/>
  <c r="O127" i="7" s="1"/>
  <c r="AL34" i="9"/>
  <c r="E111" i="9" s="1"/>
  <c r="K111" i="9" s="1"/>
  <c r="AI35" i="9"/>
  <c r="AE28" i="10"/>
  <c r="AD29" i="10"/>
  <c r="K109" i="9"/>
  <c r="AH26" i="10"/>
  <c r="AF27" i="10"/>
  <c r="AG27" i="10"/>
  <c r="AH27" i="10" s="1"/>
  <c r="O104" i="9"/>
  <c r="N128" i="7" l="1"/>
  <c r="P127" i="7"/>
  <c r="Q127" i="7" s="1"/>
  <c r="K128" i="7" s="1"/>
  <c r="P104" i="9"/>
  <c r="AF28" i="10"/>
  <c r="AG28" i="10"/>
  <c r="AL35" i="9"/>
  <c r="E112" i="9" s="1"/>
  <c r="AI36" i="9"/>
  <c r="AE29" i="10"/>
  <c r="AD30" i="10"/>
  <c r="L128" i="7" l="1"/>
  <c r="M128" i="7" s="1"/>
  <c r="O128" i="7" s="1"/>
  <c r="AH28" i="10"/>
  <c r="K112" i="9"/>
  <c r="R104" i="9"/>
  <c r="AL36" i="9"/>
  <c r="E113" i="9" s="1"/>
  <c r="K113" i="9" s="1"/>
  <c r="AI37" i="9"/>
  <c r="AE30" i="10"/>
  <c r="AD31" i="10"/>
  <c r="AG29" i="10"/>
  <c r="AH29" i="10" s="1"/>
  <c r="AF29" i="10"/>
  <c r="N129" i="7" l="1"/>
  <c r="P128" i="7"/>
  <c r="Q128" i="7" s="1"/>
  <c r="K129" i="7" s="1"/>
  <c r="AE31" i="10"/>
  <c r="AD32" i="10"/>
  <c r="AG30" i="10"/>
  <c r="AH30" i="10" s="1"/>
  <c r="AF30" i="10"/>
  <c r="Q105" i="9"/>
  <c r="S104" i="9"/>
  <c r="AL37" i="9"/>
  <c r="E114" i="9" s="1"/>
  <c r="K114" i="9" s="1"/>
  <c r="AI38" i="9"/>
  <c r="L129" i="7" l="1"/>
  <c r="M129" i="7" s="1"/>
  <c r="O129" i="7" s="1"/>
  <c r="T104" i="9"/>
  <c r="AE32" i="10"/>
  <c r="AD33" i="10"/>
  <c r="AL38" i="9"/>
  <c r="E115" i="9" s="1"/>
  <c r="K115" i="9" s="1"/>
  <c r="AI39" i="9"/>
  <c r="AF31" i="10"/>
  <c r="AG31" i="10"/>
  <c r="AH31" i="10" s="1"/>
  <c r="N130" i="7" l="1"/>
  <c r="P129" i="7"/>
  <c r="Q129" i="7" s="1"/>
  <c r="K130" i="7" s="1"/>
  <c r="AL39" i="9"/>
  <c r="E116" i="9" s="1"/>
  <c r="K116" i="9" s="1"/>
  <c r="AI40" i="9"/>
  <c r="N105" i="9"/>
  <c r="AE33" i="10"/>
  <c r="AD34" i="10"/>
  <c r="AF32" i="10"/>
  <c r="AG32" i="10"/>
  <c r="AH32" i="10" s="1"/>
  <c r="L130" i="7" l="1"/>
  <c r="M130" i="7" s="1"/>
  <c r="O130" i="7" s="1"/>
  <c r="O105" i="9"/>
  <c r="AE34" i="10"/>
  <c r="AD35" i="10"/>
  <c r="AI41" i="9"/>
  <c r="AL40" i="9"/>
  <c r="E117" i="9" s="1"/>
  <c r="K117" i="9" s="1"/>
  <c r="AF33" i="10"/>
  <c r="AG33" i="10"/>
  <c r="AH33" i="10" s="1"/>
  <c r="N131" i="7" l="1"/>
  <c r="P130" i="7"/>
  <c r="Q130" i="7" s="1"/>
  <c r="K131" i="7" s="1"/>
  <c r="AL41" i="9"/>
  <c r="E118" i="9" s="1"/>
  <c r="K118" i="9" s="1"/>
  <c r="AI42" i="9"/>
  <c r="P105" i="9"/>
  <c r="AE35" i="10"/>
  <c r="AD36" i="10"/>
  <c r="AG34" i="10"/>
  <c r="AH34" i="10" s="1"/>
  <c r="AF34" i="10"/>
  <c r="L131" i="7" l="1"/>
  <c r="M131" i="7" s="1"/>
  <c r="O131" i="7" s="1"/>
  <c r="AF35" i="10"/>
  <c r="AG35" i="10"/>
  <c r="AH35" i="10" s="1"/>
  <c r="R105" i="9"/>
  <c r="AE36" i="10"/>
  <c r="AD37" i="10"/>
  <c r="AL42" i="9"/>
  <c r="E119" i="9" s="1"/>
  <c r="K119" i="9" s="1"/>
  <c r="AI43" i="9"/>
  <c r="P131" i="7" l="1"/>
  <c r="Q131" i="7" s="1"/>
  <c r="K132" i="7" s="1"/>
  <c r="N132" i="7"/>
  <c r="AI44" i="9"/>
  <c r="AL43" i="9"/>
  <c r="E120" i="9" s="1"/>
  <c r="K120" i="9" s="1"/>
  <c r="Q106" i="9"/>
  <c r="S105" i="9"/>
  <c r="AE37" i="10"/>
  <c r="AD38" i="10"/>
  <c r="AF36" i="10"/>
  <c r="AG36" i="10"/>
  <c r="AH36" i="10" s="1"/>
  <c r="L132" i="7" l="1"/>
  <c r="M132" i="7" s="1"/>
  <c r="O132" i="7" s="1"/>
  <c r="T105" i="9"/>
  <c r="AE38" i="10"/>
  <c r="AD39" i="10"/>
  <c r="AF37" i="10"/>
  <c r="AG37" i="10"/>
  <c r="AH37" i="10" s="1"/>
  <c r="AL44" i="9"/>
  <c r="E121" i="9" s="1"/>
  <c r="K121" i="9" s="1"/>
  <c r="AI45" i="9"/>
  <c r="N133" i="7" l="1"/>
  <c r="P132" i="7"/>
  <c r="Q132" i="7" s="1"/>
  <c r="K133" i="7" s="1"/>
  <c r="AL45" i="9"/>
  <c r="E122" i="9" s="1"/>
  <c r="K122" i="9" s="1"/>
  <c r="AI46" i="9"/>
  <c r="AE39" i="10"/>
  <c r="AD40" i="10"/>
  <c r="AG38" i="10"/>
  <c r="AH38" i="10" s="1"/>
  <c r="AF38" i="10"/>
  <c r="N106" i="9"/>
  <c r="L133" i="7" l="1"/>
  <c r="M133" i="7" s="1"/>
  <c r="O133" i="7" s="1"/>
  <c r="AL46" i="9"/>
  <c r="E123" i="9" s="1"/>
  <c r="K123" i="9" s="1"/>
  <c r="AI47" i="9"/>
  <c r="O106" i="9"/>
  <c r="AE40" i="10"/>
  <c r="AD41" i="10"/>
  <c r="AG39" i="10"/>
  <c r="AH39" i="10" s="1"/>
  <c r="AF39" i="10"/>
  <c r="N134" i="7" l="1"/>
  <c r="P133" i="7"/>
  <c r="Q133" i="7" s="1"/>
  <c r="K134" i="7" s="1"/>
  <c r="AF40" i="10"/>
  <c r="AG40" i="10"/>
  <c r="AH40" i="10" s="1"/>
  <c r="AL47" i="9"/>
  <c r="E124" i="9" s="1"/>
  <c r="K124" i="9" s="1"/>
  <c r="AI48" i="9"/>
  <c r="P106" i="9"/>
  <c r="AE41" i="10"/>
  <c r="AD42" i="10"/>
  <c r="L134" i="7" l="1"/>
  <c r="M134" i="7" s="1"/>
  <c r="O134" i="7" s="1"/>
  <c r="AL48" i="9"/>
  <c r="E125" i="9" s="1"/>
  <c r="K125" i="9" s="1"/>
  <c r="AI49" i="9"/>
  <c r="AF41" i="10"/>
  <c r="AG41" i="10"/>
  <c r="AH41" i="10" s="1"/>
  <c r="R106" i="9"/>
  <c r="AE42" i="10"/>
  <c r="AD43" i="10"/>
  <c r="P134" i="7" l="1"/>
  <c r="Q134" i="7" s="1"/>
  <c r="K135" i="7" s="1"/>
  <c r="N135" i="7"/>
  <c r="AF42" i="10"/>
  <c r="AG42" i="10"/>
  <c r="AH42" i="10" s="1"/>
  <c r="AL49" i="9"/>
  <c r="E126" i="9" s="1"/>
  <c r="K126" i="9" s="1"/>
  <c r="AI50" i="9"/>
  <c r="Q107" i="9"/>
  <c r="S106" i="9"/>
  <c r="AE43" i="10"/>
  <c r="AD44" i="10"/>
  <c r="L135" i="7" l="1"/>
  <c r="M135" i="7" s="1"/>
  <c r="O135" i="7" s="1"/>
  <c r="AL50" i="9"/>
  <c r="E127" i="9" s="1"/>
  <c r="K127" i="9" s="1"/>
  <c r="AI51" i="9"/>
  <c r="T106" i="9"/>
  <c r="AE44" i="10"/>
  <c r="AD45" i="10"/>
  <c r="AF43" i="10"/>
  <c r="AG43" i="10"/>
  <c r="AH43" i="10" s="1"/>
  <c r="N136" i="7" l="1"/>
  <c r="P135" i="7"/>
  <c r="Q135" i="7" s="1"/>
  <c r="K136" i="7" s="1"/>
  <c r="AE45" i="10"/>
  <c r="AD46" i="10"/>
  <c r="AF44" i="10"/>
  <c r="AG44" i="10"/>
  <c r="AH44" i="10" s="1"/>
  <c r="N107" i="9"/>
  <c r="AI52" i="9"/>
  <c r="AL51" i="9"/>
  <c r="E128" i="9" s="1"/>
  <c r="K128" i="9" s="1"/>
  <c r="L136" i="7" l="1"/>
  <c r="M136" i="7" s="1"/>
  <c r="O136" i="7" s="1"/>
  <c r="AE46" i="10"/>
  <c r="AD47" i="10"/>
  <c r="O107" i="9"/>
  <c r="AF45" i="10"/>
  <c r="AG45" i="10"/>
  <c r="AH45" i="10" s="1"/>
  <c r="AL52" i="9"/>
  <c r="E129" i="9" s="1"/>
  <c r="K129" i="9" s="1"/>
  <c r="AI53" i="9"/>
  <c r="N137" i="7" l="1"/>
  <c r="P136" i="7"/>
  <c r="Q136" i="7" s="1"/>
  <c r="K137" i="7" s="1"/>
  <c r="P107" i="9"/>
  <c r="AE47" i="10"/>
  <c r="AD48" i="10"/>
  <c r="AL53" i="9"/>
  <c r="E130" i="9" s="1"/>
  <c r="K130" i="9" s="1"/>
  <c r="AI54" i="9"/>
  <c r="AF46" i="10"/>
  <c r="AG46" i="10"/>
  <c r="AH46" i="10" s="1"/>
  <c r="L137" i="7" l="1"/>
  <c r="M137" i="7" s="1"/>
  <c r="O137" i="7" s="1"/>
  <c r="AL54" i="9"/>
  <c r="E131" i="9" s="1"/>
  <c r="K131" i="9" s="1"/>
  <c r="AI55" i="9"/>
  <c r="R107" i="9"/>
  <c r="AE48" i="10"/>
  <c r="AD49" i="10"/>
  <c r="AF47" i="10"/>
  <c r="AG47" i="10"/>
  <c r="AH47" i="10" s="1"/>
  <c r="N138" i="7" l="1"/>
  <c r="P137" i="7"/>
  <c r="Q137" i="7" s="1"/>
  <c r="K138" i="7" s="1"/>
  <c r="AF48" i="10"/>
  <c r="AG48" i="10"/>
  <c r="AH48" i="10" s="1"/>
  <c r="AL55" i="9"/>
  <c r="E132" i="9" s="1"/>
  <c r="K132" i="9" s="1"/>
  <c r="AI56" i="9"/>
  <c r="AE49" i="10"/>
  <c r="AD50" i="10"/>
  <c r="Q108" i="9"/>
  <c r="S107" i="9"/>
  <c r="L138" i="7" l="1"/>
  <c r="M138" i="7" s="1"/>
  <c r="O138" i="7" s="1"/>
  <c r="AI57" i="9"/>
  <c r="AL56" i="9"/>
  <c r="E133" i="9" s="1"/>
  <c r="K133" i="9" s="1"/>
  <c r="AE50" i="10"/>
  <c r="AD51" i="10"/>
  <c r="AF49" i="10"/>
  <c r="AG49" i="10"/>
  <c r="AH49" i="10" s="1"/>
  <c r="T107" i="9"/>
  <c r="N139" i="7" l="1"/>
  <c r="P138" i="7"/>
  <c r="Q138" i="7" s="1"/>
  <c r="K139" i="7" s="1"/>
  <c r="N108" i="9"/>
  <c r="AL57" i="9"/>
  <c r="E134" i="9" s="1"/>
  <c r="K134" i="9" s="1"/>
  <c r="AI58" i="9"/>
  <c r="AF50" i="10"/>
  <c r="AG50" i="10"/>
  <c r="AH50" i="10" s="1"/>
  <c r="AE51" i="10"/>
  <c r="AD52" i="10"/>
  <c r="L139" i="7" l="1"/>
  <c r="M139" i="7" s="1"/>
  <c r="O139" i="7" s="1"/>
  <c r="AE52" i="10"/>
  <c r="AD53" i="10"/>
  <c r="AL58" i="9"/>
  <c r="E135" i="9" s="1"/>
  <c r="K135" i="9" s="1"/>
  <c r="AI59" i="9"/>
  <c r="AF51" i="10"/>
  <c r="AG51" i="10"/>
  <c r="AH51" i="10" s="1"/>
  <c r="O108" i="9"/>
  <c r="N140" i="7" l="1"/>
  <c r="P139" i="7"/>
  <c r="Q139" i="7" s="1"/>
  <c r="K140" i="7" s="1"/>
  <c r="AE53" i="10"/>
  <c r="AD54" i="10"/>
  <c r="AF52" i="10"/>
  <c r="AG52" i="10"/>
  <c r="AH52" i="10" s="1"/>
  <c r="AI60" i="9"/>
  <c r="AL59" i="9"/>
  <c r="E136" i="9" s="1"/>
  <c r="K136" i="9" s="1"/>
  <c r="P108" i="9"/>
  <c r="R108" i="9" s="1"/>
  <c r="L140" i="7" l="1"/>
  <c r="M140" i="7" s="1"/>
  <c r="O140" i="7" s="1"/>
  <c r="AE54" i="10"/>
  <c r="AD55" i="10"/>
  <c r="AL60" i="9"/>
  <c r="E137" i="9" s="1"/>
  <c r="K137" i="9" s="1"/>
  <c r="AI61" i="9"/>
  <c r="AF53" i="10"/>
  <c r="AG53" i="10"/>
  <c r="AH53" i="10" s="1"/>
  <c r="S108" i="9"/>
  <c r="T108" i="9" s="1"/>
  <c r="N109" i="9" s="1"/>
  <c r="O109" i="9" s="1"/>
  <c r="P109" i="9" s="1"/>
  <c r="Q109" i="9"/>
  <c r="N141" i="7" l="1"/>
  <c r="P140" i="7"/>
  <c r="Q140" i="7" s="1"/>
  <c r="K141" i="7" s="1"/>
  <c r="R109" i="9"/>
  <c r="S109" i="9" s="1"/>
  <c r="T109" i="9" s="1"/>
  <c r="N110" i="9" s="1"/>
  <c r="O110" i="9" s="1"/>
  <c r="P110" i="9" s="1"/>
  <c r="AE55" i="10"/>
  <c r="AD56" i="10"/>
  <c r="AF54" i="10"/>
  <c r="AG54" i="10"/>
  <c r="AH54" i="10" s="1"/>
  <c r="AL61" i="9"/>
  <c r="E138" i="9" s="1"/>
  <c r="K138" i="9" s="1"/>
  <c r="AI62" i="9"/>
  <c r="L141" i="7" l="1"/>
  <c r="M141" i="7" s="1"/>
  <c r="O141" i="7" s="1"/>
  <c r="Q110" i="9"/>
  <c r="R110" i="9" s="1"/>
  <c r="AE56" i="10"/>
  <c r="AD57" i="10"/>
  <c r="AL62" i="9"/>
  <c r="E139" i="9" s="1"/>
  <c r="K139" i="9" s="1"/>
  <c r="AI63" i="9"/>
  <c r="AG55" i="10"/>
  <c r="AH55" i="10" s="1"/>
  <c r="AF55" i="10"/>
  <c r="P141" i="7" l="1"/>
  <c r="Q141" i="7" s="1"/>
  <c r="K142" i="7" s="1"/>
  <c r="N142" i="7"/>
  <c r="S110" i="9"/>
  <c r="T110" i="9" s="1"/>
  <c r="N111" i="9" s="1"/>
  <c r="O111" i="9" s="1"/>
  <c r="P111" i="9" s="1"/>
  <c r="Q111" i="9"/>
  <c r="AE57" i="10"/>
  <c r="AD58" i="10"/>
  <c r="AF56" i="10"/>
  <c r="AG56" i="10"/>
  <c r="AH56" i="10" s="1"/>
  <c r="AI64" i="9"/>
  <c r="AL63" i="9"/>
  <c r="E140" i="9" s="1"/>
  <c r="K140" i="9" s="1"/>
  <c r="R111" i="9" l="1"/>
  <c r="Q112" i="9" s="1"/>
  <c r="L142" i="7"/>
  <c r="M142" i="7" s="1"/>
  <c r="O142" i="7" s="1"/>
  <c r="AE58" i="10"/>
  <c r="AD59" i="10"/>
  <c r="AF57" i="10"/>
  <c r="AG57" i="10"/>
  <c r="AH57" i="10" s="1"/>
  <c r="AI65" i="9"/>
  <c r="AL64" i="9"/>
  <c r="E141" i="9" s="1"/>
  <c r="K141" i="9" s="1"/>
  <c r="S111" i="9" l="1"/>
  <c r="T111" i="9" s="1"/>
  <c r="N112" i="9" s="1"/>
  <c r="O112" i="9" s="1"/>
  <c r="P112" i="9" s="1"/>
  <c r="R112" i="9" s="1"/>
  <c r="N143" i="7"/>
  <c r="P142" i="7"/>
  <c r="Q142" i="7" s="1"/>
  <c r="K143" i="7" s="1"/>
  <c r="AF58" i="10"/>
  <c r="AG58" i="10"/>
  <c r="AH58" i="10" s="1"/>
  <c r="AL65" i="9"/>
  <c r="E142" i="9" s="1"/>
  <c r="K142" i="9" s="1"/>
  <c r="AI66" i="9"/>
  <c r="AE59" i="10"/>
  <c r="AD60" i="10"/>
  <c r="Q113" i="9" l="1"/>
  <c r="S112" i="9"/>
  <c r="T112" i="9" s="1"/>
  <c r="N113" i="9" s="1"/>
  <c r="O113" i="9" s="1"/>
  <c r="P113" i="9" s="1"/>
  <c r="L143" i="7"/>
  <c r="M143" i="7" s="1"/>
  <c r="O143" i="7" s="1"/>
  <c r="AL66" i="9"/>
  <c r="E143" i="9" s="1"/>
  <c r="K143" i="9" s="1"/>
  <c r="AI67" i="9"/>
  <c r="AE60" i="10"/>
  <c r="AD61" i="10"/>
  <c r="AF59" i="10"/>
  <c r="AG59" i="10"/>
  <c r="AH59" i="10" s="1"/>
  <c r="R113" i="9" l="1"/>
  <c r="Q114" i="9" s="1"/>
  <c r="N144" i="7"/>
  <c r="P143" i="7"/>
  <c r="Q143" i="7" s="1"/>
  <c r="K144" i="7" s="1"/>
  <c r="AI68" i="9"/>
  <c r="AL67" i="9"/>
  <c r="E144" i="9" s="1"/>
  <c r="K144" i="9" s="1"/>
  <c r="AE61" i="10"/>
  <c r="AD62" i="10"/>
  <c r="AG60" i="10"/>
  <c r="AH60" i="10" s="1"/>
  <c r="AF60" i="10"/>
  <c r="S113" i="9" l="1"/>
  <c r="T113" i="9" s="1"/>
  <c r="N114" i="9" s="1"/>
  <c r="O114" i="9" s="1"/>
  <c r="P114" i="9" s="1"/>
  <c r="R114" i="9" s="1"/>
  <c r="Q115" i="9" s="1"/>
  <c r="L144" i="7"/>
  <c r="M144" i="7" s="1"/>
  <c r="O144" i="7" s="1"/>
  <c r="AL68" i="9"/>
  <c r="E145" i="9" s="1"/>
  <c r="K145" i="9" s="1"/>
  <c r="AI69" i="9"/>
  <c r="AE62" i="10"/>
  <c r="AD63" i="10"/>
  <c r="AG61" i="10"/>
  <c r="AH61" i="10" s="1"/>
  <c r="AF61" i="10"/>
  <c r="S114" i="9" l="1"/>
  <c r="T114" i="9" s="1"/>
  <c r="N115" i="9" s="1"/>
  <c r="O115" i="9" s="1"/>
  <c r="P115" i="9" s="1"/>
  <c r="R115" i="9" s="1"/>
  <c r="P144" i="7"/>
  <c r="Q144" i="7" s="1"/>
  <c r="K145" i="7" s="1"/>
  <c r="N145" i="7"/>
  <c r="AE63" i="10"/>
  <c r="AD64" i="10"/>
  <c r="AF62" i="10"/>
  <c r="AG62" i="10"/>
  <c r="AH62" i="10" s="1"/>
  <c r="AL69" i="9"/>
  <c r="E146" i="9" s="1"/>
  <c r="K146" i="9" s="1"/>
  <c r="AI70" i="9"/>
  <c r="L145" i="7" l="1"/>
  <c r="M145" i="7" s="1"/>
  <c r="O145" i="7" s="1"/>
  <c r="AE64" i="10"/>
  <c r="AD65" i="10"/>
  <c r="Q116" i="9"/>
  <c r="S115" i="9"/>
  <c r="T115" i="9" s="1"/>
  <c r="N116" i="9" s="1"/>
  <c r="O116" i="9" s="1"/>
  <c r="P116" i="9" s="1"/>
  <c r="AG63" i="10"/>
  <c r="AH63" i="10" s="1"/>
  <c r="AF63" i="10"/>
  <c r="AL70" i="9"/>
  <c r="E147" i="9" s="1"/>
  <c r="K147" i="9" s="1"/>
  <c r="AI71" i="9"/>
  <c r="R116" i="9" l="1"/>
  <c r="Q117" i="9" s="1"/>
  <c r="P145" i="7"/>
  <c r="Q145" i="7" s="1"/>
  <c r="K146" i="7" s="1"/>
  <c r="N146" i="7"/>
  <c r="AF64" i="10"/>
  <c r="AG64" i="10"/>
  <c r="AH64" i="10" s="1"/>
  <c r="AL71" i="9"/>
  <c r="E148" i="9" s="1"/>
  <c r="K148" i="9" s="1"/>
  <c r="AI72" i="9"/>
  <c r="AE65" i="10"/>
  <c r="AD66" i="10"/>
  <c r="S116" i="9" l="1"/>
  <c r="T116" i="9" s="1"/>
  <c r="N117" i="9" s="1"/>
  <c r="O117" i="9" s="1"/>
  <c r="P117" i="9" s="1"/>
  <c r="R117" i="9" s="1"/>
  <c r="L146" i="7"/>
  <c r="M146" i="7" s="1"/>
  <c r="O146" i="7" s="1"/>
  <c r="AE66" i="10"/>
  <c r="AD67" i="10"/>
  <c r="AF65" i="10"/>
  <c r="AG65" i="10"/>
  <c r="AH65" i="10" s="1"/>
  <c r="AI73" i="9"/>
  <c r="AL72" i="9"/>
  <c r="E149" i="9" s="1"/>
  <c r="K149" i="9" s="1"/>
  <c r="Q118" i="9" l="1"/>
  <c r="S117" i="9"/>
  <c r="T117" i="9" s="1"/>
  <c r="N118" i="9" s="1"/>
  <c r="O118" i="9" s="1"/>
  <c r="P118" i="9" s="1"/>
  <c r="P146" i="7"/>
  <c r="Q146" i="7" s="1"/>
  <c r="K147" i="7" s="1"/>
  <c r="N147" i="7"/>
  <c r="AL73" i="9"/>
  <c r="E150" i="9" s="1"/>
  <c r="K150" i="9" s="1"/>
  <c r="AI74" i="9"/>
  <c r="AF66" i="10"/>
  <c r="AG66" i="10"/>
  <c r="AH66" i="10" s="1"/>
  <c r="AE67" i="10"/>
  <c r="AD68" i="10"/>
  <c r="R118" i="9" l="1"/>
  <c r="S118" i="9" s="1"/>
  <c r="T118" i="9" s="1"/>
  <c r="N119" i="9" s="1"/>
  <c r="O119" i="9" s="1"/>
  <c r="P119" i="9" s="1"/>
  <c r="L147" i="7"/>
  <c r="M147" i="7" s="1"/>
  <c r="O147" i="7" s="1"/>
  <c r="AF67" i="10"/>
  <c r="AG67" i="10"/>
  <c r="AH67" i="10" s="1"/>
  <c r="AE68" i="10"/>
  <c r="AD69" i="10"/>
  <c r="AL74" i="9"/>
  <c r="E151" i="9" s="1"/>
  <c r="K151" i="9" s="1"/>
  <c r="AI75" i="9"/>
  <c r="Q119" i="9" l="1"/>
  <c r="R119" i="9" s="1"/>
  <c r="P147" i="7"/>
  <c r="Q147" i="7" s="1"/>
  <c r="K148" i="7" s="1"/>
  <c r="N148" i="7"/>
  <c r="AE69" i="10"/>
  <c r="AD70" i="10"/>
  <c r="AF68" i="10"/>
  <c r="AG68" i="10"/>
  <c r="AH68" i="10" s="1"/>
  <c r="AI76" i="9"/>
  <c r="AL75" i="9"/>
  <c r="E152" i="9" s="1"/>
  <c r="K152" i="9" s="1"/>
  <c r="L148" i="7" l="1"/>
  <c r="M148" i="7" s="1"/>
  <c r="O148" i="7" s="1"/>
  <c r="AL76" i="9"/>
  <c r="E153" i="9" s="1"/>
  <c r="K153" i="9" s="1"/>
  <c r="AI77" i="9"/>
  <c r="AD71" i="10"/>
  <c r="AE70" i="10"/>
  <c r="Q120" i="9"/>
  <c r="S119" i="9"/>
  <c r="T119" i="9" s="1"/>
  <c r="N120" i="9" s="1"/>
  <c r="O120" i="9" s="1"/>
  <c r="P120" i="9" s="1"/>
  <c r="AF69" i="10"/>
  <c r="AG69" i="10"/>
  <c r="AH69" i="10" s="1"/>
  <c r="N149" i="7" l="1"/>
  <c r="P148" i="7"/>
  <c r="Q148" i="7" s="1"/>
  <c r="K149" i="7" s="1"/>
  <c r="AF70" i="10"/>
  <c r="AG70" i="10"/>
  <c r="AH70" i="10" s="1"/>
  <c r="AE71" i="10"/>
  <c r="AD72" i="10"/>
  <c r="AI78" i="9"/>
  <c r="AL77" i="9"/>
  <c r="E154" i="9" s="1"/>
  <c r="K154" i="9" s="1"/>
  <c r="R120" i="9"/>
  <c r="L149" i="7" l="1"/>
  <c r="M149" i="7" s="1"/>
  <c r="O149" i="7" s="1"/>
  <c r="AE72" i="10"/>
  <c r="AD73" i="10"/>
  <c r="AF71" i="10"/>
  <c r="AG71" i="10"/>
  <c r="AH71" i="10" s="1"/>
  <c r="Q121" i="9"/>
  <c r="S120" i="9"/>
  <c r="T120" i="9" s="1"/>
  <c r="N121" i="9" s="1"/>
  <c r="O121" i="9" s="1"/>
  <c r="P121" i="9" s="1"/>
  <c r="AL78" i="9"/>
  <c r="E155" i="9" s="1"/>
  <c r="K155" i="9" s="1"/>
  <c r="AI79" i="9"/>
  <c r="N150" i="7" l="1"/>
  <c r="P149" i="7"/>
  <c r="Q149" i="7" s="1"/>
  <c r="K150" i="7" s="1"/>
  <c r="AI80" i="9"/>
  <c r="AL79" i="9"/>
  <c r="E156" i="9" s="1"/>
  <c r="K156" i="9" s="1"/>
  <c r="AE73" i="10"/>
  <c r="AD74" i="10"/>
  <c r="R121" i="9"/>
  <c r="AF72" i="10"/>
  <c r="AG72" i="10"/>
  <c r="AH72" i="10" s="1"/>
  <c r="L150" i="7" l="1"/>
  <c r="M150" i="7" s="1"/>
  <c r="O150" i="7" s="1"/>
  <c r="AL80" i="9"/>
  <c r="E157" i="9" s="1"/>
  <c r="K157" i="9" s="1"/>
  <c r="AI81" i="9"/>
  <c r="Q122" i="9"/>
  <c r="S121" i="9"/>
  <c r="T121" i="9" s="1"/>
  <c r="N122" i="9" s="1"/>
  <c r="O122" i="9" s="1"/>
  <c r="P122" i="9" s="1"/>
  <c r="AE74" i="10"/>
  <c r="AD75" i="10"/>
  <c r="AF73" i="10"/>
  <c r="AG73" i="10"/>
  <c r="AH73" i="10" s="1"/>
  <c r="N151" i="7" l="1"/>
  <c r="P150" i="7"/>
  <c r="Q150" i="7" s="1"/>
  <c r="K151" i="7" s="1"/>
  <c r="R122" i="9"/>
  <c r="S122" i="9" s="1"/>
  <c r="T122" i="9" s="1"/>
  <c r="N123" i="9" s="1"/>
  <c r="O123" i="9" s="1"/>
  <c r="P123" i="9" s="1"/>
  <c r="AF74" i="10"/>
  <c r="AG74" i="10"/>
  <c r="AH74" i="10" s="1"/>
  <c r="AL81" i="9"/>
  <c r="E158" i="9" s="1"/>
  <c r="K158" i="9" s="1"/>
  <c r="AI82" i="9"/>
  <c r="AE75" i="10"/>
  <c r="AD76" i="10"/>
  <c r="Q123" i="9" l="1"/>
  <c r="R123" i="9" s="1"/>
  <c r="Q124" i="9" s="1"/>
  <c r="L151" i="7"/>
  <c r="M151" i="7" s="1"/>
  <c r="O151" i="7" s="1"/>
  <c r="AF75" i="10"/>
  <c r="AG75" i="10"/>
  <c r="AH75" i="10" s="1"/>
  <c r="AL82" i="9"/>
  <c r="E159" i="9" s="1"/>
  <c r="K159" i="9" s="1"/>
  <c r="AI83" i="9"/>
  <c r="AD77" i="10"/>
  <c r="AE76" i="10"/>
  <c r="N152" i="7" l="1"/>
  <c r="P151" i="7"/>
  <c r="Q151" i="7" s="1"/>
  <c r="K152" i="7" s="1"/>
  <c r="S123" i="9"/>
  <c r="T123" i="9" s="1"/>
  <c r="N124" i="9" s="1"/>
  <c r="O124" i="9" s="1"/>
  <c r="P124" i="9" s="1"/>
  <c r="R124" i="9" s="1"/>
  <c r="Q125" i="9" s="1"/>
  <c r="AF76" i="10"/>
  <c r="AG76" i="10"/>
  <c r="AH76" i="10" s="1"/>
  <c r="AE77" i="10"/>
  <c r="AD78" i="10"/>
  <c r="AI84" i="9"/>
  <c r="AL83" i="9"/>
  <c r="E160" i="9" s="1"/>
  <c r="K160" i="9" s="1"/>
  <c r="L152" i="7" l="1"/>
  <c r="M152" i="7" s="1"/>
  <c r="O152" i="7" s="1"/>
  <c r="S124" i="9"/>
  <c r="T124" i="9" s="1"/>
  <c r="N125" i="9" s="1"/>
  <c r="O125" i="9" s="1"/>
  <c r="P125" i="9" s="1"/>
  <c r="R125" i="9" s="1"/>
  <c r="AF77" i="10"/>
  <c r="AG77" i="10"/>
  <c r="AH77" i="10" s="1"/>
  <c r="AI85" i="9"/>
  <c r="AL84" i="9"/>
  <c r="E161" i="9" s="1"/>
  <c r="K161" i="9" s="1"/>
  <c r="AE78" i="10"/>
  <c r="AD79" i="10"/>
  <c r="N153" i="7" l="1"/>
  <c r="P152" i="7"/>
  <c r="Q152" i="7" s="1"/>
  <c r="K153" i="7" s="1"/>
  <c r="AF78" i="10"/>
  <c r="AG78" i="10"/>
  <c r="AH78" i="10" s="1"/>
  <c r="Q126" i="9"/>
  <c r="S125" i="9"/>
  <c r="T125" i="9" s="1"/>
  <c r="N126" i="9" s="1"/>
  <c r="O126" i="9" s="1"/>
  <c r="P126" i="9" s="1"/>
  <c r="AL85" i="9"/>
  <c r="AI91" i="9"/>
  <c r="AE79" i="10"/>
  <c r="AD80" i="10"/>
  <c r="L153" i="7" l="1"/>
  <c r="M153" i="7" s="1"/>
  <c r="O153" i="7" s="1"/>
  <c r="R126" i="9"/>
  <c r="Q127" i="9" s="1"/>
  <c r="E162" i="9"/>
  <c r="AL91" i="9"/>
  <c r="AE80" i="10"/>
  <c r="AD81" i="10"/>
  <c r="AF79" i="10"/>
  <c r="AG79" i="10"/>
  <c r="AH79" i="10" s="1"/>
  <c r="S126" i="9" l="1"/>
  <c r="T126" i="9" s="1"/>
  <c r="N127" i="9" s="1"/>
  <c r="O127" i="9" s="1"/>
  <c r="P127" i="9" s="1"/>
  <c r="R127" i="9" s="1"/>
  <c r="Q128" i="9" s="1"/>
  <c r="P153" i="7"/>
  <c r="Q153" i="7" s="1"/>
  <c r="K154" i="7" s="1"/>
  <c r="N154" i="7"/>
  <c r="AE81" i="10"/>
  <c r="AD82" i="10"/>
  <c r="AG80" i="10"/>
  <c r="AH80" i="10" s="1"/>
  <c r="AF80" i="10"/>
  <c r="K162" i="9"/>
  <c r="E168" i="9"/>
  <c r="S127" i="9" l="1"/>
  <c r="T127" i="9" s="1"/>
  <c r="N128" i="9" s="1"/>
  <c r="O128" i="9" s="1"/>
  <c r="P128" i="9" s="1"/>
  <c r="R128" i="9" s="1"/>
  <c r="S128" i="9" s="1"/>
  <c r="T128" i="9" s="1"/>
  <c r="N129" i="9" s="1"/>
  <c r="O129" i="9" s="1"/>
  <c r="P129" i="9" s="1"/>
  <c r="L154" i="7"/>
  <c r="M154" i="7" s="1"/>
  <c r="O154" i="7" s="1"/>
  <c r="AD83" i="10"/>
  <c r="AE82" i="10"/>
  <c r="AG81" i="10"/>
  <c r="AH81" i="10" s="1"/>
  <c r="AF81" i="10"/>
  <c r="K168" i="9"/>
  <c r="Q129" i="9" l="1"/>
  <c r="R129" i="9" s="1"/>
  <c r="N155" i="7"/>
  <c r="P154" i="7"/>
  <c r="Q154" i="7" s="1"/>
  <c r="K155" i="7" s="1"/>
  <c r="AF82" i="10"/>
  <c r="AG82" i="10"/>
  <c r="AH82" i="10" s="1"/>
  <c r="AE83" i="10"/>
  <c r="AD84" i="10"/>
  <c r="L155" i="7" l="1"/>
  <c r="M155" i="7" s="1"/>
  <c r="O155" i="7" s="1"/>
  <c r="AF83" i="10"/>
  <c r="AG83" i="10"/>
  <c r="AH83" i="10" s="1"/>
  <c r="Q130" i="9"/>
  <c r="S129" i="9"/>
  <c r="T129" i="9" s="1"/>
  <c r="N130" i="9" s="1"/>
  <c r="O130" i="9" s="1"/>
  <c r="P130" i="9" s="1"/>
  <c r="AD85" i="10"/>
  <c r="AE85" i="10" s="1"/>
  <c r="AE84" i="10"/>
  <c r="N156" i="7" l="1"/>
  <c r="P155" i="7"/>
  <c r="Q155" i="7" s="1"/>
  <c r="K156" i="7" s="1"/>
  <c r="R130" i="9"/>
  <c r="Q131" i="9" s="1"/>
  <c r="AG84" i="10"/>
  <c r="AH84" i="10" s="1"/>
  <c r="AF84" i="10"/>
  <c r="AG85" i="10"/>
  <c r="AF85" i="10"/>
  <c r="AE91" i="10"/>
  <c r="AF91" i="10" l="1"/>
  <c r="S130" i="9"/>
  <c r="T130" i="9" s="1"/>
  <c r="N131" i="9" s="1"/>
  <c r="O131" i="9" s="1"/>
  <c r="P131" i="9" s="1"/>
  <c r="R131" i="9" s="1"/>
  <c r="Q132" i="9" s="1"/>
  <c r="L156" i="7"/>
  <c r="M156" i="7" s="1"/>
  <c r="O156" i="7" s="1"/>
  <c r="AH85" i="10"/>
  <c r="AH91" i="10" s="1"/>
  <c r="AI26" i="10" s="1"/>
  <c r="AG91" i="10"/>
  <c r="S131" i="9" l="1"/>
  <c r="T131" i="9" s="1"/>
  <c r="N132" i="9" s="1"/>
  <c r="O132" i="9" s="1"/>
  <c r="P132" i="9" s="1"/>
  <c r="R132" i="9" s="1"/>
  <c r="Q133" i="9" s="1"/>
  <c r="N157" i="7"/>
  <c r="P156" i="7"/>
  <c r="Q156" i="7" s="1"/>
  <c r="K157" i="7" s="1"/>
  <c r="G27" i="1"/>
  <c r="AL26" i="10"/>
  <c r="AI27" i="10"/>
  <c r="S132" i="9" l="1"/>
  <c r="T132" i="9" s="1"/>
  <c r="N133" i="9" s="1"/>
  <c r="O133" i="9" s="1"/>
  <c r="P133" i="9" s="1"/>
  <c r="R133" i="9" s="1"/>
  <c r="Q134" i="9" s="1"/>
  <c r="L157" i="7"/>
  <c r="AL27" i="10"/>
  <c r="E104" i="10" s="1"/>
  <c r="K104" i="10" s="1"/>
  <c r="AI28" i="10"/>
  <c r="E103" i="10"/>
  <c r="K103" i="10" s="1"/>
  <c r="G28" i="1"/>
  <c r="H27" i="1"/>
  <c r="M157" i="7" l="1"/>
  <c r="S133" i="9"/>
  <c r="T133" i="9" s="1"/>
  <c r="N134" i="9" s="1"/>
  <c r="O134" i="9" s="1"/>
  <c r="P134" i="9" s="1"/>
  <c r="R134" i="9" s="1"/>
  <c r="S134" i="9" s="1"/>
  <c r="T134" i="9" s="1"/>
  <c r="N135" i="9" s="1"/>
  <c r="O135" i="9" s="1"/>
  <c r="P135" i="9" s="1"/>
  <c r="H29" i="1"/>
  <c r="H30" i="1" s="1"/>
  <c r="H28" i="1"/>
  <c r="H34" i="1" s="1"/>
  <c r="H40" i="1" s="1"/>
  <c r="AI29" i="10"/>
  <c r="AL28" i="10"/>
  <c r="E105" i="10" s="1"/>
  <c r="K105" i="10" s="1"/>
  <c r="P103" i="10"/>
  <c r="Q135" i="9" l="1"/>
  <c r="R135" i="9" s="1"/>
  <c r="O157" i="7"/>
  <c r="AL29" i="10"/>
  <c r="AI30" i="10"/>
  <c r="R103" i="10"/>
  <c r="N158" i="7" l="1"/>
  <c r="P157" i="7"/>
  <c r="Q136" i="9"/>
  <c r="S135" i="9"/>
  <c r="T135" i="9" s="1"/>
  <c r="N136" i="9" s="1"/>
  <c r="O136" i="9" s="1"/>
  <c r="P136" i="9" s="1"/>
  <c r="AL30" i="10"/>
  <c r="E107" i="10" s="1"/>
  <c r="K107" i="10" s="1"/>
  <c r="AI31" i="10"/>
  <c r="E106" i="10"/>
  <c r="K106" i="10" s="1"/>
  <c r="Q104" i="10"/>
  <c r="S103" i="10"/>
  <c r="R136" i="9" l="1"/>
  <c r="S136" i="9" s="1"/>
  <c r="T136" i="9" s="1"/>
  <c r="N137" i="9" s="1"/>
  <c r="O137" i="9" s="1"/>
  <c r="P137" i="9" s="1"/>
  <c r="Q157" i="7"/>
  <c r="K158" i="7" s="1"/>
  <c r="AL31" i="10"/>
  <c r="E108" i="10" s="1"/>
  <c r="K108" i="10" s="1"/>
  <c r="AI32" i="10"/>
  <c r="T103" i="10"/>
  <c r="Q137" i="9" l="1"/>
  <c r="R137" i="9" s="1"/>
  <c r="Q138" i="9" s="1"/>
  <c r="L158" i="7"/>
  <c r="N104" i="10"/>
  <c r="AI33" i="10"/>
  <c r="AL32" i="10"/>
  <c r="S137" i="9" l="1"/>
  <c r="T137" i="9" s="1"/>
  <c r="N138" i="9" s="1"/>
  <c r="O138" i="9" s="1"/>
  <c r="P138" i="9" s="1"/>
  <c r="R138" i="9" s="1"/>
  <c r="M158" i="7"/>
  <c r="E109" i="10"/>
  <c r="K109" i="10" s="1"/>
  <c r="AL33" i="10"/>
  <c r="E110" i="10" s="1"/>
  <c r="K110" i="10" s="1"/>
  <c r="AI34" i="10"/>
  <c r="O104" i="10"/>
  <c r="Q139" i="9" l="1"/>
  <c r="S138" i="9"/>
  <c r="T138" i="9" s="1"/>
  <c r="N139" i="9" s="1"/>
  <c r="O139" i="9" s="1"/>
  <c r="P139" i="9" s="1"/>
  <c r="O158" i="7"/>
  <c r="AL34" i="10"/>
  <c r="E111" i="10" s="1"/>
  <c r="K111" i="10" s="1"/>
  <c r="AI35" i="10"/>
  <c r="P104" i="10"/>
  <c r="R139" i="9" l="1"/>
  <c r="N159" i="7"/>
  <c r="P158" i="7"/>
  <c r="AL35" i="10"/>
  <c r="E112" i="10" s="1"/>
  <c r="K112" i="10" s="1"/>
  <c r="AI36" i="10"/>
  <c r="R104" i="10"/>
  <c r="Q140" i="9" l="1"/>
  <c r="S139" i="9"/>
  <c r="T139" i="9" s="1"/>
  <c r="N140" i="9" s="1"/>
  <c r="O140" i="9" s="1"/>
  <c r="P140" i="9" s="1"/>
  <c r="Q158" i="7"/>
  <c r="K159" i="7" s="1"/>
  <c r="AI37" i="10"/>
  <c r="AL36" i="10"/>
  <c r="E113" i="10" s="1"/>
  <c r="K113" i="10" s="1"/>
  <c r="Q105" i="10"/>
  <c r="S104" i="10"/>
  <c r="R140" i="9" l="1"/>
  <c r="L159" i="7"/>
  <c r="AL37" i="10"/>
  <c r="E114" i="10" s="1"/>
  <c r="K114" i="10" s="1"/>
  <c r="AI38" i="10"/>
  <c r="T104" i="10"/>
  <c r="Q141" i="9" l="1"/>
  <c r="S140" i="9"/>
  <c r="T140" i="9" s="1"/>
  <c r="N141" i="9" s="1"/>
  <c r="O141" i="9" s="1"/>
  <c r="P141" i="9" s="1"/>
  <c r="M159" i="7"/>
  <c r="AI39" i="10"/>
  <c r="AL38" i="10"/>
  <c r="E115" i="10" s="1"/>
  <c r="K115" i="10" s="1"/>
  <c r="N105" i="10"/>
  <c r="R141" i="9" l="1"/>
  <c r="O159" i="7"/>
  <c r="O105" i="10"/>
  <c r="AI40" i="10"/>
  <c r="AL39" i="10"/>
  <c r="E116" i="10" s="1"/>
  <c r="K116" i="10" s="1"/>
  <c r="S141" i="9" l="1"/>
  <c r="T141" i="9" s="1"/>
  <c r="N142" i="9" s="1"/>
  <c r="O142" i="9" s="1"/>
  <c r="P142" i="9" s="1"/>
  <c r="Q142" i="9"/>
  <c r="N160" i="7"/>
  <c r="P159" i="7"/>
  <c r="AI41" i="10"/>
  <c r="AL40" i="10"/>
  <c r="E117" i="10" s="1"/>
  <c r="K117" i="10" s="1"/>
  <c r="P105" i="10"/>
  <c r="R142" i="9" l="1"/>
  <c r="Q159" i="7"/>
  <c r="K160" i="7" s="1"/>
  <c r="AL41" i="10"/>
  <c r="E118" i="10" s="1"/>
  <c r="K118" i="10" s="1"/>
  <c r="AI42" i="10"/>
  <c r="R105" i="10"/>
  <c r="Q143" i="9" l="1"/>
  <c r="S142" i="9"/>
  <c r="T142" i="9" s="1"/>
  <c r="N143" i="9" s="1"/>
  <c r="O143" i="9" s="1"/>
  <c r="P143" i="9" s="1"/>
  <c r="L160" i="7"/>
  <c r="M160" i="7" s="1"/>
  <c r="Q106" i="10"/>
  <c r="S105" i="10"/>
  <c r="AL42" i="10"/>
  <c r="E119" i="10" s="1"/>
  <c r="K119" i="10" s="1"/>
  <c r="AI43" i="10"/>
  <c r="R143" i="9" l="1"/>
  <c r="S143" i="9" s="1"/>
  <c r="T143" i="9" s="1"/>
  <c r="N144" i="9" s="1"/>
  <c r="O144" i="9" s="1"/>
  <c r="P144" i="9" s="1"/>
  <c r="O160" i="7"/>
  <c r="T105" i="10"/>
  <c r="AL43" i="10"/>
  <c r="E120" i="10" s="1"/>
  <c r="K120" i="10" s="1"/>
  <c r="AI44" i="10"/>
  <c r="Q144" i="9" l="1"/>
  <c r="R144" i="9" s="1"/>
  <c r="N161" i="7"/>
  <c r="P160" i="7"/>
  <c r="AI45" i="10"/>
  <c r="AL44" i="10"/>
  <c r="E121" i="10" s="1"/>
  <c r="K121" i="10" s="1"/>
  <c r="N106" i="10"/>
  <c r="S144" i="9" l="1"/>
  <c r="T144" i="9" s="1"/>
  <c r="N145" i="9" s="1"/>
  <c r="O145" i="9" s="1"/>
  <c r="P145" i="9" s="1"/>
  <c r="Q145" i="9"/>
  <c r="Q160" i="7"/>
  <c r="K161" i="7" s="1"/>
  <c r="AL45" i="10"/>
  <c r="E122" i="10" s="1"/>
  <c r="K122" i="10" s="1"/>
  <c r="AI46" i="10"/>
  <c r="O106" i="10"/>
  <c r="R145" i="9" l="1"/>
  <c r="S145" i="9" s="1"/>
  <c r="T145" i="9" s="1"/>
  <c r="N146" i="9" s="1"/>
  <c r="O146" i="9" s="1"/>
  <c r="P146" i="9" s="1"/>
  <c r="L161" i="7"/>
  <c r="M161" i="7" s="1"/>
  <c r="AI47" i="10"/>
  <c r="AL46" i="10"/>
  <c r="E123" i="10" s="1"/>
  <c r="K123" i="10" s="1"/>
  <c r="P106" i="10"/>
  <c r="Q146" i="9" l="1"/>
  <c r="R146" i="9" s="1"/>
  <c r="O161" i="7"/>
  <c r="R106" i="10"/>
  <c r="AL47" i="10"/>
  <c r="E124" i="10" s="1"/>
  <c r="K124" i="10" s="1"/>
  <c r="AI48" i="10"/>
  <c r="Q147" i="9" l="1"/>
  <c r="S146" i="9"/>
  <c r="T146" i="9" s="1"/>
  <c r="N147" i="9" s="1"/>
  <c r="O147" i="9" s="1"/>
  <c r="P147" i="9" s="1"/>
  <c r="N162" i="7"/>
  <c r="P161" i="7"/>
  <c r="AI49" i="10"/>
  <c r="AL48" i="10"/>
  <c r="E125" i="10" s="1"/>
  <c r="K125" i="10" s="1"/>
  <c r="Q107" i="10"/>
  <c r="S106" i="10"/>
  <c r="R147" i="9" l="1"/>
  <c r="Q161" i="7"/>
  <c r="K162" i="7" s="1"/>
  <c r="L162" i="7" s="1"/>
  <c r="M162" i="7" s="1"/>
  <c r="O162" i="7" s="1"/>
  <c r="T106" i="10"/>
  <c r="AI50" i="10"/>
  <c r="AL49" i="10"/>
  <c r="E126" i="10" s="1"/>
  <c r="K126" i="10" s="1"/>
  <c r="S147" i="9" l="1"/>
  <c r="T147" i="9" s="1"/>
  <c r="N148" i="9" s="1"/>
  <c r="O148" i="9" s="1"/>
  <c r="P148" i="9" s="1"/>
  <c r="Q148" i="9"/>
  <c r="N163" i="7"/>
  <c r="P162" i="7"/>
  <c r="AL50" i="10"/>
  <c r="E127" i="10" s="1"/>
  <c r="K127" i="10" s="1"/>
  <c r="AI51" i="10"/>
  <c r="N107" i="10"/>
  <c r="K163" i="7" l="1"/>
  <c r="L163" i="7" s="1"/>
  <c r="M163" i="7" s="1"/>
  <c r="O163" i="7" s="1"/>
  <c r="N164" i="7" s="1"/>
  <c r="R148" i="9"/>
  <c r="S148" i="9" s="1"/>
  <c r="T148" i="9" s="1"/>
  <c r="N149" i="9" s="1"/>
  <c r="O149" i="9" s="1"/>
  <c r="P149" i="9" s="1"/>
  <c r="O107" i="10"/>
  <c r="AL51" i="10"/>
  <c r="E128" i="10" s="1"/>
  <c r="K128" i="10" s="1"/>
  <c r="AI52" i="10"/>
  <c r="P163" i="7" l="1"/>
  <c r="Q149" i="9"/>
  <c r="R149" i="9" s="1"/>
  <c r="P107" i="10"/>
  <c r="AL52" i="10"/>
  <c r="E129" i="10" s="1"/>
  <c r="K129" i="10" s="1"/>
  <c r="AI53" i="10"/>
  <c r="K164" i="7" l="1"/>
  <c r="L164" i="7" s="1"/>
  <c r="M164" i="7" s="1"/>
  <c r="O164" i="7" s="1"/>
  <c r="S149" i="9"/>
  <c r="T149" i="9" s="1"/>
  <c r="N150" i="9" s="1"/>
  <c r="O150" i="9" s="1"/>
  <c r="P150" i="9" s="1"/>
  <c r="Q150" i="9"/>
  <c r="R107" i="10"/>
  <c r="AI54" i="10"/>
  <c r="AL53" i="10"/>
  <c r="E130" i="10" s="1"/>
  <c r="K130" i="10" s="1"/>
  <c r="P164" i="7" l="1"/>
  <c r="N165" i="7"/>
  <c r="R150" i="9"/>
  <c r="Q151" i="9" s="1"/>
  <c r="AL54" i="10"/>
  <c r="E131" i="10" s="1"/>
  <c r="K131" i="10" s="1"/>
  <c r="AI55" i="10"/>
  <c r="Q108" i="10"/>
  <c r="S107" i="10"/>
  <c r="K165" i="7" l="1"/>
  <c r="S150" i="9"/>
  <c r="T150" i="9" s="1"/>
  <c r="N151" i="9" s="1"/>
  <c r="O151" i="9" s="1"/>
  <c r="P151" i="9" s="1"/>
  <c r="R151" i="9" s="1"/>
  <c r="Q152" i="9" s="1"/>
  <c r="T107" i="10"/>
  <c r="AL55" i="10"/>
  <c r="E132" i="10" s="1"/>
  <c r="K132" i="10" s="1"/>
  <c r="AI56" i="10"/>
  <c r="L165" i="7" l="1"/>
  <c r="M165" i="7" s="1"/>
  <c r="O165" i="7" s="1"/>
  <c r="S151" i="9"/>
  <c r="T151" i="9" s="1"/>
  <c r="N152" i="9" s="1"/>
  <c r="O152" i="9" s="1"/>
  <c r="P152" i="9" s="1"/>
  <c r="R152" i="9" s="1"/>
  <c r="N108" i="10"/>
  <c r="AI57" i="10"/>
  <c r="AL56" i="10"/>
  <c r="E133" i="10" s="1"/>
  <c r="K133" i="10" s="1"/>
  <c r="P165" i="7" l="1"/>
  <c r="N166" i="7"/>
  <c r="S152" i="9"/>
  <c r="T152" i="9" s="1"/>
  <c r="N153" i="9" s="1"/>
  <c r="O153" i="9" s="1"/>
  <c r="P153" i="9" s="1"/>
  <c r="Q153" i="9"/>
  <c r="AL57" i="10"/>
  <c r="E134" i="10" s="1"/>
  <c r="K134" i="10" s="1"/>
  <c r="AI58" i="10"/>
  <c r="O108" i="10"/>
  <c r="K166" i="7" l="1"/>
  <c r="R153" i="9"/>
  <c r="P108" i="10"/>
  <c r="R108" i="10" s="1"/>
  <c r="AL58" i="10"/>
  <c r="E135" i="10" s="1"/>
  <c r="K135" i="10" s="1"/>
  <c r="AI59" i="10"/>
  <c r="L166" i="7" l="1"/>
  <c r="K167" i="7"/>
  <c r="BA92" i="7" s="1"/>
  <c r="S153" i="9"/>
  <c r="T153" i="9" s="1"/>
  <c r="N154" i="9" s="1"/>
  <c r="O154" i="9" s="1"/>
  <c r="P154" i="9" s="1"/>
  <c r="Q154" i="9"/>
  <c r="Q109" i="10"/>
  <c r="S108" i="10"/>
  <c r="T108" i="10" s="1"/>
  <c r="N109" i="10" s="1"/>
  <c r="O109" i="10" s="1"/>
  <c r="P109" i="10" s="1"/>
  <c r="AL59" i="10"/>
  <c r="E136" i="10" s="1"/>
  <c r="K136" i="10" s="1"/>
  <c r="AI60" i="10"/>
  <c r="L167" i="7" l="1"/>
  <c r="M166" i="7"/>
  <c r="R154" i="9"/>
  <c r="Q155" i="9" s="1"/>
  <c r="R109" i="10"/>
  <c r="Q110" i="10" s="1"/>
  <c r="AL60" i="10"/>
  <c r="E137" i="10" s="1"/>
  <c r="K137" i="10" s="1"/>
  <c r="AI61" i="10"/>
  <c r="O166" i="7" l="1"/>
  <c r="P166" i="7" s="1"/>
  <c r="M167" i="7"/>
  <c r="S154" i="9"/>
  <c r="T154" i="9" s="1"/>
  <c r="N155" i="9" s="1"/>
  <c r="O155" i="9" s="1"/>
  <c r="P155" i="9" s="1"/>
  <c r="R155" i="9" s="1"/>
  <c r="S109" i="10"/>
  <c r="T109" i="10" s="1"/>
  <c r="N110" i="10" s="1"/>
  <c r="O110" i="10" s="1"/>
  <c r="P110" i="10" s="1"/>
  <c r="R110" i="10" s="1"/>
  <c r="Q111" i="10" s="1"/>
  <c r="AI62" i="10"/>
  <c r="AL61" i="10"/>
  <c r="E138" i="10" s="1"/>
  <c r="K138" i="10" s="1"/>
  <c r="Q167" i="7" l="1"/>
  <c r="D51" i="1" s="1"/>
  <c r="D54" i="1" s="1"/>
  <c r="D58" i="1" s="1"/>
  <c r="P167" i="7"/>
  <c r="S155" i="9"/>
  <c r="T155" i="9" s="1"/>
  <c r="N156" i="9" s="1"/>
  <c r="O156" i="9" s="1"/>
  <c r="P156" i="9" s="1"/>
  <c r="Q156" i="9"/>
  <c r="S110" i="10"/>
  <c r="T110" i="10" s="1"/>
  <c r="N111" i="10" s="1"/>
  <c r="O111" i="10" s="1"/>
  <c r="P111" i="10" s="1"/>
  <c r="R111" i="10" s="1"/>
  <c r="S111" i="10" s="1"/>
  <c r="T111" i="10" s="1"/>
  <c r="N112" i="10" s="1"/>
  <c r="O112" i="10" s="1"/>
  <c r="P112" i="10" s="1"/>
  <c r="AL62" i="10"/>
  <c r="E139" i="10" s="1"/>
  <c r="K139" i="10" s="1"/>
  <c r="AI63" i="10"/>
  <c r="R156" i="9" l="1"/>
  <c r="S156" i="9" s="1"/>
  <c r="T156" i="9" s="1"/>
  <c r="N157" i="9" s="1"/>
  <c r="O157" i="9" s="1"/>
  <c r="P157" i="9" s="1"/>
  <c r="Q112" i="10"/>
  <c r="R112" i="10" s="1"/>
  <c r="AL63" i="10"/>
  <c r="E140" i="10" s="1"/>
  <c r="K140" i="10" s="1"/>
  <c r="AI64" i="10"/>
  <c r="Q157" i="9" l="1"/>
  <c r="R157" i="9" s="1"/>
  <c r="Q113" i="10"/>
  <c r="S112" i="10"/>
  <c r="T112" i="10" s="1"/>
  <c r="N113" i="10" s="1"/>
  <c r="O113" i="10" s="1"/>
  <c r="P113" i="10" s="1"/>
  <c r="AL64" i="10"/>
  <c r="E141" i="10" s="1"/>
  <c r="K141" i="10" s="1"/>
  <c r="AI65" i="10"/>
  <c r="Q158" i="9" l="1"/>
  <c r="S157" i="9"/>
  <c r="T157" i="9" s="1"/>
  <c r="N158" i="9" s="1"/>
  <c r="O158" i="9" s="1"/>
  <c r="P158" i="9" s="1"/>
  <c r="R113" i="10"/>
  <c r="S113" i="10" s="1"/>
  <c r="T113" i="10" s="1"/>
  <c r="N114" i="10" s="1"/>
  <c r="O114" i="10" s="1"/>
  <c r="P114" i="10" s="1"/>
  <c r="AI66" i="10"/>
  <c r="AL65" i="10"/>
  <c r="E142" i="10" s="1"/>
  <c r="K142" i="10" s="1"/>
  <c r="Q114" i="10" l="1"/>
  <c r="R114" i="10" s="1"/>
  <c r="S114" i="10" s="1"/>
  <c r="T114" i="10" s="1"/>
  <c r="N115" i="10" s="1"/>
  <c r="O115" i="10" s="1"/>
  <c r="P115" i="10" s="1"/>
  <c r="R158" i="9"/>
  <c r="AL66" i="10"/>
  <c r="E143" i="10" s="1"/>
  <c r="K143" i="10" s="1"/>
  <c r="AI67" i="10"/>
  <c r="Q115" i="10" l="1"/>
  <c r="R115" i="10" s="1"/>
  <c r="Q159" i="9"/>
  <c r="S158" i="9"/>
  <c r="T158" i="9" s="1"/>
  <c r="N159" i="9" s="1"/>
  <c r="O159" i="9" s="1"/>
  <c r="P159" i="9" s="1"/>
  <c r="AL67" i="10"/>
  <c r="E144" i="10" s="1"/>
  <c r="K144" i="10" s="1"/>
  <c r="AI68" i="10"/>
  <c r="Q116" i="10" l="1"/>
  <c r="S115" i="10"/>
  <c r="T115" i="10" s="1"/>
  <c r="N116" i="10" s="1"/>
  <c r="O116" i="10" s="1"/>
  <c r="P116" i="10" s="1"/>
  <c r="R159" i="9"/>
  <c r="AI69" i="10"/>
  <c r="AL68" i="10"/>
  <c r="E145" i="10" s="1"/>
  <c r="K145" i="10" s="1"/>
  <c r="R116" i="10" l="1"/>
  <c r="Q117" i="10" s="1"/>
  <c r="S159" i="9"/>
  <c r="T159" i="9" s="1"/>
  <c r="N160" i="9" s="1"/>
  <c r="Q160" i="9"/>
  <c r="AL69" i="10"/>
  <c r="E146" i="10" s="1"/>
  <c r="K146" i="10" s="1"/>
  <c r="AI70" i="10"/>
  <c r="S116" i="10" l="1"/>
  <c r="T116" i="10" s="1"/>
  <c r="N117" i="10" s="1"/>
  <c r="O117" i="10" s="1"/>
  <c r="P117" i="10" s="1"/>
  <c r="R117" i="10" s="1"/>
  <c r="O160" i="9"/>
  <c r="AI71" i="10"/>
  <c r="AL70" i="10"/>
  <c r="E147" i="10" s="1"/>
  <c r="K147" i="10" s="1"/>
  <c r="S117" i="10" l="1"/>
  <c r="T117" i="10" s="1"/>
  <c r="N118" i="10" s="1"/>
  <c r="O118" i="10" s="1"/>
  <c r="P118" i="10" s="1"/>
  <c r="Q118" i="10"/>
  <c r="P160" i="9"/>
  <c r="AL71" i="10"/>
  <c r="E148" i="10" s="1"/>
  <c r="K148" i="10" s="1"/>
  <c r="AI72" i="10"/>
  <c r="R118" i="10" l="1"/>
  <c r="Q119" i="10" s="1"/>
  <c r="R160" i="9"/>
  <c r="AL72" i="10"/>
  <c r="E149" i="10" s="1"/>
  <c r="K149" i="10" s="1"/>
  <c r="AI73" i="10"/>
  <c r="S118" i="10" l="1"/>
  <c r="T118" i="10" s="1"/>
  <c r="N119" i="10" s="1"/>
  <c r="O119" i="10" s="1"/>
  <c r="P119" i="10" s="1"/>
  <c r="R119" i="10" s="1"/>
  <c r="Q161" i="9"/>
  <c r="S160" i="9"/>
  <c r="AI74" i="10"/>
  <c r="AL73" i="10"/>
  <c r="E150" i="10" s="1"/>
  <c r="K150" i="10" s="1"/>
  <c r="S119" i="10" l="1"/>
  <c r="T119" i="10" s="1"/>
  <c r="N120" i="10" s="1"/>
  <c r="O120" i="10" s="1"/>
  <c r="P120" i="10" s="1"/>
  <c r="Q120" i="10"/>
  <c r="T160" i="9"/>
  <c r="N161" i="9" s="1"/>
  <c r="AL74" i="10"/>
  <c r="E151" i="10" s="1"/>
  <c r="K151" i="10" s="1"/>
  <c r="AI75" i="10"/>
  <c r="R120" i="10" l="1"/>
  <c r="Q121" i="10" s="1"/>
  <c r="O161" i="9"/>
  <c r="AL75" i="10"/>
  <c r="E152" i="10" s="1"/>
  <c r="K152" i="10" s="1"/>
  <c r="AI76" i="10"/>
  <c r="S120" i="10" l="1"/>
  <c r="T120" i="10" s="1"/>
  <c r="N121" i="10" s="1"/>
  <c r="O121" i="10" s="1"/>
  <c r="P121" i="10" s="1"/>
  <c r="R121" i="10" s="1"/>
  <c r="Q122" i="10" s="1"/>
  <c r="P161" i="9"/>
  <c r="AI77" i="10"/>
  <c r="AL76" i="10"/>
  <c r="E153" i="10" s="1"/>
  <c r="K153" i="10" s="1"/>
  <c r="S121" i="10" l="1"/>
  <c r="T121" i="10" s="1"/>
  <c r="N122" i="10" s="1"/>
  <c r="O122" i="10" s="1"/>
  <c r="P122" i="10" s="1"/>
  <c r="R122" i="10" s="1"/>
  <c r="S122" i="10" s="1"/>
  <c r="T122" i="10" s="1"/>
  <c r="N123" i="10" s="1"/>
  <c r="O123" i="10" s="1"/>
  <c r="P123" i="10" s="1"/>
  <c r="R161" i="9"/>
  <c r="AL77" i="10"/>
  <c r="E154" i="10" s="1"/>
  <c r="K154" i="10" s="1"/>
  <c r="AI78" i="10"/>
  <c r="Q123" i="10" l="1"/>
  <c r="R123" i="10" s="1"/>
  <c r="S161" i="9"/>
  <c r="Q162" i="9"/>
  <c r="AL78" i="10"/>
  <c r="E155" i="10" s="1"/>
  <c r="K155" i="10" s="1"/>
  <c r="AI79" i="10"/>
  <c r="T161" i="9" l="1"/>
  <c r="N162" i="9" s="1"/>
  <c r="Q124" i="10"/>
  <c r="S123" i="10"/>
  <c r="T123" i="10" s="1"/>
  <c r="N124" i="10" s="1"/>
  <c r="O124" i="10" s="1"/>
  <c r="P124" i="10" s="1"/>
  <c r="AL79" i="10"/>
  <c r="E156" i="10" s="1"/>
  <c r="K156" i="10" s="1"/>
  <c r="AI80" i="10"/>
  <c r="R124" i="10" l="1"/>
  <c r="S124" i="10" s="1"/>
  <c r="T124" i="10" s="1"/>
  <c r="N125" i="10" s="1"/>
  <c r="O125" i="10" s="1"/>
  <c r="P125" i="10" s="1"/>
  <c r="O162" i="9"/>
  <c r="AI81" i="10"/>
  <c r="AL80" i="10"/>
  <c r="E157" i="10" s="1"/>
  <c r="K157" i="10" s="1"/>
  <c r="Q125" i="10" l="1"/>
  <c r="P162" i="9"/>
  <c r="AL81" i="10"/>
  <c r="E158" i="10" s="1"/>
  <c r="K158" i="10" s="1"/>
  <c r="AI82" i="10"/>
  <c r="R125" i="10"/>
  <c r="R162" i="9" l="1"/>
  <c r="Q126" i="10"/>
  <c r="S125" i="10"/>
  <c r="T125" i="10" s="1"/>
  <c r="N126" i="10" s="1"/>
  <c r="O126" i="10" s="1"/>
  <c r="P126" i="10" s="1"/>
  <c r="AL82" i="10"/>
  <c r="E159" i="10" s="1"/>
  <c r="K159" i="10" s="1"/>
  <c r="AI83" i="10"/>
  <c r="S162" i="9" l="1"/>
  <c r="Q163" i="9"/>
  <c r="R126" i="10"/>
  <c r="Q127" i="10" s="1"/>
  <c r="AL83" i="10"/>
  <c r="E160" i="10" s="1"/>
  <c r="K160" i="10" s="1"/>
  <c r="AI84" i="10"/>
  <c r="S126" i="10" l="1"/>
  <c r="T126" i="10" s="1"/>
  <c r="N127" i="10" s="1"/>
  <c r="O127" i="10" s="1"/>
  <c r="P127" i="10" s="1"/>
  <c r="R127" i="10" s="1"/>
  <c r="T162" i="9"/>
  <c r="N163" i="9" s="1"/>
  <c r="AL84" i="10"/>
  <c r="E161" i="10" s="1"/>
  <c r="K161" i="10" s="1"/>
  <c r="AI85" i="10"/>
  <c r="O163" i="9" l="1"/>
  <c r="Q128" i="10"/>
  <c r="S127" i="10"/>
  <c r="T127" i="10" s="1"/>
  <c r="N128" i="10" s="1"/>
  <c r="O128" i="10" s="1"/>
  <c r="P128" i="10" s="1"/>
  <c r="AL85" i="10"/>
  <c r="AI91" i="10"/>
  <c r="P163" i="9" l="1"/>
  <c r="R128" i="10"/>
  <c r="Q129" i="10" s="1"/>
  <c r="E162" i="10"/>
  <c r="K162" i="10" s="1"/>
  <c r="AL91" i="10"/>
  <c r="E168" i="10" s="1"/>
  <c r="S128" i="10" l="1"/>
  <c r="T128" i="10" s="1"/>
  <c r="N129" i="10" s="1"/>
  <c r="O129" i="10" s="1"/>
  <c r="P129" i="10" s="1"/>
  <c r="R129" i="10" s="1"/>
  <c r="Q130" i="10" s="1"/>
  <c r="R163" i="9"/>
  <c r="K168" i="10"/>
  <c r="Q164" i="9" l="1"/>
  <c r="S163" i="9"/>
  <c r="S129" i="10"/>
  <c r="T129" i="10" s="1"/>
  <c r="N130" i="10" s="1"/>
  <c r="O130" i="10" s="1"/>
  <c r="P130" i="10" s="1"/>
  <c r="R130" i="10" s="1"/>
  <c r="Q131" i="10" s="1"/>
  <c r="T163" i="9" l="1"/>
  <c r="N164" i="9" s="1"/>
  <c r="S130" i="10"/>
  <c r="T130" i="10" s="1"/>
  <c r="N131" i="10" s="1"/>
  <c r="O131" i="10" s="1"/>
  <c r="P131" i="10" s="1"/>
  <c r="R131" i="10" s="1"/>
  <c r="Q132" i="10" s="1"/>
  <c r="O164" i="9" l="1"/>
  <c r="S131" i="10"/>
  <c r="T131" i="10" s="1"/>
  <c r="N132" i="10" s="1"/>
  <c r="O132" i="10" s="1"/>
  <c r="P132" i="10" s="1"/>
  <c r="R132" i="10" s="1"/>
  <c r="Q133" i="10" s="1"/>
  <c r="P164" i="9" l="1"/>
  <c r="S132" i="10"/>
  <c r="T132" i="10" s="1"/>
  <c r="N133" i="10" s="1"/>
  <c r="O133" i="10" s="1"/>
  <c r="P133" i="10" s="1"/>
  <c r="R133" i="10" s="1"/>
  <c r="Q134" i="10" s="1"/>
  <c r="R164" i="9" l="1"/>
  <c r="S133" i="10"/>
  <c r="T133" i="10" s="1"/>
  <c r="N134" i="10" s="1"/>
  <c r="O134" i="10" s="1"/>
  <c r="P134" i="10" s="1"/>
  <c r="R134" i="10" s="1"/>
  <c r="S134" i="10" s="1"/>
  <c r="T134" i="10" s="1"/>
  <c r="N135" i="10" s="1"/>
  <c r="O135" i="10" s="1"/>
  <c r="P135" i="10" s="1"/>
  <c r="Q165" i="9" l="1"/>
  <c r="S164" i="9"/>
  <c r="Q135" i="10"/>
  <c r="R135" i="10" s="1"/>
  <c r="T164" i="9" l="1"/>
  <c r="N165" i="9" s="1"/>
  <c r="O165" i="9" s="1"/>
  <c r="P165" i="9" s="1"/>
  <c r="R165" i="9" s="1"/>
  <c r="Q136" i="10"/>
  <c r="S135" i="10"/>
  <c r="T135" i="10" s="1"/>
  <c r="N136" i="10" s="1"/>
  <c r="O136" i="10" s="1"/>
  <c r="P136" i="10" s="1"/>
  <c r="S165" i="9" l="1"/>
  <c r="T165" i="9" s="1"/>
  <c r="N166" i="9" s="1"/>
  <c r="O166" i="9" s="1"/>
  <c r="P166" i="9" s="1"/>
  <c r="Q166" i="9"/>
  <c r="R136" i="10"/>
  <c r="Q137" i="10" s="1"/>
  <c r="R166" i="9" l="1"/>
  <c r="Q167" i="9" s="1"/>
  <c r="S136" i="10"/>
  <c r="T136" i="10" s="1"/>
  <c r="N137" i="10" s="1"/>
  <c r="O137" i="10" s="1"/>
  <c r="P137" i="10" s="1"/>
  <c r="R137" i="10" s="1"/>
  <c r="S137" i="10" s="1"/>
  <c r="T137" i="10" s="1"/>
  <c r="N138" i="10" s="1"/>
  <c r="O138" i="10" s="1"/>
  <c r="P138" i="10" s="1"/>
  <c r="S166" i="9" l="1"/>
  <c r="T166" i="9" s="1"/>
  <c r="N167" i="9" s="1"/>
  <c r="O167" i="9" s="1"/>
  <c r="Q138" i="10"/>
  <c r="R138" i="10" s="1"/>
  <c r="N168" i="9" l="1"/>
  <c r="BD92" i="9" s="1"/>
  <c r="P167" i="9"/>
  <c r="O168" i="9"/>
  <c r="Q139" i="10"/>
  <c r="S138" i="10"/>
  <c r="T138" i="10" s="1"/>
  <c r="N139" i="10" s="1"/>
  <c r="O139" i="10" s="1"/>
  <c r="P139" i="10" s="1"/>
  <c r="R167" i="9" l="1"/>
  <c r="S167" i="9" s="1"/>
  <c r="P168" i="9"/>
  <c r="R139" i="10"/>
  <c r="Q140" i="10" s="1"/>
  <c r="T167" i="9" l="1"/>
  <c r="T168" i="9" s="1"/>
  <c r="E51" i="1" s="1"/>
  <c r="F54" i="1" s="1"/>
  <c r="S168" i="9"/>
  <c r="S139" i="10"/>
  <c r="T139" i="10" s="1"/>
  <c r="N140" i="10" s="1"/>
  <c r="O140" i="10" s="1"/>
  <c r="P140" i="10" s="1"/>
  <c r="R140" i="10" s="1"/>
  <c r="Q141" i="10" s="1"/>
  <c r="F58" i="1" l="1"/>
  <c r="F51" i="1"/>
  <c r="S140" i="10"/>
  <c r="T140" i="10" s="1"/>
  <c r="N141" i="10" s="1"/>
  <c r="O141" i="10" s="1"/>
  <c r="P141" i="10" s="1"/>
  <c r="R141" i="10" s="1"/>
  <c r="Q142" i="10" s="1"/>
  <c r="F59" i="1" l="1"/>
  <c r="F61" i="1" s="1"/>
  <c r="J58" i="1"/>
  <c r="S141" i="10"/>
  <c r="T141" i="10" s="1"/>
  <c r="N142" i="10" s="1"/>
  <c r="O142" i="10" s="1"/>
  <c r="P142" i="10" s="1"/>
  <c r="R142" i="10" s="1"/>
  <c r="Q143" i="10" s="1"/>
  <c r="S142" i="10" l="1"/>
  <c r="T142" i="10" s="1"/>
  <c r="N143" i="10" s="1"/>
  <c r="O143" i="10" s="1"/>
  <c r="P143" i="10" s="1"/>
  <c r="R143" i="10" s="1"/>
  <c r="S143" i="10" s="1"/>
  <c r="T143" i="10" s="1"/>
  <c r="N144" i="10" s="1"/>
  <c r="O144" i="10" s="1"/>
  <c r="P144" i="10" s="1"/>
  <c r="Q144" i="10" l="1"/>
  <c r="R144" i="10" s="1"/>
  <c r="Q145" i="10" l="1"/>
  <c r="S144" i="10"/>
  <c r="T144" i="10" s="1"/>
  <c r="N145" i="10" s="1"/>
  <c r="O145" i="10" s="1"/>
  <c r="P145" i="10" s="1"/>
  <c r="R145" i="10" l="1"/>
  <c r="Q146" i="10" s="1"/>
  <c r="S145" i="10" l="1"/>
  <c r="T145" i="10" s="1"/>
  <c r="N146" i="10" s="1"/>
  <c r="O146" i="10" s="1"/>
  <c r="P146" i="10" s="1"/>
  <c r="R146" i="10" s="1"/>
  <c r="S146" i="10" s="1"/>
  <c r="T146" i="10" s="1"/>
  <c r="N147" i="10" s="1"/>
  <c r="O147" i="10" s="1"/>
  <c r="P147" i="10" s="1"/>
  <c r="Q147" i="10" l="1"/>
  <c r="R147" i="10" s="1"/>
  <c r="Q148" i="10" l="1"/>
  <c r="S147" i="10"/>
  <c r="T147" i="10" s="1"/>
  <c r="N148" i="10" s="1"/>
  <c r="O148" i="10" s="1"/>
  <c r="P148" i="10" s="1"/>
  <c r="R148" i="10" l="1"/>
  <c r="Q149" i="10" s="1"/>
  <c r="S148" i="10" l="1"/>
  <c r="T148" i="10" s="1"/>
  <c r="N149" i="10" s="1"/>
  <c r="O149" i="10" s="1"/>
  <c r="P149" i="10" s="1"/>
  <c r="R149" i="10" s="1"/>
  <c r="Q150" i="10" s="1"/>
  <c r="S149" i="10" l="1"/>
  <c r="T149" i="10" s="1"/>
  <c r="N150" i="10" s="1"/>
  <c r="O150" i="10" s="1"/>
  <c r="P150" i="10" s="1"/>
  <c r="R150" i="10" s="1"/>
  <c r="Q151" i="10" s="1"/>
  <c r="S150" i="10" l="1"/>
  <c r="T150" i="10" s="1"/>
  <c r="N151" i="10" s="1"/>
  <c r="O151" i="10" s="1"/>
  <c r="P151" i="10" s="1"/>
  <c r="R151" i="10" s="1"/>
  <c r="Q152" i="10" s="1"/>
  <c r="S151" i="10" l="1"/>
  <c r="T151" i="10" s="1"/>
  <c r="N152" i="10" s="1"/>
  <c r="O152" i="10" s="1"/>
  <c r="P152" i="10" s="1"/>
  <c r="R152" i="10" s="1"/>
  <c r="Q153" i="10" s="1"/>
  <c r="S152" i="10" l="1"/>
  <c r="T152" i="10" s="1"/>
  <c r="N153" i="10" s="1"/>
  <c r="O153" i="10" s="1"/>
  <c r="P153" i="10" s="1"/>
  <c r="R153" i="10" s="1"/>
  <c r="Q154" i="10" s="1"/>
  <c r="S153" i="10" l="1"/>
  <c r="T153" i="10" s="1"/>
  <c r="N154" i="10" s="1"/>
  <c r="O154" i="10" s="1"/>
  <c r="P154" i="10" s="1"/>
  <c r="R154" i="10" s="1"/>
  <c r="Q155" i="10" s="1"/>
  <c r="S154" i="10" l="1"/>
  <c r="T154" i="10" s="1"/>
  <c r="N155" i="10" s="1"/>
  <c r="O155" i="10" s="1"/>
  <c r="P155" i="10" s="1"/>
  <c r="R155" i="10" s="1"/>
  <c r="Q156" i="10" s="1"/>
  <c r="S155" i="10" l="1"/>
  <c r="T155" i="10" s="1"/>
  <c r="N156" i="10" s="1"/>
  <c r="O156" i="10" s="1"/>
  <c r="P156" i="10" s="1"/>
  <c r="R156" i="10" s="1"/>
  <c r="Q157" i="10" s="1"/>
  <c r="S156" i="10" l="1"/>
  <c r="T156" i="10" s="1"/>
  <c r="N157" i="10" s="1"/>
  <c r="O157" i="10" s="1"/>
  <c r="P157" i="10" s="1"/>
  <c r="R157" i="10" s="1"/>
  <c r="Q158" i="10" l="1"/>
  <c r="S157" i="10"/>
  <c r="T157" i="10" s="1"/>
  <c r="N158" i="10" s="1"/>
  <c r="O158" i="10" s="1"/>
  <c r="P158" i="10" s="1"/>
  <c r="R158" i="10" l="1"/>
  <c r="S158" i="10" s="1"/>
  <c r="T158" i="10" s="1"/>
  <c r="N159" i="10" s="1"/>
  <c r="O159" i="10" s="1"/>
  <c r="P159" i="10" s="1"/>
  <c r="Q159" i="10" l="1"/>
  <c r="R159" i="10" s="1"/>
  <c r="Q160" i="10" s="1"/>
  <c r="S159" i="10" l="1"/>
  <c r="T159" i="10" s="1"/>
  <c r="N160" i="10" s="1"/>
  <c r="O160" i="10" s="1"/>
  <c r="P160" i="10" s="1"/>
  <c r="R160" i="10" s="1"/>
  <c r="Q161" i="10" s="1"/>
  <c r="S160" i="10" l="1"/>
  <c r="T160" i="10" s="1"/>
  <c r="N161" i="10" s="1"/>
  <c r="O161" i="10" s="1"/>
  <c r="P161" i="10" s="1"/>
  <c r="R161" i="10" s="1"/>
  <c r="Q162" i="10" s="1"/>
  <c r="S161" i="10" l="1"/>
  <c r="T161" i="10" s="1"/>
  <c r="N162" i="10" s="1"/>
  <c r="O162" i="10" s="1"/>
  <c r="P162" i="10" s="1"/>
  <c r="R162" i="10" s="1"/>
  <c r="Q163" i="10" s="1"/>
  <c r="S162" i="10" l="1"/>
  <c r="T162" i="10" s="1"/>
  <c r="S168" i="10" l="1"/>
  <c r="N163" i="10"/>
  <c r="T168" i="10"/>
  <c r="G51" i="1" s="1"/>
  <c r="H54" i="1" s="1"/>
  <c r="H51" i="1" l="1"/>
  <c r="O163" i="10"/>
  <c r="N168" i="10"/>
  <c r="BD92" i="10" s="1"/>
  <c r="H66" i="1" l="1"/>
  <c r="H69" i="1" s="1"/>
  <c r="H58" i="1"/>
  <c r="H59" i="1" s="1"/>
  <c r="H61" i="1" s="1"/>
  <c r="P163" i="10"/>
  <c r="O168" i="10"/>
  <c r="G66" i="1" l="1"/>
  <c r="G69" i="1" s="1"/>
  <c r="G71" i="1" s="1"/>
  <c r="R163" i="10"/>
  <c r="Q164" i="10" s="1"/>
  <c r="R164" i="10" s="1"/>
  <c r="Q165" i="10" s="1"/>
  <c r="R165" i="10" s="1"/>
  <c r="Q166" i="10" s="1"/>
  <c r="R166" i="10" s="1"/>
  <c r="Q167" i="10" s="1"/>
  <c r="P168" i="10"/>
  <c r="R167" i="10" l="1"/>
  <c r="R168" i="10" s="1"/>
  <c r="Q168" i="10"/>
</calcChain>
</file>

<file path=xl/comments1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Payment Settlement before BAST (%)</t>
        </r>
      </text>
    </comment>
    <comment ref="A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G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berlaku selama lease period
-----------
ditambah Insurance Income (Comission Amount), dan dibayar bersamaan dengan pembayaran Biaya Insurance Total Gross,dalam hal ini ketika execution date=&gt;confirmed March 23,2016
dan perlu dikonfirmasi lagi, kapan mulai kehitung</t>
        </r>
      </text>
    </comment>
    <comment ref="AP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B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tidak dipakai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Insurance Income sudah tidak masuk di Income ?</t>
        </r>
      </text>
    </comment>
  </commentList>
</comments>
</file>

<file path=xl/comments2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L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L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L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S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8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</commentList>
</comments>
</file>

<file path=xl/comments3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comments4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sharedStrings.xml><?xml version="1.0" encoding="utf-8"?>
<sst xmlns="http://schemas.openxmlformats.org/spreadsheetml/2006/main" count="1234" uniqueCount="491">
  <si>
    <t>PREVIOUS CALCULATION</t>
  </si>
  <si>
    <t>Lending Rate = 12.60%</t>
    <phoneticPr fontId="0"/>
  </si>
  <si>
    <t>Lending Rate = 12.00%</t>
  </si>
  <si>
    <t>1 unit Toyota Avanza 1.3 G M/T</t>
    <phoneticPr fontId="0"/>
  </si>
  <si>
    <t>(In Advance)</t>
  </si>
  <si>
    <t>1 unit Mitsubishi Mirage Exceed</t>
  </si>
  <si>
    <t>Harga</t>
  </si>
  <si>
    <t>Tenor</t>
  </si>
  <si>
    <t>IR</t>
  </si>
  <si>
    <t>Eff</t>
  </si>
  <si>
    <t>Flat</t>
  </si>
  <si>
    <t>DP (10%)</t>
  </si>
  <si>
    <t>NI</t>
  </si>
  <si>
    <t xml:space="preserve">1. </t>
  </si>
  <si>
    <t>2.</t>
  </si>
  <si>
    <t>Lending Rate</t>
  </si>
  <si>
    <t xml:space="preserve">Installment </t>
  </si>
  <si>
    <t>3.</t>
  </si>
  <si>
    <t>Insurance Special Rate</t>
  </si>
  <si>
    <t xml:space="preserve">Insurance </t>
  </si>
  <si>
    <t>4.</t>
  </si>
  <si>
    <t>Insurance Payment</t>
  </si>
  <si>
    <t>(AR Comprehensive)</t>
  </si>
  <si>
    <t>Income :</t>
  </si>
  <si>
    <t>- Interest</t>
  </si>
  <si>
    <t>- Admin. Fee</t>
  </si>
  <si>
    <t>- Commission</t>
  </si>
  <si>
    <t>subtotal</t>
  </si>
  <si>
    <t>- SPAF**</t>
  </si>
  <si>
    <t>Expenses :</t>
  </si>
  <si>
    <t>- Insurance refund</t>
  </si>
  <si>
    <t>- CoF Expense (Eff=10.40%)</t>
  </si>
  <si>
    <t>- Fiducia Fee</t>
  </si>
  <si>
    <t>Net Income DSF</t>
  </si>
  <si>
    <t xml:space="preserve">** Off The Road's pricing is </t>
  </si>
  <si>
    <t>NEW CALCULATION</t>
  </si>
  <si>
    <t>Lending Rate = 12.10%</t>
  </si>
  <si>
    <t>Lending Rate = 11.50%</t>
  </si>
  <si>
    <t>1 unit Toyota Avanza 1.3 E M/T</t>
  </si>
  <si>
    <t>1 unit Mitsubishi Mirage GLX</t>
  </si>
  <si>
    <t>1 unit Datsun Go+ Panca T Style</t>
  </si>
  <si>
    <t>1 unit Datsun Go+ Panca T Option</t>
  </si>
  <si>
    <t xml:space="preserve">Harga </t>
  </si>
  <si>
    <t>Disc KTB</t>
  </si>
  <si>
    <t>Harga Net</t>
  </si>
  <si>
    <t>DP</t>
  </si>
  <si>
    <t>Insurance NI Include</t>
  </si>
  <si>
    <t>(AR Comprehensive + TPL &amp; SRCC)</t>
  </si>
  <si>
    <t>- CoF Expense (Eff=9.85%)</t>
  </si>
  <si>
    <t>- Subsidy</t>
  </si>
  <si>
    <t>* Insurance is paid cash in Advance for Year 1</t>
  </si>
  <si>
    <t>Vehicle : Avanza G -&gt; E &amp; adding Mirage GLX and Datsun GO+ Panca</t>
  </si>
  <si>
    <t>Difference :</t>
  </si>
  <si>
    <t>5.</t>
  </si>
  <si>
    <t>Off The Road price for mirage</t>
  </si>
  <si>
    <t>Real Isurance To Customer :</t>
  </si>
  <si>
    <t>- Discount TDP (Dealer Refund)</t>
  </si>
  <si>
    <t>Lending Rate = 11,5%</t>
  </si>
  <si>
    <t>TOTAL</t>
  </si>
  <si>
    <t>PERHITUNGAN SEWA OPERATING LEASE BASED ON CASH FLOW METHOD</t>
  </si>
  <si>
    <t>= INPUT DATA</t>
  </si>
  <si>
    <t>LEASED ITEM</t>
  </si>
  <si>
    <t>TERM &amp; CONDITION CONTRACT</t>
  </si>
  <si>
    <t xml:space="preserve">Leased Item Type &amp; Year     </t>
  </si>
  <si>
    <t>Pajero</t>
  </si>
  <si>
    <t>KONDISI KONTRAK SEWA OPL</t>
  </si>
  <si>
    <t>KONDISI HARGA UNIT</t>
  </si>
  <si>
    <t>KONDISI HARGA KAROSERI / AKSESORIS / BIAYA MOBILISASI</t>
  </si>
  <si>
    <t>KONDISI MAINTENANCE</t>
  </si>
  <si>
    <t>KONDISI BIAYA - BIAYA LAINNYA</t>
  </si>
  <si>
    <t>KONDISI PEMBAYARAN PEMBELIAN UNIT / KAROSERI / AKSESORIS</t>
  </si>
  <si>
    <t>Registration No.</t>
  </si>
  <si>
    <t>Nilai Sewa</t>
  </si>
  <si>
    <t>Harga Unit Include VAT IN</t>
  </si>
  <si>
    <t>Harga Karoseri Include VAT IN</t>
    <phoneticPr fontId="5"/>
  </si>
  <si>
    <t>Detail</t>
  </si>
  <si>
    <t>Per Bulan</t>
  </si>
  <si>
    <t>Total</t>
  </si>
  <si>
    <t>ESTIMASI UANG MUKA (DP)</t>
  </si>
  <si>
    <t>%</t>
  </si>
  <si>
    <t>Amount</t>
  </si>
  <si>
    <t>ESTIMASI PELUNASAN SEBELUM DELIVERY UNIT</t>
  </si>
  <si>
    <t>Exec. Date</t>
  </si>
  <si>
    <t>Periode Sewa</t>
  </si>
  <si>
    <t>Discount Dealer dan KTB melalui Dealer</t>
  </si>
  <si>
    <t>Harga Aksesoris Include VAT IN</t>
  </si>
  <si>
    <t>Estimasi Pemakaian Unit/Bulan (KM)</t>
  </si>
  <si>
    <t>Mediator Fee</t>
    <phoneticPr fontId="5"/>
  </si>
  <si>
    <t>DP Pembelian UNIT</t>
  </si>
  <si>
    <t>pelunasan UNIT include VAT</t>
    <phoneticPr fontId="5"/>
  </si>
  <si>
    <t>Purchase Date</t>
  </si>
  <si>
    <t>Dd/Mm/Yy</t>
  </si>
  <si>
    <t>Type Pemakaian (City or Site)</t>
  </si>
  <si>
    <t>City</t>
  </si>
  <si>
    <t>Harga Beli</t>
  </si>
  <si>
    <t>Biaya Mobilisasi Include VAT IN</t>
  </si>
  <si>
    <t>Biaya CSD Maintenance handle by third party</t>
  </si>
  <si>
    <t>Total Gross Insurance</t>
    <phoneticPr fontId="5"/>
  </si>
  <si>
    <t>DP Pembelian KAROSERI</t>
  </si>
  <si>
    <t>pelunasan KAROSERI include VAT</t>
  </si>
  <si>
    <t>Lokasi Pemakaian</t>
  </si>
  <si>
    <t>Jabotabek</t>
  </si>
  <si>
    <t>VAT IN Unit</t>
  </si>
  <si>
    <t>Biaya Full Maintenance handle by third party</t>
  </si>
  <si>
    <t>Registration Fee</t>
  </si>
  <si>
    <t>DP Pembelian AKSESORIS</t>
  </si>
  <si>
    <t>pelunasan AKSESORIS include VAT</t>
  </si>
  <si>
    <t>TARGET IRR Current(Tanpa Kompensasi VAT IN)</t>
  </si>
  <si>
    <t>Term of Payment (Days)</t>
  </si>
  <si>
    <t>Rasio Kompensasi VAT IN Unit</t>
  </si>
  <si>
    <t>Total Harga Karoseri dll</t>
  </si>
  <si>
    <t>Biaya CSD Maintenance handle by DSF</t>
  </si>
  <si>
    <t xml:space="preserve">Ratio Replacement Car </t>
  </si>
  <si>
    <t>SELISIH BULAN dari PMT DP UNIT ke DELIVERY UNIT (maks. 3 bulan)</t>
  </si>
  <si>
    <t>SELISIH BULAN dari PELUNASAN UNIT ke DELIVERY UNIT (maks. 1 bulan)</t>
  </si>
  <si>
    <t>IRR Current(Tanpa Kompensasi VAT IN)</t>
  </si>
  <si>
    <t>Discount KTB Langsung ke DSF</t>
  </si>
  <si>
    <t>VAT IN Karoseri</t>
  </si>
  <si>
    <t>Biaya Full Maintenance handle by DSF</t>
  </si>
  <si>
    <t>Insurance Commision Amount</t>
    <phoneticPr fontId="5"/>
  </si>
  <si>
    <t>SELISIH BULAN dari PMT DP KAROSERI ke DELIVERY UNIT (maks. 3 bulan)</t>
  </si>
  <si>
    <t>SELISIH BULAN dari PELUNASAN KAROSERI ke DELIVERY UNIT (maks. 1 bulan)</t>
  </si>
  <si>
    <t>IRR Current(Dengan Kompensasi VAT IN)</t>
  </si>
  <si>
    <t>Step 1</t>
  </si>
  <si>
    <t>VAT OUT Discount KTB</t>
  </si>
  <si>
    <t>VAT IN Aksesoris</t>
  </si>
  <si>
    <t>SELISIH BULAN dari PMT DP AKSESORIS ke DELIVERY UNIT (maks. 3 bulan)</t>
  </si>
  <si>
    <t>SELISIH BULAN dari PELUNASAN AKSESORIS ke DELIVERY UNIT (maks. 1 bulan)</t>
  </si>
  <si>
    <t>DSF Landing Rate</t>
  </si>
  <si>
    <t>W/H Tax Discount KTB</t>
  </si>
  <si>
    <t>VAT IN Mobilisasi</t>
  </si>
  <si>
    <t>Ratio Kompensasi VAT IN CSD/Full Maintenance handle by third party</t>
  </si>
  <si>
    <t>DSF Borrowing Rate</t>
  </si>
  <si>
    <t>Residual Value (Estimasil Sold Price)</t>
  </si>
  <si>
    <t>Rasio Kompensasi VAT IN Karoseri Dll</t>
  </si>
  <si>
    <t>DSF Spread Income</t>
  </si>
  <si>
    <t>VAT OUT Sold Unit</t>
  </si>
  <si>
    <t>PMT No</t>
  </si>
  <si>
    <t>Month</t>
  </si>
  <si>
    <t>Year</t>
  </si>
  <si>
    <t>CASH OUT FLOW</t>
  </si>
  <si>
    <t>TOTAL CASH OUT FLOW</t>
  </si>
  <si>
    <t>CASH IN FLOW</t>
  </si>
  <si>
    <t>TOTAL CASH IN FLOW TIDAK TERMASUK VAT OUT</t>
  </si>
  <si>
    <t>TOTAL CASH IN + OUT FLOW INVESTMENT TIDAK TERMASUK VAT OUT</t>
  </si>
  <si>
    <t>PRESENT VALUE INVESTMENT TIDAK TERMASUK VAT OUT</t>
  </si>
  <si>
    <t>MONTHLY INSTALLMENT</t>
  </si>
  <si>
    <t>KOMPENSASI VAT IN</t>
  </si>
  <si>
    <t>CLAIM W.H TAX</t>
  </si>
  <si>
    <t>TOTAL CASH FLOW TANPA KOMPENSASI VAT IN</t>
  </si>
  <si>
    <t>TOTAL CASH FLOW DENGAN KOMPENSASI VAT IN</t>
  </si>
  <si>
    <t>PERIOD</t>
  </si>
  <si>
    <t>INTEREST COST CALLCULATION DENGAN MEMPERHITUNGKAN KOMPENSASI VAT</t>
  </si>
  <si>
    <t>PURCHASE UNIT</t>
  </si>
  <si>
    <t>PURCHASE KAROSERI</t>
  </si>
  <si>
    <t>PURCHASE AKSESORIS</t>
  </si>
  <si>
    <t>BIAYA MOBILIASASI</t>
  </si>
  <si>
    <t>BIAYA STNK &amp; KEUR</t>
  </si>
  <si>
    <t>BIAYA ASURANSI</t>
  </si>
  <si>
    <t>BIAYA MEDIATOR</t>
  </si>
  <si>
    <t>BIAYA MAINTENANCE</t>
  </si>
  <si>
    <t>BUNGA PINJAMAN ATAS PEMBERIAN TOP</t>
  </si>
  <si>
    <t>BUNGA PINJAMAN ATAS PMT UNIT/KAROSERI/AKSESORIS SEBELUM DELIVERY UNIT</t>
  </si>
  <si>
    <t>REPLACEMENT CAR</t>
  </si>
  <si>
    <t>RESIDUAL VALUE (SOLD UNIT PRICE)</t>
  </si>
  <si>
    <t>DISCOUNT KTB LANGSUNG KE DSF</t>
  </si>
  <si>
    <t>RENTAL AMOUNT</t>
  </si>
  <si>
    <t>CSD HANDLE BY DSF</t>
  </si>
  <si>
    <t>TOTAL RENTAL AMOUNT</t>
  </si>
  <si>
    <t>VAT OUT</t>
  </si>
  <si>
    <t>W.H TAX</t>
  </si>
  <si>
    <t xml:space="preserve">TOTAL VAT OUT BULAN BERJALAN        </t>
  </si>
  <si>
    <t>TOTAL VAT IN BULAN BERJALAN</t>
  </si>
  <si>
    <t>CASH IN (OUT) KARENA KOMPENSASI VAT</t>
  </si>
  <si>
    <t>SALDO</t>
  </si>
  <si>
    <t>MONTH</t>
  </si>
  <si>
    <t>CASH IN</t>
  </si>
  <si>
    <t>CASH OUT</t>
  </si>
  <si>
    <t>TOTAL CASH IN - CASH OUT</t>
  </si>
  <si>
    <t>LOAN TO BANK</t>
  </si>
  <si>
    <t>INTEREST LOAN</t>
  </si>
  <si>
    <t>HARGA BELI</t>
  </si>
  <si>
    <t>VAT IN</t>
  </si>
  <si>
    <t>BIAYA</t>
  </si>
  <si>
    <t>SOLD PRICE</t>
  </si>
  <si>
    <t>DISCOUNT KTB</t>
  </si>
  <si>
    <t>Insurance Income</t>
  </si>
  <si>
    <t>SOLD UNIT</t>
  </si>
  <si>
    <t>KLAIM W/H TAX</t>
  </si>
  <si>
    <t>INVESTMENT INCLUDE VAT IN</t>
  </si>
  <si>
    <t>PAYMENT VAT OUT</t>
  </si>
  <si>
    <t>PAYMENT INTEREST LOAN</t>
  </si>
  <si>
    <t>MUTASI BULAN INI</t>
  </si>
  <si>
    <t>ENDING BALANCE BULAN KEMARIN</t>
  </si>
  <si>
    <t>ENDING BALANCE BULAN INI</t>
  </si>
  <si>
    <t>RENTAL AMOUNT INCLUDE WH TAX</t>
  </si>
  <si>
    <t>PRICE</t>
  </si>
  <si>
    <t>SUMMARY PROFIT (LOSS) TANPA KOMPENSASI VAT IN</t>
  </si>
  <si>
    <t>SUMMARY PROFIT (LOSS) DENGAN KOMPENSASI VAT IN</t>
  </si>
  <si>
    <t>NO</t>
  </si>
  <si>
    <t>KETERANGAN</t>
  </si>
  <si>
    <t>NOMINAL</t>
  </si>
  <si>
    <t>I</t>
  </si>
  <si>
    <t>OPERATING LEASE INCOME:</t>
  </si>
  <si>
    <t>1. JUMLAH NILAI SEWA UNIT OPERATING LEASE SELAMA PERIODE TRANSAKSI</t>
  </si>
  <si>
    <t>1. JUMLAH NILAI SEWA UNIT OPERATING LEASE SELAMA PERIODE TRANSAKSI</t>
    <phoneticPr fontId="5"/>
  </si>
  <si>
    <t>2. NILAI RESIDUAL VALUE UNIT OPERATING LEASE</t>
  </si>
  <si>
    <t>3. DISCOUNT KTB YANG DIBAYARKAN LANGSUNG KE DSF</t>
  </si>
  <si>
    <t>4. Insurance Income</t>
  </si>
  <si>
    <t>TOTAL OPERATING LEASE INCOME [1+2+3]</t>
  </si>
  <si>
    <t>II</t>
  </si>
  <si>
    <t>OPERATING LEASE COST:</t>
  </si>
  <si>
    <t>1. BIAYA PEMBELIAN UNIT, KAROSERI, dan AKSESORIS</t>
  </si>
  <si>
    <t>2. BIAYA MOBILISASI dan Demobilisasi</t>
  </si>
  <si>
    <t>3. BIAYA STNK &amp; KEUR</t>
  </si>
  <si>
    <t>4. BIAYA ASURANSI</t>
  </si>
  <si>
    <t>4. BIAYA ASURANSI</t>
    <phoneticPr fontId="5"/>
  </si>
  <si>
    <t>5. BIAYA MEDIATOR</t>
  </si>
  <si>
    <t>6. BIAYA MAINTENANCE</t>
  </si>
  <si>
    <t>7. BIAYA REPLACEMENT CAR</t>
  </si>
  <si>
    <t>8. TOTAL VAT IN YANG TIDAK BISA DIKOMPENSASI DENGAN VAT OUT</t>
  </si>
  <si>
    <t>9. Interest Cost for Term of Payment</t>
  </si>
  <si>
    <t>10. 
Insterest cost before BAST</t>
  </si>
  <si>
    <t>11. Interest Cost</t>
  </si>
  <si>
    <t>TOTAL OPERATING LEASE COST [1+2...+9]</t>
  </si>
  <si>
    <t>III</t>
  </si>
  <si>
    <t>OPERATING LEASE GROSS INCOME [I-II]</t>
  </si>
  <si>
    <t xml:space="preserve">RV </t>
  </si>
  <si>
    <t>KONVERSI FLAT KE EFFEKTIF</t>
  </si>
  <si>
    <t>TENOR</t>
  </si>
  <si>
    <t>FLAT</t>
  </si>
  <si>
    <t>Angsuran (M/B)</t>
  </si>
  <si>
    <t>EFF</t>
  </si>
  <si>
    <t>M</t>
  </si>
  <si>
    <t>KONVERSI EFFEKTIF KE FLAT</t>
  </si>
  <si>
    <t>Mediator Fee</t>
    <phoneticPr fontId="5"/>
  </si>
  <si>
    <t>Insurance Commision Amount</t>
    <phoneticPr fontId="5"/>
  </si>
  <si>
    <t>PMT / PV</t>
  </si>
  <si>
    <t>PV</t>
  </si>
  <si>
    <t>PRESENT VALUE</t>
  </si>
  <si>
    <t>RATE</t>
  </si>
  <si>
    <t>INTEREST</t>
  </si>
  <si>
    <t>PMT</t>
  </si>
  <si>
    <t>ANGSURAN</t>
  </si>
  <si>
    <t>NPER</t>
  </si>
  <si>
    <t>PERIODE</t>
  </si>
  <si>
    <t>FV</t>
  </si>
  <si>
    <t>FUTURE VALUE</t>
  </si>
  <si>
    <t>TYPE</t>
  </si>
  <si>
    <t>0-ADDB           1-ADDM</t>
  </si>
  <si>
    <t>DATE</t>
  </si>
  <si>
    <t>TANGGAL</t>
  </si>
  <si>
    <t>X</t>
  </si>
  <si>
    <t>POKOK HUTANG</t>
  </si>
  <si>
    <t>POKOK HUTANG (%)</t>
  </si>
  <si>
    <t>ANGSURAN POKOK</t>
  </si>
  <si>
    <t>ANGSURAN BUNGA</t>
  </si>
  <si>
    <t>TOTAL ANGSURAN</t>
  </si>
  <si>
    <t/>
  </si>
  <si>
    <t xml:space="preserve">Installment Basic </t>
  </si>
  <si>
    <t>Borrowing Rate</t>
  </si>
  <si>
    <t>Mantenance</t>
  </si>
  <si>
    <t>Registration</t>
  </si>
  <si>
    <t>Insurance</t>
  </si>
  <si>
    <t>Borrowing Cost</t>
  </si>
  <si>
    <t>Per year</t>
  </si>
  <si>
    <t>PURCHASE UNIT</t>
    <phoneticPr fontId="69"/>
  </si>
  <si>
    <t>PURCHASE KAROSERI</t>
    <phoneticPr fontId="69"/>
  </si>
  <si>
    <t>PURCHASE AKSESORIS</t>
    <phoneticPr fontId="69"/>
  </si>
  <si>
    <t>BIAYA MOBILIASASI</t>
    <phoneticPr fontId="69"/>
  </si>
  <si>
    <t>BIAYA MAINTENANCE</t>
    <phoneticPr fontId="69"/>
  </si>
  <si>
    <t>RESIDUAL VALUE (SOLD UNIT PRICE)</t>
    <phoneticPr fontId="69"/>
  </si>
  <si>
    <t>DISCOUNT KTB LANGSUNG KE DSF</t>
    <phoneticPr fontId="69"/>
  </si>
  <si>
    <t>VAT OUT</t>
    <phoneticPr fontId="69"/>
  </si>
  <si>
    <t>SOLD UNIT</t>
    <phoneticPr fontId="69"/>
  </si>
  <si>
    <t>RENTAL AMOUNT</t>
    <phoneticPr fontId="69"/>
  </si>
  <si>
    <t>HARGA BELI</t>
    <phoneticPr fontId="69"/>
  </si>
  <si>
    <t>BIAYA MOBILIASASI</t>
    <phoneticPr fontId="69"/>
  </si>
  <si>
    <t>Insurance Commision Amount</t>
    <phoneticPr fontId="5"/>
  </si>
  <si>
    <t>PURCHASE UNIT</t>
    <phoneticPr fontId="69"/>
  </si>
  <si>
    <t>PURCHASE AKSESORIS</t>
    <phoneticPr fontId="69"/>
  </si>
  <si>
    <t>BIAYA MOBILIASASI</t>
    <phoneticPr fontId="69"/>
  </si>
  <si>
    <t>HARGA BELI</t>
    <phoneticPr fontId="69"/>
  </si>
  <si>
    <t>HARGA BELI</t>
    <phoneticPr fontId="69"/>
  </si>
  <si>
    <t>RENTAL AMOUNT</t>
    <phoneticPr fontId="69"/>
  </si>
  <si>
    <t>RENTAL AMOUNT
VAT</t>
    <phoneticPr fontId="69"/>
  </si>
  <si>
    <t>VAT
TOTAL CASH OUT FLOW</t>
    <phoneticPr fontId="69"/>
  </si>
  <si>
    <t>VAT
TOTAL CASHIN  FLOW</t>
    <phoneticPr fontId="69"/>
  </si>
  <si>
    <t>Insurance Income</t>
    <phoneticPr fontId="69"/>
  </si>
  <si>
    <t>VAT
IN Out</t>
    <phoneticPr fontId="69"/>
  </si>
  <si>
    <t>Balance</t>
  </si>
  <si>
    <t>For reference</t>
    <phoneticPr fontId="69"/>
  </si>
  <si>
    <t>For reference</t>
    <phoneticPr fontId="69"/>
  </si>
  <si>
    <t>PRESENT VALUE</t>
    <phoneticPr fontId="69"/>
  </si>
  <si>
    <t>VAT
AMOUNT</t>
    <phoneticPr fontId="69"/>
  </si>
  <si>
    <t>Cash Flow Basis (vat)</t>
    <phoneticPr fontId="69"/>
  </si>
  <si>
    <t>TAX
TOTAL CASH OUT FLOW</t>
    <phoneticPr fontId="69"/>
  </si>
  <si>
    <t>TAX
TOTAL CASHIN  FLOW</t>
    <phoneticPr fontId="69"/>
  </si>
  <si>
    <t>TAX
IN Out</t>
    <phoneticPr fontId="69"/>
  </si>
  <si>
    <t>Spread</t>
    <phoneticPr fontId="69"/>
  </si>
  <si>
    <t xml:space="preserve"> ⇒Total</t>
    <phoneticPr fontId="69"/>
  </si>
  <si>
    <t>　⇒Total</t>
    <phoneticPr fontId="69"/>
  </si>
  <si>
    <t>Subtotal</t>
    <phoneticPr fontId="69"/>
  </si>
  <si>
    <t>Average asset</t>
  </si>
  <si>
    <t>ROA</t>
  </si>
  <si>
    <t>Harga (termasuk VAT)</t>
    <phoneticPr fontId="69"/>
  </si>
  <si>
    <t>VAT
AMOUNT</t>
    <phoneticPr fontId="69"/>
  </si>
  <si>
    <t>①</t>
    <phoneticPr fontId="69"/>
  </si>
  <si>
    <t>②</t>
    <phoneticPr fontId="69"/>
  </si>
  <si>
    <t>③(①+②)</t>
    <phoneticPr fontId="69"/>
  </si>
  <si>
    <t>④</t>
    <phoneticPr fontId="69"/>
  </si>
  <si>
    <t>⑤（③+④）</t>
    <phoneticPr fontId="69"/>
  </si>
  <si>
    <t>RV (%)</t>
    <phoneticPr fontId="69"/>
  </si>
  <si>
    <t>Include VAT</t>
    <phoneticPr fontId="69"/>
  </si>
  <si>
    <t>Kontrak</t>
    <phoneticPr fontId="69"/>
  </si>
  <si>
    <t>Profit</t>
    <phoneticPr fontId="69"/>
  </si>
  <si>
    <t xml:space="preserve">Expenses </t>
    <phoneticPr fontId="69"/>
  </si>
  <si>
    <t xml:space="preserve">Income </t>
    <phoneticPr fontId="69"/>
  </si>
  <si>
    <t xml:space="preserve">Installment Total </t>
    <phoneticPr fontId="69"/>
  </si>
  <si>
    <t>Admin. Fee</t>
    <phoneticPr fontId="69"/>
  </si>
  <si>
    <t>Commission</t>
    <phoneticPr fontId="69"/>
  </si>
  <si>
    <t>Insurance Expenses</t>
    <phoneticPr fontId="69"/>
  </si>
  <si>
    <t xml:space="preserve">Unit Price </t>
    <phoneticPr fontId="69"/>
  </si>
  <si>
    <t>TOP</t>
    <phoneticPr fontId="69"/>
  </si>
  <si>
    <t>Registration</t>
    <phoneticPr fontId="69"/>
  </si>
  <si>
    <t>Maintenance</t>
    <phoneticPr fontId="69"/>
  </si>
  <si>
    <t>Borrowing Cost</t>
    <phoneticPr fontId="69"/>
  </si>
  <si>
    <t>Replacement</t>
    <phoneticPr fontId="69"/>
  </si>
  <si>
    <t>Project Title</t>
    <phoneticPr fontId="69"/>
  </si>
  <si>
    <t>Tidak include VAT</t>
    <phoneticPr fontId="69"/>
  </si>
  <si>
    <t>Burang (Tidak include VAT＆TAX)</t>
    <phoneticPr fontId="69"/>
  </si>
  <si>
    <r>
      <rPr>
        <b/>
        <sz val="9"/>
        <color rgb="FFC00000"/>
        <rFont val="Meiryo UI"/>
        <family val="3"/>
        <charset val="128"/>
      </rPr>
      <t>VAT</t>
    </r>
    <r>
      <rPr>
        <b/>
        <sz val="9"/>
        <color theme="0"/>
        <rFont val="Meiryo UI"/>
        <family val="3"/>
        <charset val="128"/>
      </rPr>
      <t xml:space="preserve"> Amount / Borrowing Cost</t>
    </r>
    <phoneticPr fontId="69"/>
  </si>
  <si>
    <r>
      <rPr>
        <b/>
        <sz val="9"/>
        <color rgb="FFC00000"/>
        <rFont val="Meiryo UI"/>
        <family val="3"/>
        <charset val="128"/>
      </rPr>
      <t>With Tax</t>
    </r>
    <r>
      <rPr>
        <b/>
        <sz val="9"/>
        <color theme="0"/>
        <rFont val="Meiryo UI"/>
        <family val="3"/>
        <charset val="128"/>
      </rPr>
      <t xml:space="preserve">  - Amount / Borrowing Cost</t>
    </r>
    <phoneticPr fontId="69"/>
  </si>
  <si>
    <t>Tidak termasuk VAT TAX</t>
    <phoneticPr fontId="69"/>
  </si>
  <si>
    <t>Termasuk VAT</t>
    <phoneticPr fontId="69"/>
  </si>
  <si>
    <t>Termasuk TAX</t>
    <phoneticPr fontId="69"/>
  </si>
  <si>
    <t>Harga (tidak termasuk VAT)</t>
    <phoneticPr fontId="69"/>
  </si>
  <si>
    <t>Vehicle list price</t>
    <phoneticPr fontId="69"/>
  </si>
  <si>
    <t>BIAYA ASURANSI</t>
    <phoneticPr fontId="69"/>
  </si>
  <si>
    <t>REPLACEMENT CAR</t>
    <phoneticPr fontId="69"/>
  </si>
  <si>
    <t>TOTAL CASH OUT FLOW</t>
    <phoneticPr fontId="69"/>
  </si>
  <si>
    <t>TOTAL CASH IN FLOW</t>
    <phoneticPr fontId="69"/>
  </si>
  <si>
    <t>IN Out</t>
    <phoneticPr fontId="69"/>
  </si>
  <si>
    <t>HARGA BELI</t>
    <phoneticPr fontId="69"/>
  </si>
  <si>
    <t>TOTAL CASH OUT FLOW
tidak termasuk HARGA BELI</t>
    <phoneticPr fontId="69"/>
  </si>
  <si>
    <t>TOTAL CASH IN + OUT FLOW
tidak termasuk HARGA BELI</t>
    <phoneticPr fontId="69"/>
  </si>
  <si>
    <t>TOTAL CASH IN + OUT FLOW
termasuk 
HARGA BELI</t>
    <phoneticPr fontId="69"/>
  </si>
  <si>
    <t>PRESENT VALUE 1</t>
    <phoneticPr fontId="69"/>
  </si>
  <si>
    <t>PRESENT VALUE 2</t>
    <phoneticPr fontId="69"/>
  </si>
  <si>
    <t>PRESENT VALUE 1+2</t>
    <phoneticPr fontId="69"/>
  </si>
  <si>
    <t>Total Gross Insurance</t>
    <phoneticPr fontId="5"/>
  </si>
  <si>
    <t>PRICE
Insurance</t>
    <phoneticPr fontId="69"/>
  </si>
  <si>
    <t>Tenor</t>
    <phoneticPr fontId="69"/>
  </si>
  <si>
    <t>Commission</t>
  </si>
  <si>
    <t>TOP(Day)</t>
    <phoneticPr fontId="69"/>
  </si>
  <si>
    <t>Replacement</t>
  </si>
  <si>
    <t>Accessory</t>
    <phoneticPr fontId="69"/>
  </si>
  <si>
    <t>RV(termasuk VAT)</t>
  </si>
  <si>
    <t>RV(termasuk VAT)</t>
    <phoneticPr fontId="69"/>
  </si>
  <si>
    <t>RV (Tidak termasuk VAT)</t>
    <phoneticPr fontId="69"/>
  </si>
  <si>
    <t>Vehicle list price(Unit/Termasuk VAT)</t>
    <phoneticPr fontId="69"/>
  </si>
  <si>
    <t>Vehicle list price(BOX/Termasuk VAT)</t>
    <phoneticPr fontId="69"/>
  </si>
  <si>
    <t>Kontrak</t>
    <phoneticPr fontId="69"/>
  </si>
  <si>
    <t>Mobil</t>
    <phoneticPr fontId="69"/>
  </si>
  <si>
    <t>Insurance Expenses</t>
    <phoneticPr fontId="69"/>
  </si>
  <si>
    <t>Maintenance(Total)</t>
    <phoneticPr fontId="69"/>
  </si>
  <si>
    <t>Project Title</t>
  </si>
  <si>
    <t>Month</t>
    <phoneticPr fontId="69"/>
  </si>
  <si>
    <t>Registration</t>
    <phoneticPr fontId="69"/>
  </si>
  <si>
    <t>Harga (termasuk VAT)</t>
    <phoneticPr fontId="69"/>
  </si>
  <si>
    <t>Calculation</t>
    <phoneticPr fontId="69"/>
  </si>
  <si>
    <t xml:space="preserve">Installment </t>
    <phoneticPr fontId="69"/>
  </si>
  <si>
    <t>Cash Flow Basis</t>
    <phoneticPr fontId="69"/>
  </si>
  <si>
    <t>Cash Flow Basis (Tax)</t>
    <phoneticPr fontId="69"/>
  </si>
  <si>
    <t>Maintenance(tidak termasuk VAT)</t>
    <phoneticPr fontId="69"/>
  </si>
  <si>
    <t>Mobilisasi</t>
  </si>
  <si>
    <t xml:space="preserve">Biaya Mobilisasi </t>
    <phoneticPr fontId="69"/>
  </si>
  <si>
    <t>⇒DIS</t>
    <phoneticPr fontId="69"/>
  </si>
  <si>
    <t>⇒VAT</t>
    <phoneticPr fontId="69"/>
  </si>
  <si>
    <t>VAT（TOTAL)</t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</si>
  <si>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UNIT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</si>
  <si>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KAROSERI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</si>
  <si>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AKSESORIS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</si>
  <si>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t>BUNGA PINJAMAN ATAS PMT UNIT/KAROSERI/AKSESORIS SEBELUM DELIVERY UNIT</t>
    <phoneticPr fontId="69"/>
  </si>
  <si>
    <t>DP budget</t>
    <phoneticPr fontId="69"/>
  </si>
  <si>
    <t>Special RV</t>
    <phoneticPr fontId="99"/>
  </si>
  <si>
    <t>（1）　Auction price case</t>
    <phoneticPr fontId="99"/>
  </si>
  <si>
    <t>Car type</t>
    <phoneticPr fontId="99"/>
  </si>
  <si>
    <t>Mission</t>
    <phoneticPr fontId="99"/>
  </si>
  <si>
    <t>1year later</t>
    <phoneticPr fontId="99"/>
  </si>
  <si>
    <t>2year later</t>
  </si>
  <si>
    <t>Rate</t>
    <phoneticPr fontId="99"/>
  </si>
  <si>
    <t>3year later</t>
  </si>
  <si>
    <t>4year later</t>
  </si>
  <si>
    <t>5year later</t>
  </si>
  <si>
    <t>6year later</t>
  </si>
  <si>
    <t>7year later</t>
  </si>
  <si>
    <t>Xpander</t>
    <phoneticPr fontId="99"/>
  </si>
  <si>
    <t>MT</t>
    <phoneticPr fontId="99"/>
  </si>
  <si>
    <t>AT</t>
    <phoneticPr fontId="99"/>
  </si>
  <si>
    <t>Avanza</t>
  </si>
  <si>
    <t>Xenia</t>
  </si>
  <si>
    <t>MT</t>
  </si>
  <si>
    <t>AT</t>
  </si>
  <si>
    <t>Innova
besin</t>
    <phoneticPr fontId="99"/>
  </si>
  <si>
    <t>Gran max</t>
  </si>
  <si>
    <t>（2）　Price information</t>
    <phoneticPr fontId="99"/>
  </si>
  <si>
    <t>Car type</t>
    <phoneticPr fontId="99"/>
  </si>
  <si>
    <t>①Price list</t>
    <phoneticPr fontId="99"/>
  </si>
  <si>
    <t>Diskon</t>
    <phoneticPr fontId="99"/>
  </si>
  <si>
    <t>②After Dis</t>
    <phoneticPr fontId="99"/>
  </si>
  <si>
    <t>②/①Base rate</t>
    <phoneticPr fontId="99"/>
  </si>
  <si>
    <t>Xpander</t>
  </si>
  <si>
    <t>⇒</t>
    <phoneticPr fontId="99"/>
  </si>
  <si>
    <t>Now discount 5J</t>
    <phoneticPr fontId="99"/>
  </si>
  <si>
    <t>⇒</t>
    <phoneticPr fontId="99"/>
  </si>
  <si>
    <t>Now discount 12J</t>
    <phoneticPr fontId="99"/>
  </si>
  <si>
    <t>AT</t>
    <phoneticPr fontId="99"/>
  </si>
  <si>
    <t>Innova
besin</t>
    <phoneticPr fontId="99"/>
  </si>
  <si>
    <t>Now discount 35J</t>
    <phoneticPr fontId="99"/>
  </si>
  <si>
    <t>Now discount 16J</t>
    <phoneticPr fontId="99"/>
  </si>
  <si>
    <t>（3）　Rental company case</t>
    <phoneticPr fontId="99"/>
  </si>
  <si>
    <t>Rate</t>
    <phoneticPr fontId="99"/>
  </si>
  <si>
    <t>5year later</t>
    <phoneticPr fontId="99"/>
  </si>
  <si>
    <t>MT</t>
    <phoneticPr fontId="99"/>
  </si>
  <si>
    <t>Innova
besin</t>
    <phoneticPr fontId="99"/>
  </si>
  <si>
    <t xml:space="preserve"> - This cace is use auction sales price until 5year later</t>
    <phoneticPr fontId="99"/>
  </si>
  <si>
    <t xml:space="preserve"> - 1year later Base rate - Annual depreciation</t>
    <phoneticPr fontId="99"/>
  </si>
  <si>
    <t xml:space="preserve"> - Straight down from the 2 year to the 4 year</t>
    <phoneticPr fontId="99"/>
  </si>
  <si>
    <t>（4）　Antara　RV　（3）-（1）</t>
    <phoneticPr fontId="99"/>
  </si>
  <si>
    <t>Car type</t>
    <phoneticPr fontId="99"/>
  </si>
  <si>
    <t>Mission</t>
    <phoneticPr fontId="99"/>
  </si>
  <si>
    <t>1year later</t>
    <phoneticPr fontId="99"/>
  </si>
  <si>
    <t>Rate</t>
    <phoneticPr fontId="99"/>
  </si>
  <si>
    <t>5year later</t>
    <phoneticPr fontId="99"/>
  </si>
  <si>
    <t>Tarif (Avanza)</t>
    <phoneticPr fontId="69"/>
  </si>
  <si>
    <t>Car type</t>
    <phoneticPr fontId="69"/>
  </si>
  <si>
    <t>Price list</t>
    <phoneticPr fontId="69"/>
  </si>
  <si>
    <t>Diskon</t>
    <phoneticPr fontId="69"/>
  </si>
  <si>
    <t>After diskon</t>
    <phoneticPr fontId="69"/>
  </si>
  <si>
    <t>Installment</t>
  </si>
  <si>
    <t>Lending rate</t>
    <phoneticPr fontId="69"/>
  </si>
  <si>
    <t>% to Vehicle Price</t>
  </si>
  <si>
    <t>RV (%)
DSF</t>
  </si>
  <si>
    <t>RV (%)
Rental</t>
  </si>
  <si>
    <t>RV (%)
Avg</t>
  </si>
  <si>
    <t>RV (incl. VAT)
Avg</t>
  </si>
  <si>
    <t>Insurance
Expenses</t>
  </si>
  <si>
    <t>Replacement Budget</t>
  </si>
  <si>
    <t>Registration Expense</t>
  </si>
  <si>
    <t>Maintenance Expense</t>
  </si>
  <si>
    <t>Borrowing
Cost</t>
  </si>
  <si>
    <t>Avanza 1.3 E A/T</t>
  </si>
  <si>
    <t>Avanza 1.3 E M/T</t>
    <phoneticPr fontId="69"/>
  </si>
  <si>
    <t>Avanza 1.3 G A/T</t>
    <phoneticPr fontId="69"/>
  </si>
  <si>
    <t>Avanza 1.3 G M/T</t>
    <phoneticPr fontId="69"/>
  </si>
  <si>
    <t>Avanza 1.5 G M/T</t>
    <phoneticPr fontId="69"/>
  </si>
  <si>
    <t>Insurance / YEAR</t>
  </si>
  <si>
    <t>Tarif (Xpander)</t>
    <phoneticPr fontId="69"/>
  </si>
  <si>
    <t>Car type</t>
    <phoneticPr fontId="69"/>
  </si>
  <si>
    <t>Price list</t>
    <phoneticPr fontId="69"/>
  </si>
  <si>
    <t>After diskon</t>
    <phoneticPr fontId="69"/>
  </si>
  <si>
    <t>Xpander Ultimate A/T</t>
  </si>
  <si>
    <t>Xpander Sport A/T</t>
  </si>
  <si>
    <t>Xpander Sport M/T</t>
    <phoneticPr fontId="69"/>
  </si>
  <si>
    <t>Xpander Exceed A/T</t>
  </si>
  <si>
    <t>Xpander Exceed M/T</t>
    <phoneticPr fontId="69"/>
  </si>
  <si>
    <t>Xpander GLS A/T</t>
    <phoneticPr fontId="69"/>
  </si>
  <si>
    <t>Xpander GLS M/T</t>
  </si>
  <si>
    <t>Xpander GLX M/T</t>
  </si>
  <si>
    <t>Non White</t>
  </si>
  <si>
    <t>SPAF+SUBVENTION</t>
  </si>
  <si>
    <t>Depr Exp</t>
  </si>
  <si>
    <t>Book Value</t>
  </si>
  <si>
    <t>Sell</t>
  </si>
  <si>
    <t xml:space="preserve">Gain </t>
  </si>
  <si>
    <t>Overhead</t>
  </si>
  <si>
    <t>YEARLY</t>
  </si>
  <si>
    <t>Write-Off</t>
  </si>
  <si>
    <t>Net Income</t>
  </si>
  <si>
    <t>Accounting</t>
    <phoneticPr fontId="69"/>
  </si>
  <si>
    <t>Avanza 1.3 E A/T</t>
    <phoneticPr fontId="69"/>
  </si>
  <si>
    <t>SPAF+SUBVENTION</t>
    <phoneticPr fontId="69"/>
  </si>
  <si>
    <t>Insurance Promotion Fee</t>
    <phoneticPr fontId="69"/>
  </si>
  <si>
    <t>Income Before + Overhead + Write-Off + SPAF+SUBVENTION + Insurance Promotion Fee</t>
    <phoneticPr fontId="69"/>
  </si>
  <si>
    <t>Average Asset (Depreciation basis)</t>
    <phoneticPr fontId="69"/>
  </si>
  <si>
    <t>Discount KTB</t>
  </si>
  <si>
    <t>Insentive MMKSI</t>
  </si>
  <si>
    <t>--&gt; % pengali sesuai formula pada cell D14</t>
  </si>
  <si>
    <t>Maintenance(Bulan)</t>
  </si>
  <si>
    <t>Testing without ATPM Discount: 00099/OCN/01/04/2019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</si>
</sst>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(* #,##0_);_(* \(#,##0\);_(* &quot;-&quot;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[$IDR]\ #,##0.00"/>
    <numFmt numFmtId="167" formatCode="0.000%"/>
    <numFmt numFmtId="168" formatCode="0.0%"/>
    <numFmt numFmtId="169" formatCode="0.0000%"/>
    <numFmt numFmtId="170" formatCode="#,##0.000_);[Red]\(#,##0.000\)"/>
    <numFmt numFmtId="171" formatCode="_(* #,##0_);_(* \(#,##0\);_(* &quot;-&quot;??_);_(@_)"/>
    <numFmt numFmtId="172" formatCode="#,##0.0000000_);[Red]\(#,##0.0000000\)"/>
    <numFmt numFmtId="173" formatCode="d\-mmm\-yyyy"/>
    <numFmt numFmtId="174" formatCode="#,##0.0;[Red]\-#,##0.0"/>
    <numFmt numFmtId="175" formatCode="#,##0_ ;[Red]\-#,##0\ "/>
    <numFmt numFmtId="176" formatCode="0_);[Red]\(0\)"/>
    <numFmt numFmtId="177" formatCode="_ &quot;¥&quot;* #,##0.0_ ;_ &quot;¥&quot;* \-#,##0.0_ ;_ &quot;¥&quot;* &quot;-&quot;?_ ;_ @_ "/>
    <numFmt numFmtId="178" formatCode="0%;[Red]\-#%"/>
    <numFmt numFmtId="179" formatCode="_(* #,##0_);_(* \(#,##0\);_(* &quot;-&quot;?_);_(@_)"/>
    <numFmt numFmtId="180" formatCode="0.000000%"/>
    <numFmt numFmtId="182" formatCode="0.000000000%"/>
  </numFmts>
  <fonts count="1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rebuchet MS"/>
      <family val="2"/>
    </font>
    <font>
      <b/>
      <u/>
      <sz val="14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name val="Cambria"/>
      <family val="1"/>
      <scheme val="major"/>
    </font>
    <font>
      <sz val="10"/>
      <color indexed="10"/>
      <name val="Cambria"/>
      <family val="1"/>
      <scheme val="major"/>
    </font>
    <font>
      <sz val="11"/>
      <color rgb="FFFFFFFF"/>
      <name val="Calibri"/>
      <family val="2"/>
      <scheme val="minor"/>
    </font>
    <font>
      <sz val="10"/>
      <color rgb="FFFF0000"/>
      <name val="Cambria"/>
      <family val="1"/>
      <scheme val="major"/>
    </font>
    <font>
      <sz val="12"/>
      <name val="Cambria"/>
      <family val="1"/>
      <scheme val="major"/>
    </font>
    <font>
      <sz val="10"/>
      <color theme="0"/>
      <name val="Cambria"/>
      <family val="1"/>
      <scheme val="major"/>
    </font>
    <font>
      <sz val="8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charset val="128"/>
      <scheme val="minor"/>
    </font>
    <font>
      <sz val="12"/>
      <color indexed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ambria"/>
      <family val="3"/>
      <charset val="128"/>
      <scheme val="major"/>
    </font>
    <font>
      <sz val="8"/>
      <color rgb="FFFF0000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  <font>
      <sz val="10"/>
      <name val="News Gothic"/>
      <family val="2"/>
    </font>
    <font>
      <b/>
      <sz val="10"/>
      <name val="News Gothic"/>
      <family val="2"/>
    </font>
    <font>
      <u/>
      <sz val="10"/>
      <name val="News Gothic"/>
      <family val="2"/>
    </font>
    <font>
      <u val="singleAccounting"/>
      <sz val="10"/>
      <name val="News Gothic"/>
      <family val="2"/>
    </font>
    <font>
      <sz val="6"/>
      <name val="Calibri"/>
      <family val="3"/>
      <charset val="128"/>
      <scheme val="minor"/>
    </font>
    <font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8"/>
      <color theme="0"/>
      <name val="Meiryo UI"/>
      <family val="3"/>
      <charset val="128"/>
    </font>
    <font>
      <b/>
      <u/>
      <sz val="8"/>
      <name val="Meiryo UI"/>
      <family val="3"/>
      <charset val="128"/>
    </font>
    <font>
      <b/>
      <sz val="8"/>
      <color indexed="8"/>
      <name val="Meiryo UI"/>
      <family val="3"/>
      <charset val="128"/>
    </font>
    <font>
      <b/>
      <sz val="8"/>
      <name val="Meiryo UI"/>
      <family val="3"/>
      <charset val="128"/>
    </font>
    <font>
      <sz val="8"/>
      <color indexed="10"/>
      <name val="Meiryo UI"/>
      <family val="3"/>
      <charset val="128"/>
    </font>
    <font>
      <sz val="8"/>
      <color rgb="FFFFFFFF"/>
      <name val="Meiryo UI"/>
      <family val="3"/>
      <charset val="128"/>
    </font>
    <font>
      <sz val="8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rgb="FFC00000"/>
      <name val="Meiryo UI"/>
      <family val="3"/>
      <charset val="128"/>
    </font>
    <font>
      <b/>
      <sz val="12"/>
      <color indexed="8"/>
      <name val="Meiryo UI"/>
      <family val="3"/>
      <charset val="128"/>
    </font>
    <font>
      <b/>
      <sz val="10"/>
      <color indexed="8"/>
      <name val="Meiryo UI"/>
      <family val="3"/>
      <charset val="128"/>
    </font>
    <font>
      <b/>
      <sz val="10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name val="Meiryo UI"/>
      <family val="3"/>
      <charset val="128"/>
    </font>
    <font>
      <sz val="10"/>
      <color indexed="1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0"/>
      <color indexed="8"/>
      <name val="Arial"/>
      <family val="2"/>
    </font>
    <font>
      <b/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u/>
      <sz val="9"/>
      <color indexed="8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9"/>
      <color theme="0"/>
      <name val="Meiryo UI"/>
      <family val="2"/>
    </font>
    <font>
      <sz val="9"/>
      <color theme="1"/>
      <name val="Meiryo UI"/>
      <family val="2"/>
    </font>
    <font>
      <sz val="8"/>
      <color theme="1"/>
      <name val="Meiryo"/>
      <family val="2"/>
    </font>
    <font>
      <b/>
      <sz val="8"/>
      <color theme="1"/>
      <name val="Meiryo"/>
      <family val="2"/>
    </font>
    <font>
      <b/>
      <sz val="8"/>
      <name val="Meiryo"/>
      <family val="2"/>
    </font>
    <font>
      <sz val="8"/>
      <color indexed="8"/>
      <name val="Meiryo"/>
      <family val="2"/>
    </font>
    <font>
      <b/>
      <sz val="9"/>
      <color theme="1"/>
      <name val="Meiryo UI"/>
      <family val="2"/>
    </font>
    <font>
      <sz val="9"/>
      <color rgb="FF0000FF"/>
      <name val="Meiryo UI"/>
      <family val="3"/>
      <charset val="128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</fills>
  <borders count="1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rgb="FF0000FF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theme="0" tint="-4.9989318521683403E-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rgb="FF0000FF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double">
        <color rgb="FFC00000"/>
      </right>
      <top style="double">
        <color rgb="FFC00000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double">
        <color rgb="FFC00000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0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38" fontId="26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35" fillId="0" borderId="0"/>
    <xf numFmtId="9" fontId="2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0" fontId="37" fillId="0" borderId="19">
      <alignment horizontal="center"/>
    </xf>
    <xf numFmtId="3" fontId="36" fillId="0" borderId="0" applyFont="0" applyFill="0" applyBorder="0" applyAlignment="0" applyProtection="0"/>
    <xf numFmtId="0" fontId="36" fillId="33" borderId="0" applyNumberFormat="0" applyFont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8" borderId="140" applyNumberForma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40" borderId="141" applyNumberFormat="0" applyFont="0" applyAlignment="0" applyProtection="0">
      <alignment vertical="center"/>
    </xf>
    <xf numFmtId="0" fontId="43" fillId="0" borderId="142" applyNumberFormat="0" applyFill="0" applyAlignment="0" applyProtection="0">
      <alignment vertical="center"/>
    </xf>
    <xf numFmtId="0" fontId="44" fillId="24" borderId="143" applyNumberFormat="0" applyAlignment="0" applyProtection="0">
      <alignment vertical="center"/>
    </xf>
    <xf numFmtId="0" fontId="45" fillId="41" borderId="144" applyNumberForma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47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/>
    <xf numFmtId="0" fontId="41" fillId="0" borderId="0"/>
    <xf numFmtId="0" fontId="41" fillId="0" borderId="0"/>
    <xf numFmtId="0" fontId="48" fillId="21" borderId="0" applyNumberFormat="0" applyBorder="0" applyAlignment="0" applyProtection="0">
      <alignment vertical="center"/>
    </xf>
    <xf numFmtId="0" fontId="49" fillId="0" borderId="145" applyNumberFormat="0" applyFill="0" applyAlignment="0" applyProtection="0">
      <alignment vertical="center"/>
    </xf>
    <xf numFmtId="0" fontId="50" fillId="0" borderId="146" applyNumberFormat="0" applyFill="0" applyAlignment="0" applyProtection="0">
      <alignment vertical="center"/>
    </xf>
    <xf numFmtId="0" fontId="51" fillId="0" borderId="14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1" borderId="14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64" fontId="41" fillId="0" borderId="0" applyFont="0" applyFill="0" applyBorder="0" applyAlignment="0" applyProtection="0"/>
    <xf numFmtId="0" fontId="55" fillId="0" borderId="148" applyNumberFormat="0" applyFill="0" applyAlignment="0" applyProtection="0">
      <alignment vertical="center"/>
    </xf>
    <xf numFmtId="0" fontId="56" fillId="0" borderId="0"/>
    <xf numFmtId="9" fontId="56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97" fillId="0" borderId="0"/>
    <xf numFmtId="9" fontId="97" fillId="0" borderId="0"/>
    <xf numFmtId="38" fontId="97" fillId="0" borderId="0" applyFont="0" applyFill="0" applyBorder="0" applyAlignment="0" applyProtection="0">
      <alignment vertical="center"/>
    </xf>
  </cellStyleXfs>
  <cellXfs count="1745">
    <xf numFmtId="0" fontId="0" fillId="0" borderId="0" xfId="0"/>
    <xf numFmtId="0" fontId="0" fillId="0" borderId="4" xfId="0" applyBorder="1"/>
    <xf numFmtId="0" fontId="0" fillId="0" borderId="0" xfId="0" applyBorder="1"/>
    <xf numFmtId="0" fontId="3" fillId="0" borderId="5" xfId="0" applyFont="1" applyBorder="1" applyAlignment="1">
      <alignment horizontal="right"/>
    </xf>
    <xf numFmtId="38" fontId="0" fillId="0" borderId="5" xfId="0" applyNumberFormat="1" applyBorder="1"/>
    <xf numFmtId="38" fontId="0" fillId="0" borderId="5" xfId="1" applyNumberFormat="1" applyFont="1" applyBorder="1" applyAlignment="1">
      <alignment horizontal="right"/>
    </xf>
    <xf numFmtId="10" fontId="0" fillId="0" borderId="5" xfId="3" applyNumberFormat="1" applyFont="1" applyBorder="1"/>
    <xf numFmtId="0" fontId="0" fillId="0" borderId="6" xfId="0" applyBorder="1"/>
    <xf numFmtId="0" fontId="0" fillId="0" borderId="7" xfId="0" applyBorder="1"/>
    <xf numFmtId="10" fontId="0" fillId="0" borderId="8" xfId="3" quotePrefix="1" applyNumberFormat="1" applyFont="1" applyBorder="1" applyAlignment="1">
      <alignment horizontal="right"/>
    </xf>
    <xf numFmtId="9" fontId="0" fillId="0" borderId="0" xfId="0" applyNumberFormat="1" applyBorder="1"/>
    <xf numFmtId="38" fontId="0" fillId="0" borderId="8" xfId="0" applyNumberFormat="1" applyBorder="1"/>
    <xf numFmtId="10" fontId="0" fillId="0" borderId="0" xfId="3" applyNumberFormat="1" applyFont="1" applyBorder="1"/>
    <xf numFmtId="0" fontId="0" fillId="0" borderId="4" xfId="0" quotePrefix="1" applyBorder="1"/>
    <xf numFmtId="0" fontId="0" fillId="0" borderId="12" xfId="0" quotePrefix="1" applyBorder="1"/>
    <xf numFmtId="38" fontId="0" fillId="0" borderId="13" xfId="0" applyNumberFormat="1" applyBorder="1"/>
    <xf numFmtId="0" fontId="0" fillId="0" borderId="0" xfId="0" quotePrefix="1" applyBorder="1"/>
    <xf numFmtId="9" fontId="0" fillId="0" borderId="0" xfId="0" quotePrefix="1" applyNumberFormat="1" applyBorder="1"/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38" fontId="0" fillId="0" borderId="11" xfId="0" applyNumberFormat="1" applyBorder="1"/>
    <xf numFmtId="0" fontId="0" fillId="0" borderId="6" xfId="0" quotePrefix="1" applyBorder="1" applyAlignment="1">
      <alignment horizontal="left"/>
    </xf>
    <xf numFmtId="10" fontId="0" fillId="0" borderId="7" xfId="3" quotePrefix="1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quotePrefix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38" fontId="4" fillId="0" borderId="17" xfId="0" applyNumberFormat="1" applyFont="1" applyBorder="1"/>
    <xf numFmtId="0" fontId="5" fillId="0" borderId="0" xfId="0" quotePrefix="1" applyFont="1" applyBorder="1"/>
    <xf numFmtId="166" fontId="4" fillId="0" borderId="0" xfId="0" applyNumberFormat="1" applyFont="1" applyBorder="1"/>
    <xf numFmtId="4" fontId="6" fillId="0" borderId="0" xfId="0" applyNumberFormat="1" applyFont="1" applyBorder="1"/>
    <xf numFmtId="41" fontId="7" fillId="0" borderId="5" xfId="2" applyFont="1" applyBorder="1" applyAlignment="1">
      <alignment horizontal="right"/>
    </xf>
    <xf numFmtId="41" fontId="8" fillId="0" borderId="5" xfId="2" applyFont="1" applyBorder="1" applyAlignment="1">
      <alignment horizontal="right"/>
    </xf>
    <xf numFmtId="10" fontId="0" fillId="0" borderId="0" xfId="0" applyNumberFormat="1" applyBorder="1"/>
    <xf numFmtId="167" fontId="0" fillId="0" borderId="0" xfId="3" applyNumberFormat="1" applyFon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/>
    <xf numFmtId="41" fontId="5" fillId="0" borderId="0" xfId="2" quotePrefix="1" applyFont="1" applyBorder="1"/>
    <xf numFmtId="41" fontId="5" fillId="0" borderId="0" xfId="2" applyFont="1"/>
    <xf numFmtId="168" fontId="0" fillId="0" borderId="0" xfId="0" quotePrefix="1" applyNumberFormat="1" applyBorder="1"/>
    <xf numFmtId="38" fontId="0" fillId="0" borderId="0" xfId="0" applyNumberFormat="1"/>
    <xf numFmtId="37" fontId="0" fillId="0" borderId="5" xfId="0" applyNumberFormat="1" applyBorder="1"/>
    <xf numFmtId="0" fontId="0" fillId="0" borderId="1" xfId="0" applyBorder="1"/>
    <xf numFmtId="38" fontId="4" fillId="2" borderId="3" xfId="0" applyNumberFormat="1" applyFont="1" applyFill="1" applyBorder="1"/>
    <xf numFmtId="0" fontId="4" fillId="0" borderId="0" xfId="0" applyFont="1" applyBorder="1" applyAlignment="1">
      <alignment horizontal="left"/>
    </xf>
    <xf numFmtId="38" fontId="4" fillId="0" borderId="0" xfId="0" applyNumberFormat="1" applyFont="1" applyBorder="1"/>
    <xf numFmtId="10" fontId="0" fillId="0" borderId="0" xfId="0" quotePrefix="1" applyNumberFormat="1" applyBorder="1"/>
    <xf numFmtId="0" fontId="11" fillId="0" borderId="0" xfId="5" applyFont="1" applyAlignment="1">
      <alignment horizontal="left" vertical="center"/>
    </xf>
    <xf numFmtId="0" fontId="12" fillId="0" borderId="0" xfId="5" applyFont="1" applyAlignment="1">
      <alignment vertical="center"/>
    </xf>
    <xf numFmtId="38" fontId="12" fillId="0" borderId="0" xfId="5" applyNumberFormat="1" applyFont="1" applyAlignment="1">
      <alignment vertical="center"/>
    </xf>
    <xf numFmtId="38" fontId="12" fillId="0" borderId="0" xfId="5" applyNumberFormat="1" applyFont="1" applyAlignment="1">
      <alignment horizontal="center" vertical="center"/>
    </xf>
    <xf numFmtId="38" fontId="12" fillId="0" borderId="0" xfId="6" applyNumberFormat="1" applyFont="1" applyAlignment="1">
      <alignment vertical="center"/>
    </xf>
    <xf numFmtId="38" fontId="12" fillId="0" borderId="0" xfId="7" applyNumberFormat="1" applyFont="1" applyAlignment="1">
      <alignment vertical="center"/>
    </xf>
    <xf numFmtId="0" fontId="12" fillId="0" borderId="0" xfId="5" applyFont="1" applyFill="1" applyAlignment="1">
      <alignment vertical="center"/>
    </xf>
    <xf numFmtId="0" fontId="13" fillId="5" borderId="0" xfId="5" applyFont="1" applyFill="1" applyAlignment="1">
      <alignment vertical="center"/>
    </xf>
    <xf numFmtId="0" fontId="13" fillId="0" borderId="0" xfId="5" quotePrefix="1" applyFont="1" applyAlignment="1">
      <alignment vertical="center"/>
    </xf>
    <xf numFmtId="0" fontId="13" fillId="0" borderId="0" xfId="5" applyFont="1" applyAlignment="1">
      <alignment vertical="center"/>
    </xf>
    <xf numFmtId="14" fontId="12" fillId="0" borderId="0" xfId="5" applyNumberFormat="1" applyFont="1" applyAlignment="1">
      <alignment horizontal="left" vertical="center"/>
    </xf>
    <xf numFmtId="0" fontId="12" fillId="0" borderId="0" xfId="5" applyFont="1" applyAlignment="1">
      <alignment horizontal="right" vertical="center"/>
    </xf>
    <xf numFmtId="41" fontId="12" fillId="0" borderId="0" xfId="5" applyNumberFormat="1" applyFont="1" applyAlignment="1" applyProtection="1">
      <alignment vertical="center"/>
      <protection locked="0"/>
    </xf>
    <xf numFmtId="0" fontId="12" fillId="0" borderId="0" xfId="5" applyFont="1" applyBorder="1" applyAlignment="1">
      <alignment vertical="center"/>
    </xf>
    <xf numFmtId="38" fontId="12" fillId="0" borderId="0" xfId="5" applyNumberFormat="1" applyFont="1" applyBorder="1" applyAlignment="1">
      <alignment vertical="center"/>
    </xf>
    <xf numFmtId="38" fontId="12" fillId="0" borderId="0" xfId="5" applyNumberFormat="1" applyFont="1" applyBorder="1" applyAlignment="1">
      <alignment horizontal="center" vertical="center"/>
    </xf>
    <xf numFmtId="38" fontId="12" fillId="0" borderId="0" xfId="6" applyNumberFormat="1" applyFont="1" applyBorder="1" applyAlignment="1">
      <alignment vertical="center"/>
    </xf>
    <xf numFmtId="38" fontId="12" fillId="0" borderId="0" xfId="7" applyNumberFormat="1" applyFont="1" applyBorder="1" applyAlignment="1">
      <alignment vertical="center"/>
    </xf>
    <xf numFmtId="0" fontId="12" fillId="0" borderId="0" xfId="5" applyFont="1" applyFill="1" applyBorder="1" applyAlignment="1">
      <alignment vertical="center"/>
    </xf>
    <xf numFmtId="0" fontId="13" fillId="0" borderId="0" xfId="5" applyFont="1" applyAlignment="1"/>
    <xf numFmtId="14" fontId="12" fillId="0" borderId="0" xfId="5" applyNumberFormat="1" applyFont="1" applyAlignment="1">
      <alignment horizontal="left"/>
    </xf>
    <xf numFmtId="0" fontId="12" fillId="0" borderId="0" xfId="5" applyFont="1" applyAlignment="1">
      <alignment horizontal="right"/>
    </xf>
    <xf numFmtId="15" fontId="12" fillId="0" borderId="0" xfId="5" applyNumberFormat="1" applyFont="1" applyAlignment="1" applyProtection="1">
      <protection locked="0"/>
    </xf>
    <xf numFmtId="0" fontId="12" fillId="0" borderId="0" xfId="5" applyFont="1" applyAlignment="1"/>
    <xf numFmtId="0" fontId="12" fillId="0" borderId="0" xfId="5" applyFont="1" applyBorder="1" applyAlignment="1"/>
    <xf numFmtId="38" fontId="12" fillId="0" borderId="0" xfId="5" applyNumberFormat="1" applyFont="1" applyBorder="1" applyAlignment="1"/>
    <xf numFmtId="38" fontId="12" fillId="0" borderId="0" xfId="5" applyNumberFormat="1" applyFont="1" applyBorder="1" applyAlignment="1">
      <alignment horizontal="center"/>
    </xf>
    <xf numFmtId="38" fontId="12" fillId="0" borderId="0" xfId="6" applyNumberFormat="1" applyFont="1" applyBorder="1" applyAlignment="1"/>
    <xf numFmtId="38" fontId="12" fillId="0" borderId="0" xfId="7" applyNumberFormat="1" applyFont="1" applyBorder="1" applyAlignment="1"/>
    <xf numFmtId="0" fontId="12" fillId="0" borderId="0" xfId="5" applyFont="1" applyFill="1" applyBorder="1" applyAlignment="1"/>
    <xf numFmtId="0" fontId="12" fillId="0" borderId="0" xfId="5" applyFont="1"/>
    <xf numFmtId="0" fontId="14" fillId="6" borderId="20" xfId="5" applyFont="1" applyFill="1" applyBorder="1" applyAlignment="1">
      <alignment vertical="center"/>
    </xf>
    <xf numFmtId="0" fontId="14" fillId="6" borderId="21" xfId="5" applyFont="1" applyFill="1" applyBorder="1" applyAlignment="1">
      <alignment vertical="center"/>
    </xf>
    <xf numFmtId="0" fontId="14" fillId="6" borderId="22" xfId="5" applyFont="1" applyFill="1" applyBorder="1" applyAlignment="1">
      <alignment vertical="center"/>
    </xf>
    <xf numFmtId="0" fontId="15" fillId="0" borderId="0" xfId="5" applyFont="1" applyBorder="1" applyAlignment="1">
      <alignment horizontal="center" vertical="center"/>
    </xf>
    <xf numFmtId="38" fontId="15" fillId="0" borderId="0" xfId="5" applyNumberFormat="1" applyFont="1" applyBorder="1" applyAlignment="1">
      <alignment horizontal="center" vertical="center"/>
    </xf>
    <xf numFmtId="38" fontId="15" fillId="0" borderId="0" xfId="6" applyNumberFormat="1" applyFont="1" applyBorder="1" applyAlignment="1">
      <alignment horizontal="center" vertical="center"/>
    </xf>
    <xf numFmtId="38" fontId="15" fillId="0" borderId="0" xfId="7" applyNumberFormat="1" applyFont="1" applyBorder="1" applyAlignment="1">
      <alignment horizontal="center" vertical="center"/>
    </xf>
    <xf numFmtId="0" fontId="16" fillId="0" borderId="0" xfId="5" applyFont="1" applyBorder="1" applyAlignment="1">
      <alignment horizontal="centerContinuous" vertical="center"/>
    </xf>
    <xf numFmtId="0" fontId="16" fillId="0" borderId="0" xfId="5" applyFont="1" applyFill="1" applyBorder="1" applyAlignment="1">
      <alignment horizontal="centerContinuous" vertical="center"/>
    </xf>
    <xf numFmtId="0" fontId="16" fillId="0" borderId="0" xfId="5" applyFont="1" applyAlignment="1">
      <alignment vertical="center"/>
    </xf>
    <xf numFmtId="0" fontId="17" fillId="0" borderId="23" xfId="5" applyFont="1" applyFill="1" applyBorder="1"/>
    <xf numFmtId="0" fontId="17" fillId="0" borderId="24" xfId="5" applyFont="1" applyFill="1" applyBorder="1"/>
    <xf numFmtId="0" fontId="17" fillId="0" borderId="25" xfId="5" applyFont="1" applyFill="1" applyBorder="1"/>
    <xf numFmtId="0" fontId="18" fillId="6" borderId="21" xfId="5" applyFont="1" applyFill="1" applyBorder="1" applyAlignment="1">
      <alignment horizontal="center"/>
    </xf>
    <xf numFmtId="0" fontId="18" fillId="6" borderId="29" xfId="5" applyFont="1" applyFill="1" applyBorder="1" applyAlignment="1">
      <alignment horizontal="center"/>
    </xf>
    <xf numFmtId="0" fontId="18" fillId="0" borderId="0" xfId="5" applyFont="1" applyBorder="1" applyAlignment="1">
      <alignment horizontal="center"/>
    </xf>
    <xf numFmtId="38" fontId="18" fillId="0" borderId="0" xfId="5" applyNumberFormat="1" applyFont="1" applyBorder="1" applyAlignment="1">
      <alignment horizontal="center"/>
    </xf>
    <xf numFmtId="38" fontId="18" fillId="0" borderId="0" xfId="6" applyNumberFormat="1" applyFont="1" applyBorder="1" applyAlignment="1">
      <alignment horizontal="center"/>
    </xf>
    <xf numFmtId="38" fontId="18" fillId="0" borderId="0" xfId="7" applyNumberFormat="1" applyFont="1" applyBorder="1" applyAlignment="1">
      <alignment horizontal="center"/>
    </xf>
    <xf numFmtId="0" fontId="18" fillId="0" borderId="0" xfId="5" applyFont="1" applyBorder="1" applyAlignment="1">
      <alignment horizontal="centerContinuous"/>
    </xf>
    <xf numFmtId="0" fontId="18" fillId="0" borderId="0" xfId="5" applyFont="1" applyFill="1" applyBorder="1" applyAlignment="1">
      <alignment horizontal="centerContinuous"/>
    </xf>
    <xf numFmtId="0" fontId="18" fillId="0" borderId="0" xfId="5" applyFont="1"/>
    <xf numFmtId="0" fontId="17" fillId="0" borderId="30" xfId="5" applyFont="1" applyFill="1" applyBorder="1"/>
    <xf numFmtId="0" fontId="17" fillId="0" borderId="31" xfId="5" applyFont="1" applyFill="1" applyBorder="1"/>
    <xf numFmtId="0" fontId="17" fillId="0" borderId="32" xfId="5" applyFont="1" applyFill="1" applyBorder="1"/>
    <xf numFmtId="0" fontId="17" fillId="0" borderId="33" xfId="5" applyFont="1" applyFill="1" applyBorder="1"/>
    <xf numFmtId="0" fontId="18" fillId="0" borderId="34" xfId="5" applyFont="1" applyFill="1" applyBorder="1"/>
    <xf numFmtId="0" fontId="18" fillId="0" borderId="35" xfId="5" applyFont="1" applyFill="1" applyBorder="1"/>
    <xf numFmtId="3" fontId="18" fillId="0" borderId="36" xfId="6" applyNumberFormat="1" applyFont="1" applyBorder="1" applyAlignment="1">
      <alignment horizontal="left"/>
    </xf>
    <xf numFmtId="0" fontId="17" fillId="0" borderId="37" xfId="5" applyFont="1" applyFill="1" applyBorder="1"/>
    <xf numFmtId="0" fontId="17" fillId="0" borderId="35" xfId="5" applyFont="1" applyFill="1" applyBorder="1"/>
    <xf numFmtId="41" fontId="17" fillId="5" borderId="38" xfId="6" applyNumberFormat="1" applyFont="1" applyFill="1" applyBorder="1"/>
    <xf numFmtId="0" fontId="18" fillId="0" borderId="36" xfId="5" applyFont="1" applyFill="1" applyBorder="1"/>
    <xf numFmtId="38" fontId="18" fillId="5" borderId="36" xfId="7" applyNumberFormat="1" applyFont="1" applyFill="1" applyBorder="1"/>
    <xf numFmtId="0" fontId="18" fillId="6" borderId="42" xfId="5" applyFont="1" applyFill="1" applyBorder="1" applyAlignment="1">
      <alignment horizontal="center"/>
    </xf>
    <xf numFmtId="0" fontId="18" fillId="6" borderId="8" xfId="5" applyFont="1" applyFill="1" applyBorder="1" applyAlignment="1">
      <alignment horizontal="center"/>
    </xf>
    <xf numFmtId="0" fontId="18" fillId="6" borderId="43" xfId="5" applyFont="1" applyFill="1" applyBorder="1" applyAlignment="1">
      <alignment horizontal="center"/>
    </xf>
    <xf numFmtId="0" fontId="18" fillId="6" borderId="7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5" xfId="5" applyFont="1" applyFill="1" applyBorder="1" applyAlignment="1">
      <alignment horizontal="center"/>
    </xf>
    <xf numFmtId="0" fontId="18" fillId="0" borderId="0" xfId="5" applyFont="1" applyBorder="1"/>
    <xf numFmtId="0" fontId="18" fillId="0" borderId="0" xfId="5" applyFont="1" applyFill="1" applyBorder="1"/>
    <xf numFmtId="0" fontId="18" fillId="0" borderId="31" xfId="5" applyFont="1" applyFill="1" applyBorder="1"/>
    <xf numFmtId="0" fontId="18" fillId="0" borderId="32" xfId="5" applyFont="1" applyFill="1" applyBorder="1"/>
    <xf numFmtId="0" fontId="17" fillId="5" borderId="31" xfId="5" applyFont="1" applyFill="1" applyBorder="1" applyAlignment="1">
      <alignment horizontal="center"/>
    </xf>
    <xf numFmtId="0" fontId="19" fillId="5" borderId="31" xfId="5" applyFont="1" applyFill="1" applyBorder="1" applyAlignment="1">
      <alignment horizontal="center"/>
    </xf>
    <xf numFmtId="0" fontId="18" fillId="5" borderId="33" xfId="5" applyFont="1" applyFill="1" applyBorder="1" applyAlignment="1">
      <alignment horizontal="center"/>
    </xf>
    <xf numFmtId="0" fontId="18" fillId="0" borderId="30" xfId="5" applyFont="1" applyFill="1" applyBorder="1"/>
    <xf numFmtId="3" fontId="18" fillId="5" borderId="31" xfId="5" applyNumberFormat="1" applyFont="1" applyFill="1" applyBorder="1" applyAlignment="1">
      <alignment horizontal="left"/>
    </xf>
    <xf numFmtId="0" fontId="17" fillId="0" borderId="46" xfId="5" applyFont="1" applyFill="1" applyBorder="1"/>
    <xf numFmtId="3" fontId="19" fillId="0" borderId="32" xfId="5" applyNumberFormat="1" applyFont="1" applyFill="1" applyBorder="1"/>
    <xf numFmtId="41" fontId="17" fillId="5" borderId="47" xfId="6" applyNumberFormat="1" applyFont="1" applyFill="1" applyBorder="1"/>
    <xf numFmtId="38" fontId="18" fillId="5" borderId="31" xfId="7" applyNumberFormat="1" applyFont="1" applyFill="1" applyBorder="1"/>
    <xf numFmtId="0" fontId="18" fillId="0" borderId="48" xfId="5" applyNumberFormat="1" applyFont="1" applyFill="1" applyBorder="1" applyAlignment="1">
      <alignment horizontal="left"/>
    </xf>
    <xf numFmtId="10" fontId="18" fillId="0" borderId="24" xfId="8" applyNumberFormat="1" applyFont="1" applyFill="1" applyBorder="1"/>
    <xf numFmtId="0" fontId="18" fillId="0" borderId="24" xfId="5" applyFont="1" applyFill="1" applyBorder="1"/>
    <xf numFmtId="3" fontId="18" fillId="5" borderId="49" xfId="5" applyNumberFormat="1" applyFont="1" applyFill="1" applyBorder="1"/>
    <xf numFmtId="3" fontId="18" fillId="0" borderId="50" xfId="5" applyNumberFormat="1" applyFont="1" applyFill="1" applyBorder="1"/>
    <xf numFmtId="0" fontId="18" fillId="0" borderId="51" xfId="5" applyFont="1" applyFill="1" applyBorder="1"/>
    <xf numFmtId="0" fontId="18" fillId="0" borderId="52" xfId="5" applyFont="1" applyFill="1" applyBorder="1"/>
    <xf numFmtId="3" fontId="18" fillId="0" borderId="53" xfId="5" applyNumberFormat="1" applyFont="1" applyBorder="1"/>
    <xf numFmtId="3" fontId="18" fillId="5" borderId="54" xfId="5" applyNumberFormat="1" applyFont="1" applyFill="1" applyBorder="1"/>
    <xf numFmtId="3" fontId="18" fillId="5" borderId="51" xfId="5" applyNumberFormat="1" applyFont="1" applyFill="1" applyBorder="1"/>
    <xf numFmtId="0" fontId="18" fillId="0" borderId="55" xfId="5" applyFont="1" applyFill="1" applyBorder="1"/>
    <xf numFmtId="9" fontId="18" fillId="5" borderId="52" xfId="8" applyFont="1" applyFill="1" applyBorder="1"/>
    <xf numFmtId="3" fontId="18" fillId="0" borderId="54" xfId="5" applyNumberFormat="1" applyFont="1" applyBorder="1"/>
    <xf numFmtId="0" fontId="18" fillId="0" borderId="54" xfId="5" applyFont="1" applyFill="1" applyBorder="1"/>
    <xf numFmtId="3" fontId="18" fillId="0" borderId="52" xfId="5" applyNumberFormat="1" applyFont="1" applyFill="1" applyBorder="1"/>
    <xf numFmtId="3" fontId="18" fillId="5" borderId="56" xfId="5" applyNumberFormat="1" applyFont="1" applyFill="1" applyBorder="1"/>
    <xf numFmtId="3" fontId="18" fillId="0" borderId="0" xfId="5" applyNumberFormat="1" applyFont="1" applyBorder="1"/>
    <xf numFmtId="38" fontId="18" fillId="0" borderId="0" xfId="5" applyNumberFormat="1" applyFont="1" applyBorder="1"/>
    <xf numFmtId="38" fontId="18" fillId="0" borderId="0" xfId="6" applyNumberFormat="1" applyFont="1" applyBorder="1"/>
    <xf numFmtId="38" fontId="18" fillId="0" borderId="0" xfId="7" applyNumberFormat="1" applyFont="1" applyBorder="1"/>
    <xf numFmtId="0" fontId="17" fillId="0" borderId="32" xfId="5" applyFont="1" applyFill="1" applyBorder="1" applyAlignment="1">
      <alignment horizontal="left"/>
    </xf>
    <xf numFmtId="0" fontId="17" fillId="5" borderId="33" xfId="5" applyFont="1" applyFill="1" applyBorder="1" applyAlignment="1">
      <alignment horizontal="center"/>
    </xf>
    <xf numFmtId="3" fontId="17" fillId="5" borderId="31" xfId="6" applyNumberFormat="1" applyFont="1" applyFill="1" applyBorder="1"/>
    <xf numFmtId="41" fontId="17" fillId="0" borderId="32" xfId="8" applyNumberFormat="1" applyFont="1" applyFill="1" applyBorder="1"/>
    <xf numFmtId="41" fontId="18" fillId="0" borderId="47" xfId="6" applyNumberFormat="1" applyFont="1" applyFill="1" applyBorder="1"/>
    <xf numFmtId="0" fontId="18" fillId="7" borderId="46" xfId="5" applyNumberFormat="1" applyFont="1" applyFill="1" applyBorder="1" applyAlignment="1">
      <alignment horizontal="left"/>
    </xf>
    <xf numFmtId="10" fontId="18" fillId="7" borderId="31" xfId="8" applyNumberFormat="1" applyFont="1" applyFill="1" applyBorder="1"/>
    <xf numFmtId="0" fontId="18" fillId="7" borderId="31" xfId="5" applyFont="1" applyFill="1" applyBorder="1"/>
    <xf numFmtId="3" fontId="18" fillId="5" borderId="57" xfId="5" applyNumberFormat="1" applyFont="1" applyFill="1" applyBorder="1"/>
    <xf numFmtId="3" fontId="18" fillId="0" borderId="47" xfId="5" applyNumberFormat="1" applyFont="1" applyFill="1" applyBorder="1"/>
    <xf numFmtId="3" fontId="18" fillId="0" borderId="57" xfId="5" applyNumberFormat="1" applyFont="1" applyBorder="1"/>
    <xf numFmtId="3" fontId="18" fillId="5" borderId="58" xfId="5" applyNumberFormat="1" applyFont="1" applyFill="1" applyBorder="1"/>
    <xf numFmtId="3" fontId="18" fillId="5" borderId="31" xfId="5" applyNumberFormat="1" applyFont="1" applyFill="1" applyBorder="1"/>
    <xf numFmtId="0" fontId="18" fillId="0" borderId="46" xfId="5" applyFont="1" applyFill="1" applyBorder="1"/>
    <xf numFmtId="9" fontId="18" fillId="5" borderId="32" xfId="8" applyFont="1" applyFill="1" applyBorder="1"/>
    <xf numFmtId="3" fontId="18" fillId="0" borderId="58" xfId="5" applyNumberFormat="1" applyFont="1" applyBorder="1"/>
    <xf numFmtId="0" fontId="18" fillId="0" borderId="58" xfId="5" applyFont="1" applyFill="1" applyBorder="1"/>
    <xf numFmtId="3" fontId="18" fillId="0" borderId="32" xfId="5" applyNumberFormat="1" applyFont="1" applyFill="1" applyBorder="1"/>
    <xf numFmtId="3" fontId="18" fillId="5" borderId="59" xfId="5" applyNumberFormat="1" applyFont="1" applyFill="1" applyBorder="1"/>
    <xf numFmtId="0" fontId="17" fillId="0" borderId="60" xfId="5" applyFont="1" applyFill="1" applyBorder="1"/>
    <xf numFmtId="0" fontId="17" fillId="0" borderId="61" xfId="5" applyFont="1" applyFill="1" applyBorder="1"/>
    <xf numFmtId="0" fontId="17" fillId="0" borderId="62" xfId="5" applyFont="1" applyFill="1" applyBorder="1" applyAlignment="1">
      <alignment horizontal="left"/>
    </xf>
    <xf numFmtId="0" fontId="17" fillId="0" borderId="0" xfId="5" applyFont="1" applyFill="1" applyBorder="1"/>
    <xf numFmtId="0" fontId="17" fillId="0" borderId="63" xfId="5" applyFont="1" applyFill="1" applyBorder="1"/>
    <xf numFmtId="3" fontId="17" fillId="5" borderId="47" xfId="6" applyNumberFormat="1" applyFont="1" applyFill="1" applyBorder="1"/>
    <xf numFmtId="3" fontId="17" fillId="0" borderId="32" xfId="5" applyNumberFormat="1" applyFont="1" applyFill="1" applyBorder="1"/>
    <xf numFmtId="171" fontId="17" fillId="5" borderId="47" xfId="6" applyNumberFormat="1" applyFont="1" applyFill="1" applyBorder="1"/>
    <xf numFmtId="38" fontId="18" fillId="0" borderId="31" xfId="7" applyNumberFormat="1" applyFont="1" applyFill="1" applyBorder="1"/>
    <xf numFmtId="0" fontId="18" fillId="0" borderId="46" xfId="7" applyNumberFormat="1" applyFont="1" applyFill="1" applyBorder="1"/>
    <xf numFmtId="10" fontId="18" fillId="0" borderId="31" xfId="8" applyNumberFormat="1" applyFont="1" applyFill="1" applyBorder="1"/>
    <xf numFmtId="9" fontId="18" fillId="5" borderId="57" xfId="8" applyFont="1" applyFill="1" applyBorder="1"/>
    <xf numFmtId="0" fontId="18" fillId="0" borderId="64" xfId="5" applyFont="1" applyFill="1" applyBorder="1"/>
    <xf numFmtId="169" fontId="16" fillId="0" borderId="56" xfId="5" applyNumberFormat="1" applyFont="1" applyFill="1" applyBorder="1"/>
    <xf numFmtId="0" fontId="17" fillId="2" borderId="46" xfId="5" applyFont="1" applyFill="1" applyBorder="1"/>
    <xf numFmtId="3" fontId="17" fillId="2" borderId="32" xfId="5" applyNumberFormat="1" applyFont="1" applyFill="1" applyBorder="1"/>
    <xf numFmtId="9" fontId="18" fillId="2" borderId="47" xfId="8" applyFont="1" applyFill="1" applyBorder="1"/>
    <xf numFmtId="0" fontId="18" fillId="0" borderId="31" xfId="7" applyNumberFormat="1" applyFont="1" applyFill="1" applyBorder="1" applyAlignment="1">
      <alignment vertical="center"/>
    </xf>
    <xf numFmtId="3" fontId="18" fillId="5" borderId="57" xfId="8" applyNumberFormat="1" applyFont="1" applyFill="1" applyBorder="1" applyAlignment="1">
      <alignment wrapText="1"/>
    </xf>
    <xf numFmtId="20" fontId="18" fillId="0" borderId="32" xfId="5" applyNumberFormat="1" applyFont="1" applyFill="1" applyBorder="1" applyAlignment="1">
      <alignment horizontal="center"/>
    </xf>
    <xf numFmtId="20" fontId="18" fillId="0" borderId="31" xfId="5" applyNumberFormat="1" applyFont="1" applyFill="1" applyBorder="1" applyAlignment="1">
      <alignment horizontal="center"/>
    </xf>
    <xf numFmtId="0" fontId="18" fillId="3" borderId="23" xfId="5" applyFont="1" applyFill="1" applyBorder="1"/>
    <xf numFmtId="0" fontId="18" fillId="3" borderId="24" xfId="5" applyFont="1" applyFill="1" applyBorder="1"/>
    <xf numFmtId="0" fontId="18" fillId="3" borderId="25" xfId="5" applyFont="1" applyFill="1" applyBorder="1"/>
    <xf numFmtId="10" fontId="16" fillId="3" borderId="26" xfId="8" applyNumberFormat="1" applyFont="1" applyFill="1" applyBorder="1"/>
    <xf numFmtId="0" fontId="17" fillId="0" borderId="65" xfId="5" applyFont="1" applyFill="1" applyBorder="1"/>
    <xf numFmtId="41" fontId="17" fillId="0" borderId="66" xfId="8" applyNumberFormat="1" applyFont="1" applyFill="1" applyBorder="1"/>
    <xf numFmtId="3" fontId="18" fillId="0" borderId="0" xfId="6" applyNumberFormat="1" applyFont="1" applyFill="1" applyBorder="1"/>
    <xf numFmtId="0" fontId="18" fillId="0" borderId="46" xfId="8" applyNumberFormat="1" applyFont="1" applyFill="1" applyBorder="1" applyAlignment="1">
      <alignment horizontal="left"/>
    </xf>
    <xf numFmtId="0" fontId="18" fillId="0" borderId="32" xfId="5" applyFont="1" applyFill="1" applyBorder="1" applyAlignment="1">
      <alignment horizontal="center"/>
    </xf>
    <xf numFmtId="37" fontId="18" fillId="5" borderId="47" xfId="5" applyNumberFormat="1" applyFont="1" applyFill="1" applyBorder="1" applyAlignment="1">
      <alignment horizontal="right"/>
    </xf>
    <xf numFmtId="0" fontId="18" fillId="0" borderId="66" xfId="5" applyFont="1" applyFill="1" applyBorder="1"/>
    <xf numFmtId="3" fontId="18" fillId="0" borderId="67" xfId="5" applyNumberFormat="1" applyFont="1" applyBorder="1"/>
    <xf numFmtId="3" fontId="18" fillId="0" borderId="68" xfId="5" applyNumberFormat="1" applyFont="1" applyBorder="1"/>
    <xf numFmtId="0" fontId="18" fillId="3" borderId="30" xfId="5" applyFont="1" applyFill="1" applyBorder="1"/>
    <xf numFmtId="0" fontId="18" fillId="3" borderId="31" xfId="5" applyFont="1" applyFill="1" applyBorder="1"/>
    <xf numFmtId="0" fontId="18" fillId="3" borderId="32" xfId="5" applyFont="1" applyFill="1" applyBorder="1"/>
    <xf numFmtId="10" fontId="16" fillId="8" borderId="33" xfId="8" applyNumberFormat="1" applyFont="1" applyFill="1" applyBorder="1"/>
    <xf numFmtId="0" fontId="20" fillId="0" borderId="0" xfId="9" applyFont="1" applyAlignment="1">
      <alignment horizontal="center"/>
    </xf>
    <xf numFmtId="3" fontId="17" fillId="0" borderId="66" xfId="5" applyNumberFormat="1" applyFont="1" applyFill="1" applyBorder="1"/>
    <xf numFmtId="3" fontId="17" fillId="0" borderId="0" xfId="6" applyNumberFormat="1" applyFont="1" applyFill="1" applyBorder="1"/>
    <xf numFmtId="41" fontId="18" fillId="5" borderId="47" xfId="6" applyNumberFormat="1" applyFont="1" applyFill="1" applyBorder="1"/>
    <xf numFmtId="0" fontId="18" fillId="0" borderId="32" xfId="5" applyFont="1" applyFill="1" applyBorder="1" applyAlignment="1">
      <alignment horizontal="right"/>
    </xf>
    <xf numFmtId="38" fontId="18" fillId="5" borderId="31" xfId="5" applyNumberFormat="1" applyFont="1" applyFill="1" applyBorder="1"/>
    <xf numFmtId="0" fontId="18" fillId="0" borderId="46" xfId="7" applyNumberFormat="1" applyFont="1" applyFill="1" applyBorder="1" applyAlignment="1">
      <alignment vertical="center"/>
    </xf>
    <xf numFmtId="0" fontId="18" fillId="0" borderId="31" xfId="7" applyNumberFormat="1" applyFont="1" applyFill="1" applyBorder="1" applyAlignment="1">
      <alignment vertical="center" wrapText="1"/>
    </xf>
    <xf numFmtId="0" fontId="18" fillId="0" borderId="32" xfId="7" applyNumberFormat="1" applyFont="1" applyFill="1" applyBorder="1" applyAlignment="1">
      <alignment vertical="center" wrapText="1"/>
    </xf>
    <xf numFmtId="38" fontId="18" fillId="0" borderId="57" xfId="5" applyNumberFormat="1" applyFont="1" applyFill="1" applyBorder="1" applyAlignment="1">
      <alignment horizontal="right" vertical="center"/>
    </xf>
    <xf numFmtId="3" fontId="18" fillId="0" borderId="47" xfId="5" applyNumberFormat="1" applyFont="1" applyBorder="1"/>
    <xf numFmtId="3" fontId="18" fillId="5" borderId="33" xfId="5" applyNumberFormat="1" applyFont="1" applyFill="1" applyBorder="1"/>
    <xf numFmtId="0" fontId="18" fillId="2" borderId="30" xfId="5" applyFont="1" applyFill="1" applyBorder="1"/>
    <xf numFmtId="0" fontId="18" fillId="2" borderId="31" xfId="5" applyFont="1" applyFill="1" applyBorder="1"/>
    <xf numFmtId="0" fontId="18" fillId="2" borderId="32" xfId="5" applyFont="1" applyFill="1" applyBorder="1"/>
    <xf numFmtId="10" fontId="16" fillId="2" borderId="33" xfId="8" applyNumberFormat="1" applyFont="1" applyFill="1" applyBorder="1"/>
    <xf numFmtId="3" fontId="17" fillId="0" borderId="0" xfId="8" applyNumberFormat="1" applyFont="1" applyFill="1" applyBorder="1"/>
    <xf numFmtId="171" fontId="18" fillId="0" borderId="46" xfId="7" applyNumberFormat="1" applyFont="1" applyFill="1" applyBorder="1" applyAlignment="1">
      <alignment horizontal="left"/>
    </xf>
    <xf numFmtId="41" fontId="18" fillId="0" borderId="32" xfId="6" applyNumberFormat="1" applyFont="1" applyFill="1" applyBorder="1" applyAlignment="1">
      <alignment horizontal="right"/>
    </xf>
    <xf numFmtId="0" fontId="18" fillId="2" borderId="70" xfId="5" applyFont="1" applyFill="1" applyBorder="1" applyAlignment="1">
      <alignment horizontal="center" vertical="center"/>
    </xf>
    <xf numFmtId="9" fontId="18" fillId="2" borderId="71" xfId="8" applyFont="1" applyFill="1" applyBorder="1" applyAlignment="1">
      <alignment vertical="center"/>
    </xf>
    <xf numFmtId="0" fontId="18" fillId="0" borderId="4" xfId="5" applyFont="1" applyFill="1" applyBorder="1"/>
    <xf numFmtId="3" fontId="18" fillId="0" borderId="66" xfId="5" applyNumberFormat="1" applyFont="1" applyFill="1" applyBorder="1"/>
    <xf numFmtId="0" fontId="18" fillId="0" borderId="68" xfId="5" applyFont="1" applyFill="1" applyBorder="1"/>
    <xf numFmtId="3" fontId="18" fillId="0" borderId="63" xfId="5" applyNumberFormat="1" applyFont="1" applyBorder="1"/>
    <xf numFmtId="10" fontId="18" fillId="2" borderId="31" xfId="5" applyNumberFormat="1" applyFont="1" applyFill="1" applyBorder="1" applyAlignment="1">
      <alignment horizontal="left"/>
    </xf>
    <xf numFmtId="0" fontId="17" fillId="0" borderId="66" xfId="5" applyFont="1" applyFill="1" applyBorder="1"/>
    <xf numFmtId="3" fontId="17" fillId="0" borderId="0" xfId="5" applyNumberFormat="1" applyFont="1" applyFill="1" applyBorder="1"/>
    <xf numFmtId="0" fontId="18" fillId="2" borderId="32" xfId="5" applyFont="1" applyFill="1" applyBorder="1" applyAlignment="1">
      <alignment horizontal="right"/>
    </xf>
    <xf numFmtId="9" fontId="18" fillId="2" borderId="31" xfId="8" applyFont="1" applyFill="1" applyBorder="1"/>
    <xf numFmtId="0" fontId="18" fillId="2" borderId="72" xfId="5" applyFont="1" applyFill="1" applyBorder="1"/>
    <xf numFmtId="9" fontId="18" fillId="2" borderId="50" xfId="8" applyFont="1" applyFill="1" applyBorder="1" applyAlignment="1">
      <alignment vertical="center"/>
    </xf>
    <xf numFmtId="0" fontId="18" fillId="0" borderId="73" xfId="5" applyFont="1" applyFill="1" applyBorder="1"/>
    <xf numFmtId="0" fontId="18" fillId="0" borderId="74" xfId="5" applyFont="1" applyFill="1" applyBorder="1"/>
    <xf numFmtId="0" fontId="18" fillId="0" borderId="75" xfId="5" applyFont="1" applyFill="1" applyBorder="1"/>
    <xf numFmtId="0" fontId="17" fillId="0" borderId="77" xfId="5" applyFont="1" applyFill="1" applyBorder="1"/>
    <xf numFmtId="43" fontId="17" fillId="0" borderId="78" xfId="7" applyNumberFormat="1" applyFont="1" applyFill="1" applyBorder="1"/>
    <xf numFmtId="3" fontId="17" fillId="0" borderId="29" xfId="5" applyNumberFormat="1" applyFont="1" applyFill="1" applyBorder="1"/>
    <xf numFmtId="0" fontId="17" fillId="0" borderId="79" xfId="5" applyFont="1" applyFill="1" applyBorder="1"/>
    <xf numFmtId="3" fontId="17" fillId="0" borderId="75" xfId="5" applyNumberFormat="1" applyFont="1" applyFill="1" applyBorder="1"/>
    <xf numFmtId="41" fontId="18" fillId="0" borderId="80" xfId="6" applyNumberFormat="1" applyFont="1" applyFill="1" applyBorder="1"/>
    <xf numFmtId="0" fontId="18" fillId="0" borderId="29" xfId="5" applyFont="1" applyFill="1" applyBorder="1"/>
    <xf numFmtId="0" fontId="18" fillId="0" borderId="78" xfId="5" applyFont="1" applyFill="1" applyBorder="1" applyAlignment="1">
      <alignment horizontal="right"/>
    </xf>
    <xf numFmtId="9" fontId="21" fillId="0" borderId="29" xfId="8" applyFont="1" applyFill="1" applyBorder="1"/>
    <xf numFmtId="0" fontId="18" fillId="0" borderId="81" xfId="5" applyNumberFormat="1" applyFont="1" applyFill="1" applyBorder="1"/>
    <xf numFmtId="10" fontId="18" fillId="0" borderId="29" xfId="8" applyNumberFormat="1" applyFont="1" applyFill="1" applyBorder="1"/>
    <xf numFmtId="0" fontId="18" fillId="0" borderId="82" xfId="5" applyFont="1" applyBorder="1"/>
    <xf numFmtId="0" fontId="18" fillId="0" borderId="83" xfId="5" applyFont="1" applyBorder="1"/>
    <xf numFmtId="0" fontId="18" fillId="0" borderId="78" xfId="5" applyFont="1" applyFill="1" applyBorder="1"/>
    <xf numFmtId="3" fontId="18" fillId="0" borderId="82" xfId="5" applyNumberFormat="1" applyFont="1" applyBorder="1"/>
    <xf numFmtId="3" fontId="18" fillId="0" borderId="84" xfId="5" applyNumberFormat="1" applyFont="1" applyBorder="1"/>
    <xf numFmtId="3" fontId="18" fillId="0" borderId="29" xfId="5" applyNumberFormat="1" applyFont="1" applyBorder="1"/>
    <xf numFmtId="0" fontId="18" fillId="0" borderId="81" xfId="5" applyFont="1" applyFill="1" applyBorder="1"/>
    <xf numFmtId="3" fontId="18" fillId="0" borderId="78" xfId="5" applyNumberFormat="1" applyFont="1" applyFill="1" applyBorder="1"/>
    <xf numFmtId="0" fontId="18" fillId="0" borderId="84" xfId="5" applyFont="1" applyFill="1" applyBorder="1"/>
    <xf numFmtId="3" fontId="18" fillId="0" borderId="85" xfId="5" applyNumberFormat="1" applyFont="1" applyBorder="1"/>
    <xf numFmtId="0" fontId="18" fillId="0" borderId="0" xfId="5" applyFont="1" applyFill="1"/>
    <xf numFmtId="0" fontId="13" fillId="0" borderId="0" xfId="5" applyFont="1"/>
    <xf numFmtId="0" fontId="13" fillId="0" borderId="86" xfId="5" applyFont="1" applyBorder="1"/>
    <xf numFmtId="41" fontId="12" fillId="0" borderId="0" xfId="5" applyNumberFormat="1" applyFont="1"/>
    <xf numFmtId="0" fontId="12" fillId="0" borderId="86" xfId="5" applyFont="1" applyBorder="1"/>
    <xf numFmtId="38" fontId="12" fillId="0" borderId="0" xfId="5" applyNumberFormat="1" applyFont="1"/>
    <xf numFmtId="38" fontId="12" fillId="0" borderId="0" xfId="5" applyNumberFormat="1" applyFont="1" applyAlignment="1">
      <alignment horizontal="center"/>
    </xf>
    <xf numFmtId="38" fontId="12" fillId="0" borderId="0" xfId="6" applyNumberFormat="1" applyFont="1"/>
    <xf numFmtId="38" fontId="12" fillId="0" borderId="0" xfId="7" applyNumberFormat="1" applyFont="1"/>
    <xf numFmtId="0" fontId="12" fillId="0" borderId="0" xfId="5" applyFont="1" applyFill="1"/>
    <xf numFmtId="0" fontId="12" fillId="0" borderId="0" xfId="5" applyFont="1" applyFill="1" applyAlignment="1">
      <alignment horizontal="center" vertical="center"/>
    </xf>
    <xf numFmtId="0" fontId="12" fillId="0" borderId="87" xfId="5" applyFont="1" applyFill="1" applyBorder="1" applyAlignment="1">
      <alignment horizontal="center" vertical="center"/>
    </xf>
    <xf numFmtId="0" fontId="12" fillId="0" borderId="88" xfId="5" applyFont="1" applyFill="1" applyBorder="1" applyAlignment="1">
      <alignment horizontal="center" vertical="center"/>
    </xf>
    <xf numFmtId="0" fontId="12" fillId="0" borderId="89" xfId="5" applyFont="1" applyFill="1" applyBorder="1" applyAlignment="1">
      <alignment horizontal="center" vertical="center"/>
    </xf>
    <xf numFmtId="0" fontId="22" fillId="0" borderId="95" xfId="5" applyFont="1" applyFill="1" applyBorder="1" applyAlignment="1">
      <alignment horizontal="center" vertical="center"/>
    </xf>
    <xf numFmtId="38" fontId="22" fillId="0" borderId="0" xfId="5" applyNumberFormat="1" applyFont="1" applyFill="1" applyBorder="1" applyAlignment="1">
      <alignment horizontal="left" vertical="center"/>
    </xf>
    <xf numFmtId="38" fontId="12" fillId="0" borderId="0" xfId="5" applyNumberFormat="1" applyFont="1" applyFill="1" applyBorder="1" applyAlignment="1">
      <alignment vertical="center"/>
    </xf>
    <xf numFmtId="38" fontId="12" fillId="0" borderId="0" xfId="7" applyNumberFormat="1" applyFont="1" applyFill="1" applyAlignment="1">
      <alignment horizontal="center" vertical="center"/>
    </xf>
    <xf numFmtId="0" fontId="12" fillId="0" borderId="67" xfId="5" applyFont="1" applyFill="1" applyBorder="1" applyAlignment="1">
      <alignment horizontal="center" vertical="center"/>
    </xf>
    <xf numFmtId="0" fontId="12" fillId="0" borderId="66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 wrapText="1"/>
    </xf>
    <xf numFmtId="0" fontId="12" fillId="0" borderId="106" xfId="5" applyFont="1" applyFill="1" applyBorder="1" applyAlignment="1">
      <alignment horizontal="center" vertical="top"/>
    </xf>
    <xf numFmtId="38" fontId="12" fillId="0" borderId="97" xfId="5" applyNumberFormat="1" applyFont="1" applyFill="1" applyBorder="1" applyAlignment="1">
      <alignment horizontal="center" vertical="top"/>
    </xf>
    <xf numFmtId="38" fontId="12" fillId="0" borderId="97" xfId="7" applyNumberFormat="1" applyFont="1" applyFill="1" applyBorder="1" applyAlignment="1">
      <alignment horizontal="center" vertical="top" wrapText="1"/>
    </xf>
    <xf numFmtId="38" fontId="12" fillId="0" borderId="97" xfId="7" applyNumberFormat="1" applyFont="1" applyFill="1" applyBorder="1" applyAlignment="1">
      <alignment horizontal="center" vertical="top"/>
    </xf>
    <xf numFmtId="0" fontId="12" fillId="0" borderId="0" xfId="5" applyFont="1" applyFill="1" applyAlignment="1">
      <alignment horizontal="center" vertical="top"/>
    </xf>
    <xf numFmtId="0" fontId="12" fillId="0" borderId="0" xfId="5" applyFont="1" applyFill="1" applyBorder="1" applyAlignment="1">
      <alignment horizontal="center" vertical="center"/>
    </xf>
    <xf numFmtId="0" fontId="12" fillId="0" borderId="103" xfId="5" applyFont="1" applyFill="1" applyBorder="1" applyAlignment="1">
      <alignment horizontal="center" vertical="top"/>
    </xf>
    <xf numFmtId="38" fontId="12" fillId="0" borderId="104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horizontal="center" vertical="top"/>
    </xf>
    <xf numFmtId="38" fontId="12" fillId="0" borderId="106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vertical="top"/>
    </xf>
    <xf numFmtId="38" fontId="12" fillId="0" borderId="107" xfId="5" applyNumberFormat="1" applyFont="1" applyFill="1" applyBorder="1" applyAlignment="1">
      <alignment horizontal="center" vertical="top" wrapText="1"/>
    </xf>
    <xf numFmtId="38" fontId="12" fillId="0" borderId="104" xfId="7" applyNumberFormat="1" applyFont="1" applyFill="1" applyBorder="1" applyAlignment="1">
      <alignment horizontal="center" vertical="top"/>
    </xf>
    <xf numFmtId="0" fontId="12" fillId="0" borderId="42" xfId="5" applyFont="1" applyFill="1" applyBorder="1" applyAlignment="1">
      <alignment horizontal="center" vertical="center"/>
    </xf>
    <xf numFmtId="0" fontId="12" fillId="0" borderId="43" xfId="5" applyFont="1" applyFill="1" applyBorder="1" applyAlignment="1">
      <alignment horizontal="center" vertical="center"/>
    </xf>
    <xf numFmtId="0" fontId="12" fillId="0" borderId="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2" fillId="0" borderId="84" xfId="5" applyFont="1" applyFill="1" applyBorder="1" applyAlignment="1">
      <alignment horizontal="center" vertical="center"/>
    </xf>
    <xf numFmtId="0" fontId="12" fillId="0" borderId="113" xfId="5" applyFont="1" applyFill="1" applyBorder="1" applyAlignment="1">
      <alignment horizontal="center" vertical="top"/>
    </xf>
    <xf numFmtId="38" fontId="12" fillId="0" borderId="114" xfId="5" applyNumberFormat="1" applyFont="1" applyFill="1" applyBorder="1" applyAlignment="1">
      <alignment horizontal="center" vertical="top"/>
    </xf>
    <xf numFmtId="38" fontId="12" fillId="0" borderId="111" xfId="5" applyNumberFormat="1" applyFont="1" applyFill="1" applyBorder="1" applyAlignment="1">
      <alignment horizontal="center" vertical="top" wrapText="1"/>
    </xf>
    <xf numFmtId="38" fontId="12" fillId="0" borderId="112" xfId="5" applyNumberFormat="1" applyFont="1" applyFill="1" applyBorder="1" applyAlignment="1">
      <alignment horizontal="center" vertical="top"/>
    </xf>
    <xf numFmtId="38" fontId="12" fillId="0" borderId="82" xfId="5" applyNumberFormat="1" applyFont="1" applyFill="1" applyBorder="1" applyAlignment="1">
      <alignment horizontal="center" vertical="top"/>
    </xf>
    <xf numFmtId="38" fontId="12" fillId="0" borderId="113" xfId="5" applyNumberFormat="1" applyFont="1" applyFill="1" applyBorder="1" applyAlignment="1">
      <alignment horizontal="center" vertical="top"/>
    </xf>
    <xf numFmtId="38" fontId="12" fillId="0" borderId="109" xfId="6" applyNumberFormat="1" applyFont="1" applyFill="1" applyBorder="1" applyAlignment="1">
      <alignment horizontal="center" vertical="top"/>
    </xf>
    <xf numFmtId="38" fontId="12" fillId="0" borderId="114" xfId="7" applyNumberFormat="1" applyFont="1" applyFill="1" applyBorder="1" applyAlignment="1">
      <alignment horizontal="center" vertical="top"/>
    </xf>
    <xf numFmtId="0" fontId="12" fillId="0" borderId="0" xfId="5" applyFont="1" applyAlignment="1">
      <alignment horizontal="center"/>
    </xf>
    <xf numFmtId="0" fontId="13" fillId="0" borderId="100" xfId="5" applyFont="1" applyBorder="1" applyAlignment="1">
      <alignment horizontal="center"/>
    </xf>
    <xf numFmtId="0" fontId="13" fillId="0" borderId="10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13" fillId="0" borderId="66" xfId="5" applyFont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38" fontId="12" fillId="0" borderId="0" xfId="6" applyNumberFormat="1" applyFont="1" applyBorder="1" applyAlignment="1">
      <alignment horizontal="center"/>
    </xf>
    <xf numFmtId="38" fontId="12" fillId="0" borderId="0" xfId="7" applyNumberFormat="1" applyFont="1" applyAlignment="1">
      <alignment horizontal="center"/>
    </xf>
    <xf numFmtId="0" fontId="24" fillId="0" borderId="0" xfId="5" applyFont="1" applyAlignment="1">
      <alignment horizontal="center"/>
    </xf>
    <xf numFmtId="0" fontId="13" fillId="0" borderId="49" xfId="5" applyFont="1" applyBorder="1" applyAlignment="1">
      <alignment horizontal="center"/>
    </xf>
    <xf numFmtId="1" fontId="13" fillId="0" borderId="49" xfId="5" applyNumberFormat="1" applyFont="1" applyBorder="1" applyAlignment="1">
      <alignment horizontal="right"/>
    </xf>
    <xf numFmtId="1" fontId="13" fillId="0" borderId="115" xfId="5" applyNumberFormat="1" applyFont="1" applyBorder="1" applyAlignment="1">
      <alignment horizontal="right"/>
    </xf>
    <xf numFmtId="38" fontId="13" fillId="0" borderId="116" xfId="7" applyNumberFormat="1" applyFont="1" applyBorder="1" applyAlignment="1">
      <alignment horizontal="right"/>
    </xf>
    <xf numFmtId="38" fontId="13" fillId="0" borderId="117" xfId="7" applyNumberFormat="1" applyFont="1" applyBorder="1" applyAlignment="1">
      <alignment horizontal="right"/>
    </xf>
    <xf numFmtId="38" fontId="13" fillId="0" borderId="118" xfId="7" applyNumberFormat="1" applyFont="1" applyBorder="1" applyAlignment="1">
      <alignment horizontal="right"/>
    </xf>
    <xf numFmtId="0" fontId="13" fillId="0" borderId="116" xfId="5" applyFont="1" applyBorder="1" applyAlignment="1">
      <alignment horizontal="center"/>
    </xf>
    <xf numFmtId="0" fontId="13" fillId="0" borderId="117" xfId="5" applyFont="1" applyBorder="1" applyAlignment="1">
      <alignment horizontal="center"/>
    </xf>
    <xf numFmtId="0" fontId="13" fillId="0" borderId="118" xfId="5" applyFont="1" applyBorder="1" applyAlignment="1">
      <alignment horizontal="center"/>
    </xf>
    <xf numFmtId="0" fontId="13" fillId="0" borderId="118" xfId="5" applyFont="1" applyBorder="1" applyAlignment="1">
      <alignment horizontal="right"/>
    </xf>
    <xf numFmtId="38" fontId="13" fillId="0" borderId="119" xfId="5" applyNumberFormat="1" applyFont="1" applyBorder="1" applyAlignment="1">
      <alignment horizontal="right"/>
    </xf>
    <xf numFmtId="0" fontId="13" fillId="0" borderId="120" xfId="5" applyFont="1" applyBorder="1" applyAlignment="1">
      <alignment horizontal="center"/>
    </xf>
    <xf numFmtId="0" fontId="12" fillId="0" borderId="35" xfId="5" applyFont="1" applyFill="1" applyBorder="1" applyAlignment="1">
      <alignment horizontal="center"/>
    </xf>
    <xf numFmtId="0" fontId="12" fillId="0" borderId="117" xfId="5" applyFont="1" applyFill="1" applyBorder="1" applyAlignment="1">
      <alignment horizontal="center"/>
    </xf>
    <xf numFmtId="0" fontId="12" fillId="0" borderId="118" xfId="5" applyFont="1" applyFill="1" applyBorder="1" applyAlignment="1">
      <alignment horizontal="center"/>
    </xf>
    <xf numFmtId="0" fontId="12" fillId="0" borderId="119" xfId="5" applyFont="1" applyFill="1" applyBorder="1" applyAlignment="1">
      <alignment horizontal="center"/>
    </xf>
    <xf numFmtId="38" fontId="13" fillId="0" borderId="119" xfId="7" applyNumberFormat="1" applyFont="1" applyFill="1" applyBorder="1" applyAlignment="1">
      <alignment horizontal="right"/>
    </xf>
    <xf numFmtId="38" fontId="13" fillId="0" borderId="119" xfId="5" applyNumberFormat="1" applyFont="1" applyBorder="1" applyAlignment="1">
      <alignment horizontal="center"/>
    </xf>
    <xf numFmtId="38" fontId="12" fillId="0" borderId="119" xfId="5" applyNumberFormat="1" applyFont="1" applyBorder="1" applyAlignment="1">
      <alignment horizontal="center"/>
    </xf>
    <xf numFmtId="38" fontId="12" fillId="0" borderId="116" xfId="5" applyNumberFormat="1" applyFont="1" applyBorder="1" applyAlignment="1">
      <alignment horizontal="right"/>
    </xf>
    <xf numFmtId="38" fontId="12" fillId="0" borderId="117" xfId="5" applyNumberFormat="1" applyFont="1" applyBorder="1" applyAlignment="1">
      <alignment horizontal="right"/>
    </xf>
    <xf numFmtId="38" fontId="12" fillId="0" borderId="120" xfId="5" applyNumberFormat="1" applyFont="1" applyBorder="1" applyAlignment="1">
      <alignment horizontal="right"/>
    </xf>
    <xf numFmtId="38" fontId="12" fillId="0" borderId="116" xfId="6" applyNumberFormat="1" applyFont="1" applyBorder="1" applyAlignment="1">
      <alignment horizontal="right"/>
    </xf>
    <xf numFmtId="38" fontId="12" fillId="0" borderId="117" xfId="6" applyNumberFormat="1" applyFont="1" applyBorder="1" applyAlignment="1">
      <alignment horizontal="right"/>
    </xf>
    <xf numFmtId="38" fontId="12" fillId="0" borderId="120" xfId="6" applyNumberFormat="1" applyFont="1" applyBorder="1" applyAlignment="1">
      <alignment horizontal="right"/>
    </xf>
    <xf numFmtId="38" fontId="12" fillId="0" borderId="119" xfId="7" applyNumberFormat="1" applyFont="1" applyBorder="1" applyAlignment="1">
      <alignment horizontal="right"/>
    </xf>
    <xf numFmtId="0" fontId="13" fillId="0" borderId="57" xfId="5" applyFont="1" applyBorder="1" applyAlignment="1">
      <alignment horizontal="center"/>
    </xf>
    <xf numFmtId="1" fontId="13" fillId="0" borderId="57" xfId="5" applyNumberFormat="1" applyFont="1" applyBorder="1" applyAlignment="1">
      <alignment horizontal="right"/>
    </xf>
    <xf numFmtId="1" fontId="13" fillId="0" borderId="58" xfId="5" applyNumberFormat="1" applyFont="1" applyBorder="1" applyAlignment="1">
      <alignment horizontal="right"/>
    </xf>
    <xf numFmtId="38" fontId="13" fillId="0" borderId="121" xfId="7" applyNumberFormat="1" applyFont="1" applyBorder="1" applyAlignment="1">
      <alignment horizontal="right"/>
    </xf>
    <xf numFmtId="38" fontId="13" fillId="0" borderId="57" xfId="7" applyNumberFormat="1" applyFont="1" applyBorder="1" applyAlignment="1">
      <alignment horizontal="right"/>
    </xf>
    <xf numFmtId="38" fontId="13" fillId="0" borderId="58" xfId="7" applyNumberFormat="1" applyFont="1" applyBorder="1" applyAlignment="1">
      <alignment horizontal="right"/>
    </xf>
    <xf numFmtId="0" fontId="13" fillId="0" borderId="121" xfId="5" applyFont="1" applyBorder="1" applyAlignment="1">
      <alignment horizontal="center"/>
    </xf>
    <xf numFmtId="0" fontId="13" fillId="0" borderId="58" xfId="5" applyFont="1" applyBorder="1" applyAlignment="1">
      <alignment horizontal="center"/>
    </xf>
    <xf numFmtId="0" fontId="13" fillId="0" borderId="58" xfId="5" applyFont="1" applyBorder="1" applyAlignment="1">
      <alignment horizontal="right"/>
    </xf>
    <xf numFmtId="38" fontId="13" fillId="0" borderId="122" xfId="5" applyNumberFormat="1" applyFont="1" applyBorder="1" applyAlignment="1">
      <alignment horizontal="right"/>
    </xf>
    <xf numFmtId="38" fontId="13" fillId="0" borderId="24" xfId="5" applyNumberFormat="1" applyFont="1" applyBorder="1" applyAlignment="1">
      <alignment horizontal="right"/>
    </xf>
    <xf numFmtId="0" fontId="13" fillId="0" borderId="59" xfId="5" applyFont="1" applyBorder="1" applyAlignment="1">
      <alignment horizontal="center"/>
    </xf>
    <xf numFmtId="0" fontId="12" fillId="0" borderId="32" xfId="5" applyFont="1" applyFill="1" applyBorder="1" applyAlignment="1">
      <alignment horizontal="center"/>
    </xf>
    <xf numFmtId="0" fontId="12" fillId="0" borderId="57" xfId="5" applyFont="1" applyFill="1" applyBorder="1" applyAlignment="1">
      <alignment horizontal="center"/>
    </xf>
    <xf numFmtId="0" fontId="12" fillId="0" borderId="58" xfId="5" applyFont="1" applyFill="1" applyBorder="1" applyAlignment="1">
      <alignment horizontal="center"/>
    </xf>
    <xf numFmtId="0" fontId="12" fillId="0" borderId="122" xfId="5" applyFont="1" applyFill="1" applyBorder="1" applyAlignment="1">
      <alignment horizontal="center"/>
    </xf>
    <xf numFmtId="38" fontId="13" fillId="0" borderId="123" xfId="7" applyNumberFormat="1" applyFont="1" applyFill="1" applyBorder="1" applyAlignment="1">
      <alignment horizontal="right"/>
    </xf>
    <xf numFmtId="38" fontId="13" fillId="0" borderId="122" xfId="5" applyNumberFormat="1" applyFont="1" applyBorder="1" applyAlignment="1">
      <alignment horizontal="center"/>
    </xf>
    <xf numFmtId="38" fontId="12" fillId="0" borderId="122" xfId="5" applyNumberFormat="1" applyFont="1" applyBorder="1" applyAlignment="1">
      <alignment horizontal="center"/>
    </xf>
    <xf numFmtId="38" fontId="12" fillId="0" borderId="121" xfId="5" applyNumberFormat="1" applyFont="1" applyBorder="1" applyAlignment="1">
      <alignment horizontal="right"/>
    </xf>
    <xf numFmtId="38" fontId="12" fillId="0" borderId="57" xfId="5" applyNumberFormat="1" applyFont="1" applyBorder="1" applyAlignment="1">
      <alignment horizontal="right"/>
    </xf>
    <xf numFmtId="38" fontId="12" fillId="0" borderId="59" xfId="5" applyNumberFormat="1" applyFont="1" applyBorder="1" applyAlignment="1">
      <alignment horizontal="right"/>
    </xf>
    <xf numFmtId="38" fontId="12" fillId="0" borderId="121" xfId="6" applyNumberFormat="1" applyFont="1" applyBorder="1" applyAlignment="1">
      <alignment horizontal="right"/>
    </xf>
    <xf numFmtId="38" fontId="12" fillId="0" borderId="57" xfId="6" applyNumberFormat="1" applyFont="1" applyBorder="1" applyAlignment="1">
      <alignment horizontal="right"/>
    </xf>
    <xf numFmtId="38" fontId="12" fillId="0" borderId="59" xfId="6" applyNumberFormat="1" applyFont="1" applyBorder="1" applyAlignment="1">
      <alignment horizontal="right"/>
    </xf>
    <xf numFmtId="38" fontId="12" fillId="0" borderId="122" xfId="7" applyNumberFormat="1" applyFont="1" applyBorder="1" applyAlignment="1">
      <alignment horizontal="right"/>
    </xf>
    <xf numFmtId="38" fontId="12" fillId="0" borderId="49" xfId="7" applyNumberFormat="1" applyFont="1" applyFill="1" applyBorder="1" applyAlignment="1">
      <alignment horizontal="right"/>
    </xf>
    <xf numFmtId="0" fontId="12" fillId="0" borderId="57" xfId="5" applyFont="1" applyFill="1" applyBorder="1" applyAlignment="1">
      <alignment horizontal="right"/>
    </xf>
    <xf numFmtId="38" fontId="12" fillId="0" borderId="33" xfId="7" applyNumberFormat="1" applyFont="1" applyFill="1" applyBorder="1" applyAlignment="1">
      <alignment horizontal="right"/>
    </xf>
    <xf numFmtId="1" fontId="13" fillId="0" borderId="72" xfId="5" applyNumberFormat="1" applyFont="1" applyBorder="1" applyAlignment="1">
      <alignment horizontal="right"/>
    </xf>
    <xf numFmtId="38" fontId="13" fillId="0" borderId="121" xfId="5" applyNumberFormat="1" applyFont="1" applyBorder="1" applyAlignment="1">
      <alignment horizontal="right"/>
    </xf>
    <xf numFmtId="38" fontId="13" fillId="0" borderId="49" xfId="5" applyNumberFormat="1" applyFont="1" applyBorder="1" applyAlignment="1">
      <alignment horizontal="right"/>
    </xf>
    <xf numFmtId="38" fontId="12" fillId="0" borderId="72" xfId="5" applyNumberFormat="1" applyFont="1" applyFill="1" applyBorder="1" applyAlignment="1">
      <alignment horizontal="right"/>
    </xf>
    <xf numFmtId="38" fontId="13" fillId="0" borderId="124" xfId="5" applyNumberFormat="1" applyFont="1" applyBorder="1" applyAlignment="1">
      <alignment horizontal="right"/>
    </xf>
    <xf numFmtId="38" fontId="13" fillId="13" borderId="72" xfId="5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right"/>
    </xf>
    <xf numFmtId="38" fontId="13" fillId="0" borderId="115" xfId="5" applyNumberFormat="1" applyFont="1" applyBorder="1" applyAlignment="1">
      <alignment horizontal="right"/>
    </xf>
    <xf numFmtId="38" fontId="12" fillId="0" borderId="24" xfId="7" applyNumberFormat="1" applyFont="1" applyFill="1" applyBorder="1" applyAlignment="1">
      <alignment horizontal="right"/>
    </xf>
    <xf numFmtId="38" fontId="12" fillId="0" borderId="25" xfId="7" applyNumberFormat="1" applyFont="1" applyFill="1" applyBorder="1" applyAlignment="1">
      <alignment horizontal="right"/>
    </xf>
    <xf numFmtId="38" fontId="12" fillId="0" borderId="123" xfId="7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center"/>
    </xf>
    <xf numFmtId="38" fontId="12" fillId="0" borderId="122" xfId="6" applyNumberFormat="1" applyFont="1" applyBorder="1" applyAlignment="1">
      <alignment horizontal="center"/>
    </xf>
    <xf numFmtId="38" fontId="13" fillId="0" borderId="57" xfId="5" applyNumberFormat="1" applyFont="1" applyBorder="1" applyAlignment="1">
      <alignment horizontal="right"/>
    </xf>
    <xf numFmtId="38" fontId="12" fillId="0" borderId="59" xfId="5" applyNumberFormat="1" applyFont="1" applyFill="1" applyBorder="1" applyAlignment="1">
      <alignment horizontal="right"/>
    </xf>
    <xf numFmtId="38" fontId="13" fillId="0" borderId="57" xfId="10" applyFont="1" applyBorder="1" applyAlignment="1">
      <alignment horizontal="right"/>
    </xf>
    <xf numFmtId="38" fontId="13" fillId="0" borderId="59" xfId="5" applyNumberFormat="1" applyFont="1" applyBorder="1" applyAlignment="1">
      <alignment horizontal="right"/>
    </xf>
    <xf numFmtId="38" fontId="12" fillId="0" borderId="30" xfId="7" applyNumberFormat="1" applyFont="1" applyFill="1" applyBorder="1" applyAlignment="1">
      <alignment horizontal="right"/>
    </xf>
    <xf numFmtId="38" fontId="12" fillId="0" borderId="57" xfId="7" applyNumberFormat="1" applyFont="1" applyFill="1" applyBorder="1" applyAlignment="1">
      <alignment horizontal="right"/>
    </xf>
    <xf numFmtId="38" fontId="12" fillId="0" borderId="32" xfId="7" applyNumberFormat="1" applyFont="1" applyFill="1" applyBorder="1" applyAlignment="1">
      <alignment horizontal="right"/>
    </xf>
    <xf numFmtId="38" fontId="13" fillId="0" borderId="122" xfId="7" applyNumberFormat="1" applyFont="1" applyFill="1" applyBorder="1" applyAlignment="1">
      <alignment horizontal="right"/>
    </xf>
    <xf numFmtId="38" fontId="13" fillId="0" borderId="72" xfId="5" applyNumberFormat="1" applyFont="1" applyBorder="1" applyAlignment="1">
      <alignment horizontal="right"/>
    </xf>
    <xf numFmtId="0" fontId="13" fillId="2" borderId="57" xfId="5" applyFont="1" applyFill="1" applyBorder="1" applyAlignment="1">
      <alignment horizontal="center"/>
    </xf>
    <xf numFmtId="1" fontId="13" fillId="2" borderId="57" xfId="5" applyNumberFormat="1" applyFont="1" applyFill="1" applyBorder="1" applyAlignment="1">
      <alignment horizontal="right"/>
    </xf>
    <xf numFmtId="1" fontId="13" fillId="2" borderId="58" xfId="5" applyNumberFormat="1" applyFont="1" applyFill="1" applyBorder="1" applyAlignment="1">
      <alignment horizontal="right"/>
    </xf>
    <xf numFmtId="38" fontId="13" fillId="2" borderId="121" xfId="5" applyNumberFormat="1" applyFont="1" applyFill="1" applyBorder="1" applyAlignment="1">
      <alignment horizontal="right"/>
    </xf>
    <xf numFmtId="38" fontId="13" fillId="2" borderId="57" xfId="5" applyNumberFormat="1" applyFont="1" applyFill="1" applyBorder="1" applyAlignment="1">
      <alignment horizontal="right"/>
    </xf>
    <xf numFmtId="38" fontId="12" fillId="2" borderId="59" xfId="5" applyNumberFormat="1" applyFont="1" applyFill="1" applyBorder="1" applyAlignment="1">
      <alignment horizontal="right"/>
    </xf>
    <xf numFmtId="38" fontId="13" fillId="2" borderId="124" xfId="5" applyNumberFormat="1" applyFont="1" applyFill="1" applyBorder="1" applyAlignment="1">
      <alignment horizontal="right"/>
    </xf>
    <xf numFmtId="38" fontId="13" fillId="2" borderId="49" xfId="5" applyNumberFormat="1" applyFont="1" applyFill="1" applyBorder="1" applyAlignment="1">
      <alignment horizontal="right"/>
    </xf>
    <xf numFmtId="38" fontId="13" fillId="2" borderId="72" xfId="5" applyNumberFormat="1" applyFont="1" applyFill="1" applyBorder="1" applyAlignment="1">
      <alignment horizontal="right"/>
    </xf>
    <xf numFmtId="170" fontId="13" fillId="2" borderId="123" xfId="5" applyNumberFormat="1" applyFont="1" applyFill="1" applyBorder="1" applyAlignment="1">
      <alignment horizontal="right"/>
    </xf>
    <xf numFmtId="38" fontId="13" fillId="2" borderId="123" xfId="5" applyNumberFormat="1" applyFont="1" applyFill="1" applyBorder="1" applyAlignment="1">
      <alignment horizontal="right"/>
    </xf>
    <xf numFmtId="38" fontId="13" fillId="2" borderId="59" xfId="5" applyNumberFormat="1" applyFont="1" applyFill="1" applyBorder="1" applyAlignment="1">
      <alignment horizontal="right"/>
    </xf>
    <xf numFmtId="38" fontId="12" fillId="2" borderId="30" xfId="7" applyNumberFormat="1" applyFont="1" applyFill="1" applyBorder="1" applyAlignment="1">
      <alignment horizontal="right"/>
    </xf>
    <xf numFmtId="38" fontId="12" fillId="2" borderId="57" xfId="7" applyNumberFormat="1" applyFont="1" applyFill="1" applyBorder="1" applyAlignment="1">
      <alignment horizontal="right"/>
    </xf>
    <xf numFmtId="38" fontId="12" fillId="2" borderId="32" xfId="7" applyNumberFormat="1" applyFont="1" applyFill="1" applyBorder="1" applyAlignment="1">
      <alignment horizontal="right"/>
    </xf>
    <xf numFmtId="38" fontId="12" fillId="2" borderId="33" xfId="7" applyNumberFormat="1" applyFont="1" applyFill="1" applyBorder="1" applyAlignment="1">
      <alignment horizontal="right"/>
    </xf>
    <xf numFmtId="38" fontId="12" fillId="2" borderId="123" xfId="7" applyNumberFormat="1" applyFont="1" applyFill="1" applyBorder="1" applyAlignment="1">
      <alignment horizontal="right"/>
    </xf>
    <xf numFmtId="38" fontId="13" fillId="2" borderId="122" xfId="7" applyNumberFormat="1" applyFont="1" applyFill="1" applyBorder="1" applyAlignment="1">
      <alignment horizontal="right"/>
    </xf>
    <xf numFmtId="38" fontId="13" fillId="2" borderId="122" xfId="5" applyNumberFormat="1" applyFont="1" applyFill="1" applyBorder="1" applyAlignment="1">
      <alignment horizontal="center"/>
    </xf>
    <xf numFmtId="0" fontId="12" fillId="2" borderId="0" xfId="5" applyFont="1" applyFill="1"/>
    <xf numFmtId="38" fontId="12" fillId="2" borderId="122" xfId="6" applyNumberFormat="1" applyFont="1" applyFill="1" applyBorder="1" applyAlignment="1">
      <alignment horizontal="center"/>
    </xf>
    <xf numFmtId="38" fontId="12" fillId="2" borderId="121" xfId="5" applyNumberFormat="1" applyFont="1" applyFill="1" applyBorder="1" applyAlignment="1">
      <alignment horizontal="right"/>
    </xf>
    <xf numFmtId="38" fontId="12" fillId="2" borderId="57" xfId="5" applyNumberFormat="1" applyFont="1" applyFill="1" applyBorder="1" applyAlignment="1">
      <alignment horizontal="right"/>
    </xf>
    <xf numFmtId="38" fontId="12" fillId="2" borderId="121" xfId="6" applyNumberFormat="1" applyFont="1" applyFill="1" applyBorder="1" applyAlignment="1">
      <alignment horizontal="right"/>
    </xf>
    <xf numFmtId="38" fontId="12" fillId="2" borderId="57" xfId="6" applyNumberFormat="1" applyFont="1" applyFill="1" applyBorder="1" applyAlignment="1">
      <alignment horizontal="right"/>
    </xf>
    <xf numFmtId="38" fontId="12" fillId="2" borderId="59" xfId="6" applyNumberFormat="1" applyFont="1" applyFill="1" applyBorder="1" applyAlignment="1">
      <alignment horizontal="right"/>
    </xf>
    <xf numFmtId="38" fontId="12" fillId="2" borderId="122" xfId="7" applyNumberFormat="1" applyFont="1" applyFill="1" applyBorder="1" applyAlignment="1">
      <alignment horizontal="right"/>
    </xf>
    <xf numFmtId="38" fontId="13" fillId="0" borderId="58" xfId="5" applyNumberFormat="1" applyFont="1" applyBorder="1" applyAlignment="1">
      <alignment horizontal="right"/>
    </xf>
    <xf numFmtId="38" fontId="12" fillId="0" borderId="121" xfId="7" applyNumberFormat="1" applyFont="1" applyFill="1" applyBorder="1" applyAlignment="1">
      <alignment horizontal="right"/>
    </xf>
    <xf numFmtId="38" fontId="12" fillId="0" borderId="122" xfId="7" applyNumberFormat="1" applyFont="1" applyFill="1" applyBorder="1" applyAlignment="1">
      <alignment horizontal="right"/>
    </xf>
    <xf numFmtId="38" fontId="13" fillId="0" borderId="125" xfId="5" applyNumberFormat="1" applyFont="1" applyBorder="1" applyAlignment="1">
      <alignment horizontal="right"/>
    </xf>
    <xf numFmtId="38" fontId="13" fillId="0" borderId="126" xfId="5" applyNumberFormat="1" applyFont="1" applyBorder="1" applyAlignment="1">
      <alignment horizontal="right"/>
    </xf>
    <xf numFmtId="38" fontId="12" fillId="0" borderId="127" xfId="5" applyNumberFormat="1" applyFont="1" applyFill="1" applyBorder="1" applyAlignment="1">
      <alignment horizontal="right"/>
    </xf>
    <xf numFmtId="38" fontId="13" fillId="0" borderId="67" xfId="5" applyNumberFormat="1" applyFont="1" applyBorder="1" applyAlignment="1">
      <alignment horizontal="right"/>
    </xf>
    <xf numFmtId="38" fontId="13" fillId="0" borderId="68" xfId="5" applyNumberFormat="1" applyFont="1" applyBorder="1" applyAlignment="1">
      <alignment horizontal="right"/>
    </xf>
    <xf numFmtId="38" fontId="12" fillId="0" borderId="128" xfId="5" applyNumberFormat="1" applyFont="1" applyFill="1" applyBorder="1" applyAlignment="1">
      <alignment horizontal="right"/>
    </xf>
    <xf numFmtId="38" fontId="13" fillId="0" borderId="114" xfId="5" applyNumberFormat="1" applyFont="1" applyBorder="1" applyAlignment="1">
      <alignment horizontal="right"/>
    </xf>
    <xf numFmtId="38" fontId="13" fillId="0" borderId="129" xfId="5" applyNumberFormat="1" applyFont="1" applyBorder="1" applyAlignment="1">
      <alignment horizontal="right"/>
    </xf>
    <xf numFmtId="38" fontId="13" fillId="0" borderId="127" xfId="5" applyNumberFormat="1" applyFont="1" applyBorder="1" applyAlignment="1">
      <alignment horizontal="right"/>
    </xf>
    <xf numFmtId="38" fontId="12" fillId="0" borderId="130" xfId="7" applyNumberFormat="1" applyFont="1" applyFill="1" applyBorder="1" applyAlignment="1">
      <alignment horizontal="right"/>
    </xf>
    <xf numFmtId="38" fontId="12" fillId="0" borderId="129" xfId="7" applyNumberFormat="1" applyFont="1" applyFill="1" applyBorder="1" applyAlignment="1">
      <alignment horizontal="right"/>
    </xf>
    <xf numFmtId="38" fontId="12" fillId="0" borderId="75" xfId="7" applyNumberFormat="1" applyFont="1" applyFill="1" applyBorder="1" applyAlignment="1">
      <alignment horizontal="right"/>
    </xf>
    <xf numFmtId="38" fontId="12" fillId="0" borderId="76" xfId="7" applyNumberFormat="1" applyFont="1" applyFill="1" applyBorder="1" applyAlignment="1">
      <alignment horizontal="right"/>
    </xf>
    <xf numFmtId="38" fontId="12" fillId="0" borderId="131" xfId="7" applyNumberFormat="1" applyFont="1" applyFill="1" applyBorder="1" applyAlignment="1">
      <alignment horizontal="right"/>
    </xf>
    <xf numFmtId="38" fontId="13" fillId="0" borderId="131" xfId="7" applyNumberFormat="1" applyFont="1" applyFill="1" applyBorder="1" applyAlignment="1">
      <alignment horizontal="right"/>
    </xf>
    <xf numFmtId="38" fontId="12" fillId="0" borderId="132" xfId="6" applyNumberFormat="1" applyFont="1" applyBorder="1" applyAlignment="1">
      <alignment horizontal="center"/>
    </xf>
    <xf numFmtId="38" fontId="12" fillId="0" borderId="125" xfId="5" applyNumberFormat="1" applyFont="1" applyBorder="1" applyAlignment="1">
      <alignment horizontal="right"/>
    </xf>
    <xf numFmtId="38" fontId="12" fillId="0" borderId="126" xfId="5" applyNumberFormat="1" applyFont="1" applyBorder="1" applyAlignment="1">
      <alignment horizontal="right"/>
    </xf>
    <xf numFmtId="38" fontId="12" fillId="0" borderId="133" xfId="5" applyNumberFormat="1" applyFont="1" applyBorder="1" applyAlignment="1">
      <alignment horizontal="right"/>
    </xf>
    <xf numFmtId="38" fontId="12" fillId="0" borderId="125" xfId="6" applyNumberFormat="1" applyFont="1" applyBorder="1" applyAlignment="1">
      <alignment horizontal="right"/>
    </xf>
    <xf numFmtId="38" fontId="12" fillId="0" borderId="126" xfId="6" applyNumberFormat="1" applyFont="1" applyBorder="1" applyAlignment="1">
      <alignment horizontal="right"/>
    </xf>
    <xf numFmtId="38" fontId="12" fillId="0" borderId="133" xfId="6" applyNumberFormat="1" applyFont="1" applyBorder="1" applyAlignment="1">
      <alignment horizontal="right"/>
    </xf>
    <xf numFmtId="38" fontId="12" fillId="0" borderId="132" xfId="7" applyNumberFormat="1" applyFont="1" applyBorder="1" applyAlignment="1">
      <alignment horizontal="right"/>
    </xf>
    <xf numFmtId="0" fontId="17" fillId="0" borderId="18" xfId="5" applyFont="1" applyBorder="1" applyAlignment="1">
      <alignment vertical="center"/>
    </xf>
    <xf numFmtId="1" fontId="17" fillId="0" borderId="18" xfId="5" applyNumberFormat="1" applyFont="1" applyBorder="1" applyAlignment="1">
      <alignment horizontal="right" vertical="center"/>
    </xf>
    <xf numFmtId="0" fontId="17" fillId="0" borderId="100" xfId="5" applyFont="1" applyBorder="1" applyAlignment="1">
      <alignment horizontal="right" vertical="center"/>
    </xf>
    <xf numFmtId="38" fontId="17" fillId="0" borderId="134" xfId="5" applyNumberFormat="1" applyFont="1" applyBorder="1" applyAlignment="1">
      <alignment horizontal="right" vertical="center"/>
    </xf>
    <xf numFmtId="38" fontId="17" fillId="0" borderId="135" xfId="5" applyNumberFormat="1" applyFont="1" applyBorder="1" applyAlignment="1">
      <alignment horizontal="right" vertical="center"/>
    </xf>
    <xf numFmtId="38" fontId="17" fillId="2" borderId="135" xfId="5" applyNumberFormat="1" applyFont="1" applyFill="1" applyBorder="1" applyAlignment="1">
      <alignment horizontal="right" vertical="center"/>
    </xf>
    <xf numFmtId="38" fontId="17" fillId="13" borderId="135" xfId="5" applyNumberFormat="1" applyFont="1" applyFill="1" applyBorder="1" applyAlignment="1">
      <alignment horizontal="right" vertical="center"/>
    </xf>
    <xf numFmtId="37" fontId="23" fillId="9" borderId="136" xfId="5" applyNumberFormat="1" applyFont="1" applyFill="1" applyBorder="1" applyAlignment="1">
      <alignment vertical="center"/>
    </xf>
    <xf numFmtId="38" fontId="17" fillId="0" borderId="134" xfId="5" applyNumberFormat="1" applyFont="1" applyBorder="1" applyAlignment="1">
      <alignment vertical="center"/>
    </xf>
    <xf numFmtId="38" fontId="17" fillId="0" borderId="135" xfId="5" applyNumberFormat="1" applyFont="1" applyBorder="1" applyAlignment="1">
      <alignment vertical="center"/>
    </xf>
    <xf numFmtId="38" fontId="17" fillId="0" borderId="84" xfId="5" applyNumberFormat="1" applyFont="1" applyBorder="1" applyAlignment="1">
      <alignment vertical="center"/>
    </xf>
    <xf numFmtId="38" fontId="23" fillId="10" borderId="137" xfId="5" applyNumberFormat="1" applyFont="1" applyFill="1" applyBorder="1" applyAlignment="1">
      <alignment vertical="center"/>
    </xf>
    <xf numFmtId="37" fontId="23" fillId="11" borderId="138" xfId="5" applyNumberFormat="1" applyFont="1" applyFill="1" applyBorder="1" applyAlignment="1">
      <alignment vertical="center"/>
    </xf>
    <xf numFmtId="37" fontId="17" fillId="12" borderId="138" xfId="5" applyNumberFormat="1" applyFont="1" applyFill="1" applyBorder="1" applyAlignment="1">
      <alignment vertical="center"/>
    </xf>
    <xf numFmtId="38" fontId="18" fillId="14" borderId="134" xfId="5" applyNumberFormat="1" applyFont="1" applyFill="1" applyBorder="1" applyAlignment="1">
      <alignment horizontal="right" vertical="center"/>
    </xf>
    <xf numFmtId="38" fontId="18" fillId="14" borderId="135" xfId="5" applyNumberFormat="1" applyFont="1" applyFill="1" applyBorder="1" applyAlignment="1">
      <alignment horizontal="right" vertical="center"/>
    </xf>
    <xf numFmtId="38" fontId="18" fillId="14" borderId="136" xfId="5" applyNumberFormat="1" applyFont="1" applyFill="1" applyBorder="1" applyAlignment="1">
      <alignment horizontal="right" vertical="center"/>
    </xf>
    <xf numFmtId="38" fontId="18" fillId="0" borderId="134" xfId="5" applyNumberFormat="1" applyFont="1" applyFill="1" applyBorder="1" applyAlignment="1">
      <alignment horizontal="right" vertical="center"/>
    </xf>
    <xf numFmtId="38" fontId="18" fillId="0" borderId="135" xfId="5" applyNumberFormat="1" applyFont="1" applyFill="1" applyBorder="1" applyAlignment="1">
      <alignment horizontal="right" vertical="center"/>
    </xf>
    <xf numFmtId="38" fontId="18" fillId="15" borderId="135" xfId="5" applyNumberFormat="1" applyFont="1" applyFill="1" applyBorder="1" applyAlignment="1">
      <alignment horizontal="right" vertical="center"/>
    </xf>
    <xf numFmtId="38" fontId="18" fillId="0" borderId="136" xfId="5" applyNumberFormat="1" applyFont="1" applyFill="1" applyBorder="1" applyAlignment="1">
      <alignment horizontal="right" vertical="center"/>
    </xf>
    <xf numFmtId="38" fontId="18" fillId="16" borderId="139" xfId="5" applyNumberFormat="1" applyFont="1" applyFill="1" applyBorder="1" applyAlignment="1">
      <alignment horizontal="right" vertical="center"/>
    </xf>
    <xf numFmtId="38" fontId="23" fillId="11" borderId="139" xfId="5" applyNumberFormat="1" applyFont="1" applyFill="1" applyBorder="1" applyAlignment="1">
      <alignment horizontal="right" vertical="center"/>
    </xf>
    <xf numFmtId="38" fontId="23" fillId="17" borderId="139" xfId="5" applyNumberFormat="1" applyFont="1" applyFill="1" applyBorder="1" applyAlignment="1">
      <alignment horizontal="right" vertical="center"/>
    </xf>
    <xf numFmtId="38" fontId="17" fillId="0" borderId="139" xfId="5" applyNumberFormat="1" applyFont="1" applyBorder="1" applyAlignment="1">
      <alignment vertical="center"/>
    </xf>
    <xf numFmtId="0" fontId="18" fillId="0" borderId="0" xfId="5" applyFont="1" applyAlignment="1">
      <alignment vertical="center"/>
    </xf>
    <xf numFmtId="38" fontId="18" fillId="0" borderId="138" xfId="5" applyNumberFormat="1" applyFont="1" applyBorder="1" applyAlignment="1">
      <alignment horizontal="center" vertical="center"/>
    </xf>
    <xf numFmtId="38" fontId="18" fillId="0" borderId="134" xfId="6" applyNumberFormat="1" applyFont="1" applyBorder="1" applyAlignment="1">
      <alignment vertical="center"/>
    </xf>
    <xf numFmtId="38" fontId="18" fillId="0" borderId="135" xfId="6" applyNumberFormat="1" applyFont="1" applyBorder="1" applyAlignment="1">
      <alignment vertical="center"/>
    </xf>
    <xf numFmtId="38" fontId="18" fillId="0" borderId="136" xfId="6" applyNumberFormat="1" applyFont="1" applyBorder="1" applyAlignment="1">
      <alignment vertical="center"/>
    </xf>
    <xf numFmtId="38" fontId="18" fillId="0" borderId="138" xfId="6" applyNumberFormat="1" applyFont="1" applyBorder="1" applyAlignment="1">
      <alignment vertical="center"/>
    </xf>
    <xf numFmtId="0" fontId="17" fillId="0" borderId="0" xfId="5" applyFont="1" applyAlignment="1">
      <alignment horizontal="center" vertical="center"/>
    </xf>
    <xf numFmtId="1" fontId="17" fillId="0" borderId="0" xfId="5" applyNumberFormat="1" applyFont="1" applyBorder="1" applyAlignment="1">
      <alignment horizontal="center" vertical="center"/>
    </xf>
    <xf numFmtId="38" fontId="17" fillId="0" borderId="0" xfId="5" applyNumberFormat="1" applyFont="1" applyAlignment="1">
      <alignment horizontal="center" vertical="center"/>
    </xf>
    <xf numFmtId="38" fontId="18" fillId="0" borderId="0" xfId="5" applyNumberFormat="1" applyFont="1" applyFill="1" applyBorder="1" applyAlignment="1">
      <alignment horizontal="right" vertical="center"/>
    </xf>
    <xf numFmtId="38" fontId="17" fillId="0" borderId="0" xfId="7" applyNumberFormat="1" applyFont="1" applyBorder="1" applyAlignment="1">
      <alignment horizontal="center" vertical="center"/>
    </xf>
    <xf numFmtId="0" fontId="18" fillId="0" borderId="0" xfId="5" applyFont="1" applyAlignment="1">
      <alignment horizontal="center" vertical="center"/>
    </xf>
    <xf numFmtId="38" fontId="18" fillId="0" borderId="0" xfId="5" applyNumberFormat="1" applyFont="1" applyAlignment="1">
      <alignment horizontal="center" vertical="center"/>
    </xf>
    <xf numFmtId="38" fontId="18" fillId="0" borderId="0" xfId="5" applyNumberFormat="1" applyFont="1" applyBorder="1" applyAlignment="1">
      <alignment horizontal="center" vertical="center"/>
    </xf>
    <xf numFmtId="38" fontId="18" fillId="0" borderId="0" xfId="6" applyNumberFormat="1" applyFont="1" applyBorder="1" applyAlignment="1">
      <alignment horizontal="center" vertical="center"/>
    </xf>
    <xf numFmtId="38" fontId="18" fillId="0" borderId="0" xfId="7" applyNumberFormat="1" applyFont="1" applyAlignment="1">
      <alignment horizontal="center" vertical="center"/>
    </xf>
    <xf numFmtId="0" fontId="27" fillId="0" borderId="0" xfId="5" applyFont="1" applyAlignment="1">
      <alignment vertical="center"/>
    </xf>
    <xf numFmtId="1" fontId="13" fillId="0" borderId="0" xfId="5" applyNumberFormat="1" applyFont="1" applyBorder="1" applyAlignment="1">
      <alignment horizontal="center" vertical="center"/>
    </xf>
    <xf numFmtId="38" fontId="13" fillId="0" borderId="0" xfId="5" applyNumberFormat="1" applyFont="1" applyAlignment="1">
      <alignment vertical="center"/>
    </xf>
    <xf numFmtId="38" fontId="13" fillId="0" borderId="0" xfId="5" applyNumberFormat="1" applyFont="1"/>
    <xf numFmtId="38" fontId="12" fillId="0" borderId="0" xfId="5" applyNumberFormat="1" applyFont="1" applyFill="1"/>
    <xf numFmtId="38" fontId="12" fillId="0" borderId="0" xfId="5" applyNumberFormat="1" applyFont="1" applyBorder="1"/>
    <xf numFmtId="38" fontId="12" fillId="0" borderId="0" xfId="6" applyNumberFormat="1" applyFont="1" applyBorder="1"/>
    <xf numFmtId="0" fontId="13" fillId="6" borderId="18" xfId="5" applyFont="1" applyFill="1" applyBorder="1" applyAlignment="1">
      <alignment horizontal="center" vertical="center"/>
    </xf>
    <xf numFmtId="38" fontId="13" fillId="6" borderId="18" xfId="5" applyNumberFormat="1" applyFont="1" applyFill="1" applyBorder="1" applyAlignment="1">
      <alignment horizontal="center" vertical="center"/>
    </xf>
    <xf numFmtId="38" fontId="13" fillId="0" borderId="0" xfId="5" applyNumberFormat="1" applyFont="1" applyAlignment="1">
      <alignment horizontal="center" vertical="center"/>
    </xf>
    <xf numFmtId="38" fontId="12" fillId="0" borderId="0" xfId="7" applyNumberFormat="1" applyFont="1" applyFill="1" applyBorder="1" applyAlignment="1">
      <alignment horizontal="center"/>
    </xf>
    <xf numFmtId="38" fontId="13" fillId="0" borderId="0" xfId="5" applyNumberFormat="1" applyFont="1" applyBorder="1" applyAlignment="1">
      <alignment horizontal="center"/>
    </xf>
    <xf numFmtId="0" fontId="13" fillId="0" borderId="87" xfId="5" applyFont="1" applyFill="1" applyBorder="1" applyAlignment="1">
      <alignment horizontal="right" vertical="center"/>
    </xf>
    <xf numFmtId="1" fontId="13" fillId="0" borderId="12" xfId="5" applyNumberFormat="1" applyFont="1" applyFill="1" applyBorder="1" applyAlignment="1">
      <alignment horizontal="left" vertical="center"/>
    </xf>
    <xf numFmtId="1" fontId="13" fillId="0" borderId="12" xfId="5" applyNumberFormat="1" applyFont="1" applyFill="1" applyBorder="1" applyAlignment="1">
      <alignment horizontal="center" vertical="center"/>
    </xf>
    <xf numFmtId="1" fontId="13" fillId="0" borderId="88" xfId="5" applyNumberFormat="1" applyFont="1" applyFill="1" applyBorder="1" applyAlignment="1">
      <alignment horizontal="center" vertical="center"/>
    </xf>
    <xf numFmtId="38" fontId="13" fillId="0" borderId="87" xfId="5" applyNumberFormat="1" applyFont="1" applyFill="1" applyBorder="1" applyAlignment="1">
      <alignment horizontal="center" vertical="center"/>
    </xf>
    <xf numFmtId="38" fontId="13" fillId="0" borderId="0" xfId="5" applyNumberFormat="1" applyFont="1" applyFill="1" applyAlignment="1">
      <alignment horizontal="center" vertical="center"/>
    </xf>
    <xf numFmtId="0" fontId="13" fillId="0" borderId="67" xfId="5" applyFont="1" applyBorder="1" applyAlignment="1">
      <alignment horizontal="right" vertical="center"/>
    </xf>
    <xf numFmtId="1" fontId="13" fillId="0" borderId="0" xfId="5" applyNumberFormat="1" applyFont="1" applyBorder="1" applyAlignment="1">
      <alignment horizontal="left" vertical="center"/>
    </xf>
    <xf numFmtId="0" fontId="13" fillId="0" borderId="0" xfId="5" applyFont="1" applyBorder="1" applyAlignment="1">
      <alignment vertical="center"/>
    </xf>
    <xf numFmtId="38" fontId="13" fillId="0" borderId="0" xfId="5" applyNumberFormat="1" applyFont="1" applyBorder="1" applyAlignment="1">
      <alignment vertical="center"/>
    </xf>
    <xf numFmtId="38" fontId="13" fillId="0" borderId="66" xfId="5" applyNumberFormat="1" applyFont="1" applyBorder="1" applyAlignment="1">
      <alignment vertical="center"/>
    </xf>
    <xf numFmtId="38" fontId="13" fillId="0" borderId="67" xfId="5" applyNumberFormat="1" applyFont="1" applyBorder="1" applyAlignment="1">
      <alignment vertical="center"/>
    </xf>
    <xf numFmtId="38" fontId="13" fillId="18" borderId="67" xfId="5" applyNumberFormat="1" applyFont="1" applyFill="1" applyBorder="1" applyAlignment="1">
      <alignment vertical="center"/>
    </xf>
    <xf numFmtId="0" fontId="13" fillId="0" borderId="67" xfId="5" applyFont="1" applyBorder="1" applyAlignment="1">
      <alignment vertical="center"/>
    </xf>
    <xf numFmtId="38" fontId="13" fillId="2" borderId="67" xfId="5" applyNumberFormat="1" applyFont="1" applyFill="1" applyBorder="1" applyAlignment="1">
      <alignment vertical="center"/>
    </xf>
    <xf numFmtId="0" fontId="12" fillId="0" borderId="42" xfId="5" applyFont="1" applyBorder="1" applyAlignment="1">
      <alignment vertical="center"/>
    </xf>
    <xf numFmtId="0" fontId="12" fillId="0" borderId="100" xfId="5" applyFont="1" applyBorder="1" applyAlignment="1">
      <alignment vertical="center"/>
    </xf>
    <xf numFmtId="0" fontId="12" fillId="0" borderId="10" xfId="5" applyFont="1" applyBorder="1" applyAlignment="1">
      <alignment vertical="center"/>
    </xf>
    <xf numFmtId="38" fontId="12" fillId="0" borderId="10" xfId="5" applyNumberFormat="1" applyFont="1" applyBorder="1" applyAlignment="1">
      <alignment vertical="center"/>
    </xf>
    <xf numFmtId="38" fontId="12" fillId="0" borderId="101" xfId="5" applyNumberFormat="1" applyFont="1" applyBorder="1" applyAlignment="1">
      <alignment vertical="center"/>
    </xf>
    <xf numFmtId="38" fontId="12" fillId="0" borderId="18" xfId="5" applyNumberFormat="1" applyFont="1" applyBorder="1" applyAlignment="1">
      <alignment vertical="center"/>
    </xf>
    <xf numFmtId="0" fontId="12" fillId="0" borderId="87" xfId="5" applyFont="1" applyBorder="1" applyAlignment="1">
      <alignment horizontal="right" vertical="center"/>
    </xf>
    <xf numFmtId="0" fontId="12" fillId="0" borderId="89" xfId="5" applyFont="1" applyBorder="1" applyAlignment="1">
      <alignment vertical="center"/>
    </xf>
    <xf numFmtId="0" fontId="12" fillId="0" borderId="12" xfId="5" applyFont="1" applyBorder="1" applyAlignment="1">
      <alignment vertical="center"/>
    </xf>
    <xf numFmtId="38" fontId="12" fillId="0" borderId="12" xfId="5" applyNumberFormat="1" applyFont="1" applyBorder="1" applyAlignment="1">
      <alignment vertical="center"/>
    </xf>
    <xf numFmtId="38" fontId="12" fillId="0" borderId="88" xfId="5" applyNumberFormat="1" applyFont="1" applyBorder="1" applyAlignment="1">
      <alignment vertical="center"/>
    </xf>
    <xf numFmtId="0" fontId="12" fillId="0" borderId="67" xfId="5" applyFont="1" applyBorder="1" applyAlignment="1">
      <alignment vertical="center"/>
    </xf>
    <xf numFmtId="0" fontId="12" fillId="0" borderId="68" xfId="5" applyFont="1" applyBorder="1" applyAlignment="1">
      <alignment vertical="center"/>
    </xf>
    <xf numFmtId="38" fontId="12" fillId="0" borderId="66" xfId="5" applyNumberFormat="1" applyFont="1" applyBorder="1" applyAlignment="1">
      <alignment vertical="center"/>
    </xf>
    <xf numFmtId="38" fontId="12" fillId="2" borderId="66" xfId="5" applyNumberFormat="1" applyFont="1" applyFill="1" applyBorder="1" applyAlignment="1">
      <alignment vertical="center"/>
    </xf>
    <xf numFmtId="0" fontId="12" fillId="0" borderId="66" xfId="5" applyFont="1" applyBorder="1" applyAlignment="1">
      <alignment vertical="center"/>
    </xf>
    <xf numFmtId="0" fontId="28" fillId="0" borderId="68" xfId="5" applyFont="1" applyBorder="1" applyAlignment="1">
      <alignment vertical="center"/>
    </xf>
    <xf numFmtId="0" fontId="29" fillId="0" borderId="0" xfId="5" applyFont="1" applyBorder="1" applyAlignment="1">
      <alignment vertical="center"/>
    </xf>
    <xf numFmtId="0" fontId="29" fillId="0" borderId="66" xfId="5" applyFont="1" applyBorder="1" applyAlignment="1">
      <alignment vertical="center"/>
    </xf>
    <xf numFmtId="38" fontId="29" fillId="0" borderId="66" xfId="5" applyNumberFormat="1" applyFont="1" applyBorder="1" applyAlignment="1">
      <alignment vertical="center"/>
    </xf>
    <xf numFmtId="0" fontId="30" fillId="0" borderId="68" xfId="5" applyFont="1" applyBorder="1" applyAlignment="1">
      <alignment vertical="center"/>
    </xf>
    <xf numFmtId="38" fontId="30" fillId="0" borderId="66" xfId="5" applyNumberFormat="1" applyFont="1" applyBorder="1" applyAlignment="1">
      <alignment vertical="center"/>
    </xf>
    <xf numFmtId="38" fontId="12" fillId="18" borderId="66" xfId="5" applyNumberFormat="1" applyFont="1" applyFill="1" applyBorder="1" applyAlignment="1">
      <alignment vertical="center"/>
    </xf>
    <xf numFmtId="0" fontId="12" fillId="0" borderId="101" xfId="5" applyFont="1" applyBorder="1" applyAlignment="1">
      <alignment vertical="center"/>
    </xf>
    <xf numFmtId="0" fontId="12" fillId="0" borderId="18" xfId="5" applyFont="1" applyBorder="1" applyAlignment="1">
      <alignment horizontal="right" vertical="center"/>
    </xf>
    <xf numFmtId="169" fontId="16" fillId="0" borderId="76" xfId="5" applyNumberFormat="1" applyFont="1" applyFill="1" applyBorder="1"/>
    <xf numFmtId="0" fontId="57" fillId="42" borderId="0" xfId="68" applyFont="1" applyFill="1" applyAlignment="1">
      <alignment vertical="center"/>
    </xf>
    <xf numFmtId="0" fontId="58" fillId="0" borderId="0" xfId="68" applyFont="1" applyAlignment="1">
      <alignment vertical="center"/>
    </xf>
    <xf numFmtId="0" fontId="59" fillId="43" borderId="149" xfId="68" applyFont="1" applyFill="1" applyBorder="1" applyAlignment="1">
      <alignment vertical="center"/>
    </xf>
    <xf numFmtId="0" fontId="59" fillId="43" borderId="150" xfId="68" applyFont="1" applyFill="1" applyBorder="1" applyAlignment="1">
      <alignment vertical="center"/>
    </xf>
    <xf numFmtId="0" fontId="59" fillId="43" borderId="151" xfId="68" applyFont="1" applyFill="1" applyBorder="1" applyAlignment="1">
      <alignment vertical="center"/>
    </xf>
    <xf numFmtId="0" fontId="60" fillId="44" borderId="152" xfId="68" applyFont="1" applyFill="1" applyBorder="1" applyAlignment="1">
      <alignment horizontal="center" vertical="center"/>
    </xf>
    <xf numFmtId="0" fontId="57" fillId="42" borderId="0" xfId="68" applyFont="1" applyFill="1" applyAlignment="1">
      <alignment horizontal="center" vertical="center"/>
    </xf>
    <xf numFmtId="0" fontId="61" fillId="0" borderId="0" xfId="68" applyFont="1" applyAlignment="1">
      <alignment vertical="center"/>
    </xf>
    <xf numFmtId="0" fontId="60" fillId="44" borderId="152" xfId="68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 applyProtection="1">
      <alignment horizontal="center" vertical="center"/>
      <protection locked="0"/>
    </xf>
    <xf numFmtId="9" fontId="60" fillId="44" borderId="152" xfId="68" applyNumberFormat="1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>
      <alignment horizontal="center" vertical="center"/>
    </xf>
    <xf numFmtId="0" fontId="62" fillId="0" borderId="0" xfId="68" applyFont="1" applyAlignment="1">
      <alignment vertical="center"/>
    </xf>
    <xf numFmtId="0" fontId="57" fillId="42" borderId="0" xfId="68" applyFont="1" applyFill="1" applyBorder="1" applyAlignment="1">
      <alignment horizontal="center" vertical="center"/>
    </xf>
    <xf numFmtId="10" fontId="57" fillId="42" borderId="0" xfId="68" applyNumberFormat="1" applyFont="1" applyFill="1" applyBorder="1" applyAlignment="1">
      <alignment horizontal="center" vertical="center"/>
    </xf>
    <xf numFmtId="9" fontId="57" fillId="42" borderId="0" xfId="68" applyNumberFormat="1" applyFont="1" applyFill="1" applyBorder="1" applyAlignment="1">
      <alignment horizontal="center" vertical="center"/>
    </xf>
    <xf numFmtId="0" fontId="63" fillId="45" borderId="153" xfId="68" applyFont="1" applyFill="1" applyBorder="1" applyAlignment="1">
      <alignment vertical="center"/>
    </xf>
    <xf numFmtId="0" fontId="63" fillId="45" borderId="154" xfId="68" applyFont="1" applyFill="1" applyBorder="1" applyAlignment="1">
      <alignment vertical="center"/>
    </xf>
    <xf numFmtId="0" fontId="63" fillId="45" borderId="155" xfId="68" applyFont="1" applyFill="1" applyBorder="1" applyAlignment="1">
      <alignment vertical="center"/>
    </xf>
    <xf numFmtId="0" fontId="64" fillId="0" borderId="0" xfId="68" applyFont="1" applyAlignment="1">
      <alignment vertical="center"/>
    </xf>
    <xf numFmtId="0" fontId="60" fillId="46" borderId="156" xfId="68" applyFont="1" applyFill="1" applyBorder="1" applyAlignment="1">
      <alignment horizontal="center" vertical="center"/>
    </xf>
    <xf numFmtId="0" fontId="60" fillId="46" borderId="156" xfId="68" applyFont="1" applyFill="1" applyBorder="1" applyAlignment="1" applyProtection="1">
      <alignment horizontal="center" vertical="center"/>
      <protection locked="0"/>
    </xf>
    <xf numFmtId="169" fontId="60" fillId="46" borderId="156" xfId="68" applyNumberFormat="1" applyFont="1" applyFill="1" applyBorder="1" applyAlignment="1" applyProtection="1">
      <alignment horizontal="center" vertical="center"/>
      <protection locked="0"/>
    </xf>
    <xf numFmtId="9" fontId="60" fillId="46" borderId="156" xfId="68" applyNumberFormat="1" applyFont="1" applyFill="1" applyBorder="1" applyAlignment="1" applyProtection="1">
      <alignment horizontal="center" vertical="center"/>
      <protection locked="0"/>
    </xf>
    <xf numFmtId="169" fontId="60" fillId="46" borderId="156" xfId="69" applyNumberFormat="1" applyFont="1" applyFill="1" applyBorder="1" applyAlignment="1">
      <alignment horizontal="center" vertical="center"/>
    </xf>
    <xf numFmtId="172" fontId="12" fillId="0" borderId="0" xfId="5" applyNumberFormat="1" applyFont="1" applyAlignment="1">
      <alignment vertical="center"/>
    </xf>
    <xf numFmtId="0" fontId="65" fillId="46" borderId="18" xfId="0" applyFont="1" applyFill="1" applyBorder="1" applyProtection="1"/>
    <xf numFmtId="0" fontId="65" fillId="46" borderId="101" xfId="0" applyFont="1" applyFill="1" applyBorder="1" applyProtection="1"/>
    <xf numFmtId="10" fontId="65" fillId="47" borderId="101" xfId="0" applyNumberFormat="1" applyFont="1" applyFill="1" applyBorder="1" applyAlignment="1" applyProtection="1">
      <alignment horizontal="right"/>
    </xf>
    <xf numFmtId="169" fontId="65" fillId="47" borderId="101" xfId="0" applyNumberFormat="1" applyFont="1" applyFill="1" applyBorder="1" applyAlignment="1" applyProtection="1">
      <alignment horizontal="right"/>
    </xf>
    <xf numFmtId="0" fontId="65" fillId="0" borderId="0" xfId="0" applyFont="1" applyProtection="1">
      <protection locked="0"/>
    </xf>
    <xf numFmtId="41" fontId="65" fillId="46" borderId="42" xfId="0" applyNumberFormat="1" applyFont="1" applyFill="1" applyBorder="1" applyProtection="1"/>
    <xf numFmtId="41" fontId="65" fillId="46" borderId="43" xfId="0" applyNumberFormat="1" applyFont="1" applyFill="1" applyBorder="1" applyProtection="1"/>
    <xf numFmtId="171" fontId="65" fillId="48" borderId="43" xfId="1" applyNumberFormat="1" applyFont="1" applyFill="1" applyBorder="1" applyAlignment="1" applyProtection="1">
      <alignment horizontal="right"/>
    </xf>
    <xf numFmtId="41" fontId="65" fillId="0" borderId="43" xfId="0" applyNumberFormat="1" applyFont="1" applyBorder="1" applyAlignment="1" applyProtection="1">
      <alignment horizontal="right"/>
      <protection locked="0"/>
    </xf>
    <xf numFmtId="10" fontId="65" fillId="0" borderId="43" xfId="0" applyNumberFormat="1" applyFont="1" applyBorder="1" applyAlignment="1" applyProtection="1">
      <alignment horizontal="right"/>
      <protection locked="0"/>
    </xf>
    <xf numFmtId="10" fontId="65" fillId="48" borderId="43" xfId="0" applyNumberFormat="1" applyFont="1" applyFill="1" applyBorder="1" applyAlignment="1" applyProtection="1">
      <alignment horizontal="right"/>
    </xf>
    <xf numFmtId="169" fontId="65" fillId="0" borderId="43" xfId="0" applyNumberFormat="1" applyFont="1" applyBorder="1" applyAlignment="1" applyProtection="1">
      <alignment horizontal="right"/>
      <protection locked="0"/>
    </xf>
    <xf numFmtId="3" fontId="65" fillId="48" borderId="43" xfId="0" applyNumberFormat="1" applyFont="1" applyFill="1" applyBorder="1" applyAlignment="1" applyProtection="1">
      <alignment horizontal="right"/>
    </xf>
    <xf numFmtId="4" fontId="65" fillId="0" borderId="43" xfId="0" applyNumberFormat="1" applyFont="1" applyBorder="1" applyAlignment="1" applyProtection="1">
      <alignment horizontal="right"/>
      <protection locked="0"/>
    </xf>
    <xf numFmtId="4" fontId="65" fillId="0" borderId="43" xfId="0" applyNumberFormat="1" applyFont="1" applyFill="1" applyBorder="1" applyAlignment="1" applyProtection="1">
      <alignment horizontal="right"/>
      <protection locked="0"/>
    </xf>
    <xf numFmtId="3" fontId="65" fillId="0" borderId="0" xfId="0" applyNumberFormat="1" applyFont="1" applyProtection="1">
      <protection locked="0"/>
    </xf>
    <xf numFmtId="41" fontId="65" fillId="48" borderId="43" xfId="0" applyNumberFormat="1" applyFont="1" applyFill="1" applyBorder="1" applyAlignment="1" applyProtection="1">
      <alignment horizontal="right"/>
    </xf>
    <xf numFmtId="41" fontId="65" fillId="46" borderId="43" xfId="0" applyNumberFormat="1" applyFont="1" applyFill="1" applyBorder="1" applyAlignment="1" applyProtection="1">
      <alignment wrapText="1"/>
    </xf>
    <xf numFmtId="41" fontId="65" fillId="46" borderId="43" xfId="0" applyNumberFormat="1" applyFont="1" applyFill="1" applyBorder="1" applyAlignment="1" applyProtection="1">
      <alignment horizontal="left"/>
    </xf>
    <xf numFmtId="173" fontId="65" fillId="0" borderId="43" xfId="0" applyNumberFormat="1" applyFont="1" applyBorder="1" applyAlignment="1" applyProtection="1">
      <alignment horizontal="right"/>
      <protection locked="0"/>
    </xf>
    <xf numFmtId="0" fontId="65" fillId="49" borderId="0" xfId="0" applyFont="1" applyFill="1" applyProtection="1">
      <protection locked="0"/>
    </xf>
    <xf numFmtId="0" fontId="66" fillId="49" borderId="0" xfId="0" applyFont="1" applyFill="1" applyAlignment="1" applyProtection="1">
      <alignment horizontal="center"/>
      <protection locked="0"/>
    </xf>
    <xf numFmtId="0" fontId="65" fillId="49" borderId="0" xfId="0" applyFont="1" applyFill="1" applyAlignment="1" applyProtection="1">
      <alignment horizontal="right"/>
      <protection locked="0"/>
    </xf>
    <xf numFmtId="0" fontId="65" fillId="0" borderId="0" xfId="0" applyFont="1" applyAlignment="1" applyProtection="1">
      <alignment horizontal="center"/>
    </xf>
    <xf numFmtId="0" fontId="65" fillId="0" borderId="0" xfId="0" applyFont="1" applyAlignment="1" applyProtection="1">
      <alignment horizontal="center"/>
      <protection locked="0"/>
    </xf>
    <xf numFmtId="173" fontId="65" fillId="0" borderId="0" xfId="0" applyNumberFormat="1" applyFont="1" applyAlignment="1" applyProtection="1"/>
    <xf numFmtId="38" fontId="65" fillId="0" borderId="0" xfId="0" applyNumberFormat="1" applyFont="1" applyAlignment="1" applyProtection="1"/>
    <xf numFmtId="41" fontId="65" fillId="0" borderId="0" xfId="0" applyNumberFormat="1" applyFont="1" applyAlignment="1" applyProtection="1"/>
    <xf numFmtId="0" fontId="65" fillId="4" borderId="0" xfId="0" applyFont="1" applyFill="1" applyAlignment="1" applyProtection="1">
      <alignment horizontal="center"/>
    </xf>
    <xf numFmtId="173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/>
    <xf numFmtId="169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>
      <alignment horizontal="left"/>
    </xf>
    <xf numFmtId="0" fontId="65" fillId="4" borderId="0" xfId="0" applyFont="1" applyFill="1" applyProtection="1">
      <protection locked="0"/>
    </xf>
    <xf numFmtId="0" fontId="65" fillId="50" borderId="0" xfId="0" applyFont="1" applyFill="1" applyAlignment="1" applyProtection="1">
      <alignment horizontal="center"/>
    </xf>
    <xf numFmtId="173" fontId="65" fillId="50" borderId="0" xfId="0" applyNumberFormat="1" applyFont="1" applyFill="1" applyAlignment="1" applyProtection="1">
      <alignment horizontal="center"/>
    </xf>
    <xf numFmtId="41" fontId="65" fillId="50" borderId="0" xfId="0" applyNumberFormat="1" applyFont="1" applyFill="1" applyAlignment="1" applyProtection="1"/>
    <xf numFmtId="169" fontId="65" fillId="50" borderId="0" xfId="0" applyNumberFormat="1" applyFont="1" applyFill="1" applyAlignment="1" applyProtection="1">
      <alignment horizontal="center"/>
    </xf>
    <xf numFmtId="0" fontId="65" fillId="50" borderId="0" xfId="0" applyFont="1" applyFill="1" applyProtection="1">
      <protection locked="0"/>
    </xf>
    <xf numFmtId="0" fontId="65" fillId="51" borderId="0" xfId="0" applyFont="1" applyFill="1" applyAlignment="1" applyProtection="1">
      <alignment horizontal="center"/>
    </xf>
    <xf numFmtId="173" fontId="65" fillId="51" borderId="0" xfId="0" applyNumberFormat="1" applyFont="1" applyFill="1" applyAlignment="1" applyProtection="1">
      <alignment horizontal="center"/>
    </xf>
    <xf numFmtId="41" fontId="65" fillId="51" borderId="0" xfId="0" applyNumberFormat="1" applyFont="1" applyFill="1" applyAlignment="1" applyProtection="1"/>
    <xf numFmtId="169" fontId="65" fillId="51" borderId="0" xfId="0" applyNumberFormat="1" applyFont="1" applyFill="1" applyAlignment="1" applyProtection="1">
      <alignment horizontal="center"/>
    </xf>
    <xf numFmtId="0" fontId="65" fillId="51" borderId="0" xfId="0" applyFont="1" applyFill="1" applyProtection="1">
      <protection locked="0"/>
    </xf>
    <xf numFmtId="0" fontId="65" fillId="0" borderId="0" xfId="0" applyFont="1" applyFill="1" applyAlignment="1" applyProtection="1">
      <alignment horizontal="center"/>
    </xf>
    <xf numFmtId="173" fontId="65" fillId="0" borderId="0" xfId="0" applyNumberFormat="1" applyFont="1" applyFill="1" applyAlignment="1" applyProtection="1">
      <alignment horizontal="center"/>
    </xf>
    <xf numFmtId="41" fontId="65" fillId="0" borderId="0" xfId="0" applyNumberFormat="1" applyFont="1" applyFill="1" applyAlignment="1" applyProtection="1"/>
    <xf numFmtId="169" fontId="65" fillId="0" borderId="0" xfId="0" applyNumberFormat="1" applyFont="1" applyFill="1" applyAlignment="1" applyProtection="1">
      <alignment horizontal="center"/>
    </xf>
    <xf numFmtId="0" fontId="65" fillId="0" borderId="0" xfId="0" applyFont="1" applyFill="1" applyProtection="1">
      <protection locked="0"/>
    </xf>
    <xf numFmtId="173" fontId="65" fillId="0" borderId="0" xfId="0" applyNumberFormat="1" applyFont="1" applyAlignment="1" applyProtection="1">
      <alignment horizontal="center"/>
    </xf>
    <xf numFmtId="169" fontId="65" fillId="0" borderId="0" xfId="0" applyNumberFormat="1" applyFont="1" applyAlignment="1" applyProtection="1">
      <alignment horizontal="center"/>
    </xf>
    <xf numFmtId="41" fontId="65" fillId="49" borderId="0" xfId="0" quotePrefix="1" applyNumberFormat="1" applyFont="1" applyFill="1" applyProtection="1"/>
    <xf numFmtId="41" fontId="65" fillId="49" borderId="0" xfId="0" quotePrefix="1" applyNumberFormat="1" applyFont="1" applyFill="1" applyAlignment="1" applyProtection="1"/>
    <xf numFmtId="41" fontId="65" fillId="49" borderId="0" xfId="0" quotePrefix="1" applyNumberFormat="1" applyFont="1" applyFill="1" applyAlignment="1" applyProtection="1">
      <alignment horizontal="right"/>
    </xf>
    <xf numFmtId="41" fontId="65" fillId="49" borderId="157" xfId="0" applyNumberFormat="1" applyFont="1" applyFill="1" applyBorder="1" applyAlignment="1" applyProtection="1">
      <alignment horizontal="center"/>
    </xf>
    <xf numFmtId="41" fontId="65" fillId="49" borderId="157" xfId="0" applyNumberFormat="1" applyFont="1" applyFill="1" applyBorder="1" applyAlignment="1" applyProtection="1">
      <alignment horizontal="right"/>
    </xf>
    <xf numFmtId="0" fontId="65" fillId="0" borderId="0" xfId="0" applyFont="1" applyAlignment="1" applyProtection="1">
      <alignment horizontal="right"/>
      <protection locked="0"/>
    </xf>
    <xf numFmtId="171" fontId="65" fillId="0" borderId="0" xfId="1" applyNumberFormat="1" applyFont="1" applyProtection="1">
      <protection locked="0"/>
    </xf>
    <xf numFmtId="0" fontId="67" fillId="0" borderId="0" xfId="0" applyFont="1" applyProtection="1">
      <protection locked="0"/>
    </xf>
    <xf numFmtId="0" fontId="67" fillId="0" borderId="0" xfId="0" applyFont="1" applyAlignment="1" applyProtection="1">
      <alignment horizontal="right"/>
      <protection locked="0"/>
    </xf>
    <xf numFmtId="171" fontId="67" fillId="0" borderId="0" xfId="1" applyNumberFormat="1" applyFont="1" applyProtection="1">
      <protection locked="0"/>
    </xf>
    <xf numFmtId="43" fontId="65" fillId="0" borderId="0" xfId="0" applyNumberFormat="1" applyFont="1" applyProtection="1">
      <protection locked="0"/>
    </xf>
    <xf numFmtId="171" fontId="68" fillId="0" borderId="0" xfId="1" applyNumberFormat="1" applyFont="1" applyProtection="1">
      <protection locked="0"/>
    </xf>
    <xf numFmtId="0" fontId="70" fillId="0" borderId="0" xfId="5" applyFont="1" applyAlignment="1">
      <alignment vertical="center"/>
    </xf>
    <xf numFmtId="3" fontId="70" fillId="0" borderId="0" xfId="5" applyNumberFormat="1" applyFont="1" applyAlignment="1">
      <alignment vertical="center"/>
    </xf>
    <xf numFmtId="0" fontId="70" fillId="0" borderId="0" xfId="5" applyFont="1" applyFill="1" applyAlignment="1">
      <alignment vertical="center"/>
    </xf>
    <xf numFmtId="38" fontId="70" fillId="0" borderId="0" xfId="5" applyNumberFormat="1" applyFont="1" applyAlignment="1">
      <alignment vertical="center"/>
    </xf>
    <xf numFmtId="38" fontId="70" fillId="0" borderId="0" xfId="5" applyNumberFormat="1" applyFont="1" applyAlignment="1">
      <alignment horizontal="center" vertical="center"/>
    </xf>
    <xf numFmtId="38" fontId="70" fillId="0" borderId="0" xfId="6" applyNumberFormat="1" applyFont="1" applyAlignment="1">
      <alignment vertical="center"/>
    </xf>
    <xf numFmtId="38" fontId="70" fillId="0" borderId="0" xfId="7" applyNumberFormat="1" applyFont="1" applyAlignment="1">
      <alignment vertical="center"/>
    </xf>
    <xf numFmtId="38" fontId="70" fillId="2" borderId="0" xfId="7" applyNumberFormat="1" applyFont="1" applyFill="1" applyAlignment="1">
      <alignment vertical="center"/>
    </xf>
    <xf numFmtId="0" fontId="71" fillId="0" borderId="0" xfId="5" applyFont="1" applyFill="1" applyAlignment="1">
      <alignment vertical="center"/>
    </xf>
    <xf numFmtId="0" fontId="71" fillId="0" borderId="0" xfId="5" quotePrefix="1" applyFont="1" applyFill="1" applyAlignment="1">
      <alignment vertical="center"/>
    </xf>
    <xf numFmtId="0" fontId="71" fillId="0" borderId="0" xfId="5" applyFont="1" applyAlignment="1">
      <alignment vertical="center"/>
    </xf>
    <xf numFmtId="14" fontId="70" fillId="0" borderId="0" xfId="5" applyNumberFormat="1" applyFont="1" applyAlignment="1">
      <alignment horizontal="left" vertical="center"/>
    </xf>
    <xf numFmtId="0" fontId="70" fillId="0" borderId="0" xfId="5" applyFont="1" applyAlignment="1">
      <alignment horizontal="right" vertical="center"/>
    </xf>
    <xf numFmtId="41" fontId="70" fillId="0" borderId="0" xfId="5" applyNumberFormat="1" applyFont="1" applyAlignment="1" applyProtection="1">
      <alignment vertical="center"/>
      <protection locked="0"/>
    </xf>
    <xf numFmtId="0" fontId="70" fillId="0" borderId="0" xfId="5" applyFont="1" applyBorder="1" applyAlignment="1">
      <alignment vertical="center"/>
    </xf>
    <xf numFmtId="0" fontId="70" fillId="0" borderId="0" xfId="5" applyFont="1" applyFill="1" applyBorder="1" applyAlignment="1">
      <alignment vertical="center"/>
    </xf>
    <xf numFmtId="38" fontId="70" fillId="0" borderId="0" xfId="5" applyNumberFormat="1" applyFont="1" applyBorder="1" applyAlignment="1">
      <alignment vertical="center"/>
    </xf>
    <xf numFmtId="38" fontId="70" fillId="0" borderId="0" xfId="5" applyNumberFormat="1" applyFont="1" applyBorder="1" applyAlignment="1">
      <alignment horizontal="center" vertical="center"/>
    </xf>
    <xf numFmtId="38" fontId="70" fillId="0" borderId="0" xfId="6" applyNumberFormat="1" applyFont="1" applyBorder="1" applyAlignment="1">
      <alignment vertical="center"/>
    </xf>
    <xf numFmtId="38" fontId="70" fillId="0" borderId="0" xfId="7" applyNumberFormat="1" applyFont="1" applyBorder="1" applyAlignment="1">
      <alignment vertical="center"/>
    </xf>
    <xf numFmtId="38" fontId="70" fillId="2" borderId="0" xfId="7" applyNumberFormat="1" applyFont="1" applyFill="1" applyBorder="1" applyAlignment="1">
      <alignment vertical="center"/>
    </xf>
    <xf numFmtId="0" fontId="71" fillId="0" borderId="0" xfId="5" applyFont="1" applyAlignment="1"/>
    <xf numFmtId="14" fontId="70" fillId="0" borderId="0" xfId="5" applyNumberFormat="1" applyFont="1" applyAlignment="1">
      <alignment horizontal="left"/>
    </xf>
    <xf numFmtId="0" fontId="70" fillId="0" borderId="0" xfId="5" applyFont="1" applyAlignment="1">
      <alignment horizontal="right"/>
    </xf>
    <xf numFmtId="15" fontId="70" fillId="0" borderId="0" xfId="5" applyNumberFormat="1" applyFont="1" applyAlignment="1" applyProtection="1">
      <protection locked="0"/>
    </xf>
    <xf numFmtId="0" fontId="70" fillId="0" borderId="0" xfId="5" applyFont="1" applyAlignment="1"/>
    <xf numFmtId="0" fontId="70" fillId="0" borderId="0" xfId="5" applyFont="1" applyBorder="1" applyAlignment="1"/>
    <xf numFmtId="0" fontId="70" fillId="0" borderId="0" xfId="5" applyFont="1" applyFill="1" applyBorder="1" applyAlignment="1"/>
    <xf numFmtId="38" fontId="70" fillId="0" borderId="0" xfId="5" applyNumberFormat="1" applyFont="1" applyBorder="1" applyAlignment="1"/>
    <xf numFmtId="38" fontId="70" fillId="0" borderId="0" xfId="5" applyNumberFormat="1" applyFont="1" applyBorder="1" applyAlignment="1">
      <alignment horizontal="center"/>
    </xf>
    <xf numFmtId="38" fontId="70" fillId="0" borderId="0" xfId="6" applyNumberFormat="1" applyFont="1" applyBorder="1" applyAlignment="1"/>
    <xf numFmtId="38" fontId="70" fillId="0" borderId="0" xfId="7" applyNumberFormat="1" applyFont="1" applyBorder="1" applyAlignment="1"/>
    <xf numFmtId="38" fontId="70" fillId="2" borderId="0" xfId="7" applyNumberFormat="1" applyFont="1" applyFill="1" applyBorder="1" applyAlignment="1"/>
    <xf numFmtId="0" fontId="70" fillId="0" borderId="0" xfId="5" applyFont="1"/>
    <xf numFmtId="0" fontId="71" fillId="0" borderId="0" xfId="5" applyFont="1"/>
    <xf numFmtId="41" fontId="70" fillId="0" borderId="0" xfId="5" applyNumberFormat="1" applyFont="1"/>
    <xf numFmtId="38" fontId="70" fillId="0" borderId="0" xfId="5" applyNumberFormat="1" applyFont="1"/>
    <xf numFmtId="0" fontId="70" fillId="0" borderId="0" xfId="5" applyFont="1" applyFill="1"/>
    <xf numFmtId="38" fontId="70" fillId="0" borderId="0" xfId="5" applyNumberFormat="1" applyFont="1" applyAlignment="1">
      <alignment horizontal="center"/>
    </xf>
    <xf numFmtId="38" fontId="70" fillId="0" borderId="0" xfId="6" applyNumberFormat="1" applyFont="1"/>
    <xf numFmtId="38" fontId="70" fillId="0" borderId="0" xfId="7" applyNumberFormat="1" applyFont="1"/>
    <xf numFmtId="38" fontId="70" fillId="2" borderId="0" xfId="7" applyNumberFormat="1" applyFont="1" applyFill="1"/>
    <xf numFmtId="0" fontId="70" fillId="0" borderId="0" xfId="5" applyFont="1" applyFill="1" applyAlignment="1">
      <alignment horizontal="center" vertical="center"/>
    </xf>
    <xf numFmtId="0" fontId="70" fillId="0" borderId="87" xfId="5" applyFont="1" applyFill="1" applyBorder="1" applyAlignment="1">
      <alignment horizontal="center" vertical="center"/>
    </xf>
    <xf numFmtId="0" fontId="70" fillId="0" borderId="88" xfId="5" applyFont="1" applyFill="1" applyBorder="1" applyAlignment="1">
      <alignment horizontal="center" vertical="center"/>
    </xf>
    <xf numFmtId="0" fontId="70" fillId="0" borderId="89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66" xfId="5" applyFont="1" applyFill="1" applyBorder="1" applyAlignment="1">
      <alignment horizontal="center" vertical="center"/>
    </xf>
    <xf numFmtId="0" fontId="70" fillId="0" borderId="68" xfId="5" applyFont="1" applyFill="1" applyBorder="1" applyAlignment="1">
      <alignment horizontal="center" vertical="center"/>
    </xf>
    <xf numFmtId="0" fontId="70" fillId="54" borderId="106" xfId="5" applyFont="1" applyFill="1" applyBorder="1" applyAlignment="1">
      <alignment horizontal="center" vertical="center"/>
    </xf>
    <xf numFmtId="0" fontId="70" fillId="0" borderId="0" xfId="5" applyFont="1" applyFill="1" applyAlignment="1">
      <alignment horizontal="center" vertical="top"/>
    </xf>
    <xf numFmtId="0" fontId="70" fillId="0" borderId="0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0" borderId="43" xfId="5" applyFont="1" applyFill="1" applyBorder="1" applyAlignment="1">
      <alignment horizontal="center" vertical="center"/>
    </xf>
    <xf numFmtId="0" fontId="70" fillId="0" borderId="7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0" borderId="0" xfId="5" applyFont="1" applyAlignment="1">
      <alignment horizontal="center"/>
    </xf>
    <xf numFmtId="0" fontId="71" fillId="0" borderId="100" xfId="5" applyFont="1" applyBorder="1" applyAlignment="1">
      <alignment horizontal="center"/>
    </xf>
    <xf numFmtId="0" fontId="71" fillId="0" borderId="10" xfId="5" applyFont="1" applyBorder="1" applyAlignment="1">
      <alignment horizontal="center"/>
    </xf>
    <xf numFmtId="0" fontId="71" fillId="0" borderId="0" xfId="5" applyFont="1" applyBorder="1" applyAlignment="1">
      <alignment horizontal="center"/>
    </xf>
    <xf numFmtId="0" fontId="71" fillId="0" borderId="66" xfId="5" applyFont="1" applyBorder="1" applyAlignment="1">
      <alignment horizontal="center"/>
    </xf>
    <xf numFmtId="38" fontId="71" fillId="0" borderId="0" xfId="5" applyNumberFormat="1" applyFont="1" applyBorder="1" applyAlignment="1">
      <alignment horizontal="center"/>
    </xf>
    <xf numFmtId="0" fontId="70" fillId="0" borderId="0" xfId="5" applyFont="1" applyFill="1" applyBorder="1" applyAlignment="1">
      <alignment horizontal="center"/>
    </xf>
    <xf numFmtId="0" fontId="71" fillId="0" borderId="0" xfId="5" applyFont="1" applyFill="1" applyBorder="1" applyAlignment="1">
      <alignment horizontal="center"/>
    </xf>
    <xf numFmtId="0" fontId="72" fillId="0" borderId="0" xfId="5" applyFont="1" applyFill="1" applyAlignment="1">
      <alignment horizontal="center"/>
    </xf>
    <xf numFmtId="0" fontId="71" fillId="0" borderId="49" xfId="5" applyFont="1" applyFill="1" applyBorder="1" applyAlignment="1">
      <alignment horizontal="center"/>
    </xf>
    <xf numFmtId="1" fontId="71" fillId="0" borderId="49" xfId="5" applyNumberFormat="1" applyFont="1" applyFill="1" applyBorder="1" applyAlignment="1">
      <alignment horizontal="right"/>
    </xf>
    <xf numFmtId="1" fontId="71" fillId="0" borderId="115" xfId="5" applyNumberFormat="1" applyFont="1" applyFill="1" applyBorder="1" applyAlignment="1">
      <alignment horizontal="right"/>
    </xf>
    <xf numFmtId="38" fontId="71" fillId="54" borderId="116" xfId="7" applyNumberFormat="1" applyFont="1" applyFill="1" applyBorder="1" applyAlignment="1">
      <alignment horizontal="right"/>
    </xf>
    <xf numFmtId="38" fontId="71" fillId="0" borderId="117" xfId="7" applyNumberFormat="1" applyFont="1" applyFill="1" applyBorder="1" applyAlignment="1">
      <alignment horizontal="right"/>
    </xf>
    <xf numFmtId="38" fontId="71" fillId="54" borderId="117" xfId="7" applyNumberFormat="1" applyFont="1" applyFill="1" applyBorder="1" applyAlignment="1">
      <alignment horizontal="right"/>
    </xf>
    <xf numFmtId="38" fontId="71" fillId="53" borderId="120" xfId="7" applyNumberFormat="1" applyFont="1" applyFill="1" applyBorder="1" applyAlignment="1">
      <alignment horizontal="right"/>
    </xf>
    <xf numFmtId="0" fontId="71" fillId="54" borderId="116" xfId="5" applyFont="1" applyFill="1" applyBorder="1" applyAlignment="1">
      <alignment horizontal="center"/>
    </xf>
    <xf numFmtId="0" fontId="71" fillId="0" borderId="117" xfId="5" applyFont="1" applyFill="1" applyBorder="1" applyAlignment="1">
      <alignment horizontal="center"/>
    </xf>
    <xf numFmtId="0" fontId="71" fillId="54" borderId="117" xfId="5" applyFont="1" applyFill="1" applyBorder="1" applyAlignment="1">
      <alignment horizontal="center"/>
    </xf>
    <xf numFmtId="41" fontId="71" fillId="53" borderId="117" xfId="2" applyFont="1" applyFill="1" applyBorder="1" applyAlignment="1">
      <alignment horizontal="right"/>
    </xf>
    <xf numFmtId="0" fontId="71" fillId="53" borderId="120" xfId="5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right"/>
    </xf>
    <xf numFmtId="175" fontId="71" fillId="0" borderId="117" xfId="5" applyNumberFormat="1" applyFont="1" applyFill="1" applyBorder="1" applyAlignment="1">
      <alignment horizontal="right"/>
    </xf>
    <xf numFmtId="175" fontId="71" fillId="0" borderId="120" xfId="5" applyNumberFormat="1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center"/>
    </xf>
    <xf numFmtId="175" fontId="71" fillId="54" borderId="117" xfId="5" applyNumberFormat="1" applyFont="1" applyFill="1" applyBorder="1" applyAlignment="1">
      <alignment horizontal="center"/>
    </xf>
    <xf numFmtId="0" fontId="71" fillId="54" borderId="120" xfId="5" applyFont="1" applyFill="1" applyBorder="1" applyAlignment="1">
      <alignment horizontal="center"/>
    </xf>
    <xf numFmtId="0" fontId="70" fillId="54" borderId="116" xfId="5" applyFont="1" applyFill="1" applyBorder="1" applyAlignment="1">
      <alignment horizontal="center"/>
    </xf>
    <xf numFmtId="0" fontId="70" fillId="54" borderId="117" xfId="5" applyFont="1" applyFill="1" applyBorder="1" applyAlignment="1">
      <alignment horizontal="center"/>
    </xf>
    <xf numFmtId="38" fontId="71" fillId="54" borderId="120" xfId="7" applyNumberFormat="1" applyFont="1" applyFill="1" applyBorder="1" applyAlignment="1">
      <alignment horizontal="right"/>
    </xf>
    <xf numFmtId="38" fontId="71" fillId="0" borderId="119" xfId="5" applyNumberFormat="1" applyFont="1" applyFill="1" applyBorder="1" applyAlignment="1">
      <alignment horizontal="center"/>
    </xf>
    <xf numFmtId="0" fontId="70" fillId="0" borderId="0" xfId="5" applyFont="1" applyFill="1" applyAlignment="1">
      <alignment horizontal="center"/>
    </xf>
    <xf numFmtId="0" fontId="71" fillId="0" borderId="57" xfId="5" applyFont="1" applyFill="1" applyBorder="1" applyAlignment="1">
      <alignment horizontal="center"/>
    </xf>
    <xf numFmtId="1" fontId="71" fillId="0" borderId="57" xfId="5" applyNumberFormat="1" applyFont="1" applyFill="1" applyBorder="1" applyAlignment="1">
      <alignment horizontal="right"/>
    </xf>
    <xf numFmtId="1" fontId="71" fillId="0" borderId="58" xfId="5" applyNumberFormat="1" applyFont="1" applyFill="1" applyBorder="1" applyAlignment="1">
      <alignment horizontal="right"/>
    </xf>
    <xf numFmtId="38" fontId="71" fillId="54" borderId="121" xfId="7" applyNumberFormat="1" applyFont="1" applyFill="1" applyBorder="1" applyAlignment="1">
      <alignment horizontal="right"/>
    </xf>
    <xf numFmtId="38" fontId="71" fillId="0" borderId="57" xfId="7" applyNumberFormat="1" applyFont="1" applyFill="1" applyBorder="1" applyAlignment="1">
      <alignment horizontal="right"/>
    </xf>
    <xf numFmtId="38" fontId="71" fillId="54" borderId="57" xfId="7" applyNumberFormat="1" applyFont="1" applyFill="1" applyBorder="1" applyAlignment="1">
      <alignment horizontal="right"/>
    </xf>
    <xf numFmtId="38" fontId="71" fillId="53" borderId="59" xfId="7" applyNumberFormat="1" applyFont="1" applyFill="1" applyBorder="1" applyAlignment="1">
      <alignment horizontal="right"/>
    </xf>
    <xf numFmtId="0" fontId="71" fillId="54" borderId="121" xfId="5" applyFont="1" applyFill="1" applyBorder="1" applyAlignment="1">
      <alignment horizontal="center"/>
    </xf>
    <xf numFmtId="0" fontId="71" fillId="54" borderId="57" xfId="5" applyFont="1" applyFill="1" applyBorder="1" applyAlignment="1">
      <alignment horizontal="center"/>
    </xf>
    <xf numFmtId="41" fontId="71" fillId="53" borderId="57" xfId="2" applyFont="1" applyFill="1" applyBorder="1" applyAlignment="1">
      <alignment horizontal="right"/>
    </xf>
    <xf numFmtId="0" fontId="71" fillId="53" borderId="59" xfId="5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right"/>
    </xf>
    <xf numFmtId="175" fontId="71" fillId="0" borderId="57" xfId="5" applyNumberFormat="1" applyFont="1" applyFill="1" applyBorder="1" applyAlignment="1">
      <alignment horizontal="right"/>
    </xf>
    <xf numFmtId="175" fontId="71" fillId="0" borderId="59" xfId="5" applyNumberFormat="1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center"/>
    </xf>
    <xf numFmtId="175" fontId="71" fillId="54" borderId="57" xfId="5" applyNumberFormat="1" applyFont="1" applyFill="1" applyBorder="1" applyAlignment="1">
      <alignment horizontal="center"/>
    </xf>
    <xf numFmtId="0" fontId="71" fillId="54" borderId="59" xfId="5" applyFont="1" applyFill="1" applyBorder="1" applyAlignment="1">
      <alignment horizontal="center"/>
    </xf>
    <xf numFmtId="0" fontId="70" fillId="54" borderId="121" xfId="5" applyFont="1" applyFill="1" applyBorder="1" applyAlignment="1">
      <alignment horizontal="center"/>
    </xf>
    <xf numFmtId="0" fontId="70" fillId="54" borderId="57" xfId="5" applyFont="1" applyFill="1" applyBorder="1" applyAlignment="1">
      <alignment horizontal="center"/>
    </xf>
    <xf numFmtId="38" fontId="71" fillId="54" borderId="59" xfId="7" applyNumberFormat="1" applyFont="1" applyFill="1" applyBorder="1" applyAlignment="1">
      <alignment horizontal="right"/>
    </xf>
    <xf numFmtId="38" fontId="71" fillId="0" borderId="122" xfId="5" applyNumberFormat="1" applyFont="1" applyFill="1" applyBorder="1" applyAlignment="1">
      <alignment horizontal="center"/>
    </xf>
    <xf numFmtId="38" fontId="70" fillId="54" borderId="57" xfId="7" applyNumberFormat="1" applyFont="1" applyFill="1" applyBorder="1" applyAlignment="1">
      <alignment horizontal="right"/>
    </xf>
    <xf numFmtId="0" fontId="70" fillId="54" borderId="57" xfId="5" applyFont="1" applyFill="1" applyBorder="1" applyAlignment="1">
      <alignment horizontal="right"/>
    </xf>
    <xf numFmtId="1" fontId="71" fillId="0" borderId="72" xfId="5" applyNumberFormat="1" applyFont="1" applyFill="1" applyBorder="1" applyAlignment="1">
      <alignment horizontal="right"/>
    </xf>
    <xf numFmtId="38" fontId="71" fillId="54" borderId="121" xfId="5" applyNumberFormat="1" applyFont="1" applyFill="1" applyBorder="1" applyAlignment="1">
      <alignment horizontal="right"/>
    </xf>
    <xf numFmtId="38" fontId="71" fillId="0" borderId="57" xfId="5" applyNumberFormat="1" applyFont="1" applyFill="1" applyBorder="1" applyAlignment="1">
      <alignment horizontal="right"/>
    </xf>
    <xf numFmtId="38" fontId="71" fillId="54" borderId="57" xfId="5" applyNumberFormat="1" applyFont="1" applyFill="1" applyBorder="1" applyAlignment="1">
      <alignment horizontal="right"/>
    </xf>
    <xf numFmtId="38" fontId="70" fillId="53" borderId="59" xfId="5" applyNumberFormat="1" applyFont="1" applyFill="1" applyBorder="1" applyAlignment="1">
      <alignment horizontal="right"/>
    </xf>
    <xf numFmtId="175" fontId="71" fillId="0" borderId="124" xfId="5" applyNumberFormat="1" applyFont="1" applyFill="1" applyBorder="1" applyAlignment="1">
      <alignment horizontal="right"/>
    </xf>
    <xf numFmtId="175" fontId="71" fillId="54" borderId="49" xfId="5" applyNumberFormat="1" applyFont="1" applyFill="1" applyBorder="1" applyAlignment="1">
      <alignment horizontal="right"/>
    </xf>
    <xf numFmtId="38" fontId="71" fillId="0" borderId="49" xfId="5" applyNumberFormat="1" applyFont="1" applyFill="1" applyBorder="1" applyAlignment="1">
      <alignment horizontal="right"/>
    </xf>
    <xf numFmtId="38" fontId="71" fillId="54" borderId="115" xfId="5" applyNumberFormat="1" applyFont="1" applyFill="1" applyBorder="1" applyAlignment="1">
      <alignment horizontal="right"/>
    </xf>
    <xf numFmtId="38" fontId="70" fillId="54" borderId="121" xfId="7" applyNumberFormat="1" applyFont="1" applyFill="1" applyBorder="1" applyAlignment="1">
      <alignment horizontal="right"/>
    </xf>
    <xf numFmtId="38" fontId="71" fillId="0" borderId="123" xfId="5" applyNumberFormat="1" applyFont="1" applyFill="1" applyBorder="1" applyAlignment="1">
      <alignment horizontal="center"/>
    </xf>
    <xf numFmtId="0" fontId="70" fillId="54" borderId="57" xfId="5" applyFont="1" applyFill="1" applyBorder="1"/>
    <xf numFmtId="175" fontId="71" fillId="54" borderId="57" xfId="5" applyNumberFormat="1" applyFont="1" applyFill="1" applyBorder="1" applyAlignment="1">
      <alignment horizontal="right"/>
    </xf>
    <xf numFmtId="175" fontId="71" fillId="54" borderId="57" xfId="70" applyNumberFormat="1" applyFont="1" applyFill="1" applyBorder="1" applyAlignment="1">
      <alignment horizontal="right"/>
    </xf>
    <xf numFmtId="38" fontId="70" fillId="54" borderId="57" xfId="1" applyNumberFormat="1" applyFont="1" applyFill="1" applyBorder="1" applyAlignment="1">
      <alignment horizontal="right"/>
    </xf>
    <xf numFmtId="38" fontId="71" fillId="54" borderId="59" xfId="5" applyNumberFormat="1" applyFont="1" applyFill="1" applyBorder="1" applyAlignment="1">
      <alignment horizontal="right"/>
    </xf>
    <xf numFmtId="0" fontId="71" fillId="0" borderId="126" xfId="5" applyFont="1" applyFill="1" applyBorder="1" applyAlignment="1">
      <alignment horizontal="center"/>
    </xf>
    <xf numFmtId="1" fontId="71" fillId="0" borderId="126" xfId="5" applyNumberFormat="1" applyFont="1" applyFill="1" applyBorder="1" applyAlignment="1">
      <alignment horizontal="right"/>
    </xf>
    <xf numFmtId="1" fontId="71" fillId="0" borderId="70" xfId="5" applyNumberFormat="1" applyFont="1" applyFill="1" applyBorder="1" applyAlignment="1">
      <alignment horizontal="right"/>
    </xf>
    <xf numFmtId="38" fontId="71" fillId="54" borderId="125" xfId="5" applyNumberFormat="1" applyFont="1" applyFill="1" applyBorder="1" applyAlignment="1">
      <alignment horizontal="right"/>
    </xf>
    <xf numFmtId="38" fontId="71" fillId="0" borderId="126" xfId="5" applyNumberFormat="1" applyFont="1" applyFill="1" applyBorder="1" applyAlignment="1">
      <alignment horizontal="right"/>
    </xf>
    <xf numFmtId="38" fontId="71" fillId="54" borderId="126" xfId="5" applyNumberFormat="1" applyFont="1" applyFill="1" applyBorder="1" applyAlignment="1">
      <alignment horizontal="right"/>
    </xf>
    <xf numFmtId="38" fontId="70" fillId="53" borderId="133" xfId="5" applyNumberFormat="1" applyFont="1" applyFill="1" applyBorder="1" applyAlignment="1">
      <alignment horizontal="right"/>
    </xf>
    <xf numFmtId="41" fontId="71" fillId="53" borderId="126" xfId="2" applyFont="1" applyFill="1" applyBorder="1" applyAlignment="1">
      <alignment horizontal="right"/>
    </xf>
    <xf numFmtId="175" fontId="71" fillId="0" borderId="125" xfId="5" applyNumberFormat="1" applyFont="1" applyFill="1" applyBorder="1" applyAlignment="1">
      <alignment horizontal="right"/>
    </xf>
    <xf numFmtId="175" fontId="71" fillId="0" borderId="126" xfId="5" applyNumberFormat="1" applyFont="1" applyFill="1" applyBorder="1" applyAlignment="1">
      <alignment horizontal="right"/>
    </xf>
    <xf numFmtId="175" fontId="71" fillId="0" borderId="133" xfId="5" applyNumberFormat="1" applyFont="1" applyFill="1" applyBorder="1" applyAlignment="1">
      <alignment horizontal="right"/>
    </xf>
    <xf numFmtId="175" fontId="71" fillId="54" borderId="126" xfId="5" applyNumberFormat="1" applyFont="1" applyFill="1" applyBorder="1" applyAlignment="1">
      <alignment horizontal="right"/>
    </xf>
    <xf numFmtId="175" fontId="71" fillId="54" borderId="126" xfId="70" applyNumberFormat="1" applyFont="1" applyFill="1" applyBorder="1" applyAlignment="1">
      <alignment horizontal="right"/>
    </xf>
    <xf numFmtId="38" fontId="71" fillId="54" borderId="133" xfId="5" applyNumberFormat="1" applyFont="1" applyFill="1" applyBorder="1" applyAlignment="1">
      <alignment horizontal="right"/>
    </xf>
    <xf numFmtId="38" fontId="70" fillId="54" borderId="125" xfId="7" applyNumberFormat="1" applyFont="1" applyFill="1" applyBorder="1" applyAlignment="1">
      <alignment horizontal="right"/>
    </xf>
    <xf numFmtId="38" fontId="70" fillId="54" borderId="126" xfId="7" applyNumberFormat="1" applyFont="1" applyFill="1" applyBorder="1" applyAlignment="1">
      <alignment horizontal="right"/>
    </xf>
    <xf numFmtId="38" fontId="71" fillId="54" borderId="126" xfId="7" applyNumberFormat="1" applyFont="1" applyFill="1" applyBorder="1" applyAlignment="1">
      <alignment horizontal="right"/>
    </xf>
    <xf numFmtId="38" fontId="71" fillId="54" borderId="133" xfId="7" applyNumberFormat="1" applyFont="1" applyFill="1" applyBorder="1" applyAlignment="1">
      <alignment horizontal="right"/>
    </xf>
    <xf numFmtId="38" fontId="71" fillId="0" borderId="132" xfId="5" applyNumberFormat="1" applyFont="1" applyFill="1" applyBorder="1" applyAlignment="1">
      <alignment horizontal="center"/>
    </xf>
    <xf numFmtId="175" fontId="71" fillId="0" borderId="135" xfId="5" applyNumberFormat="1" applyFont="1" applyFill="1" applyBorder="1" applyAlignment="1">
      <alignment horizontal="right"/>
    </xf>
    <xf numFmtId="175" fontId="71" fillId="54" borderId="135" xfId="70" applyNumberFormat="1" applyFont="1" applyFill="1" applyBorder="1" applyAlignment="1">
      <alignment horizontal="right"/>
    </xf>
    <xf numFmtId="38" fontId="71" fillId="0" borderId="135" xfId="5" applyNumberFormat="1" applyFont="1" applyFill="1" applyBorder="1" applyAlignment="1">
      <alignment horizontal="right"/>
    </xf>
    <xf numFmtId="0" fontId="70" fillId="2" borderId="0" xfId="5" applyFont="1" applyFill="1"/>
    <xf numFmtId="38" fontId="70" fillId="0" borderId="0" xfId="5" applyNumberFormat="1" applyFont="1" applyFill="1" applyBorder="1" applyAlignment="1">
      <alignment vertical="center"/>
    </xf>
    <xf numFmtId="38" fontId="70" fillId="0" borderId="0" xfId="7" applyNumberFormat="1" applyFont="1" applyFill="1" applyAlignment="1">
      <alignment horizontal="center" vertical="center"/>
    </xf>
    <xf numFmtId="38" fontId="70" fillId="0" borderId="0" xfId="6" applyNumberFormat="1" applyFont="1" applyBorder="1" applyAlignment="1">
      <alignment horizontal="center"/>
    </xf>
    <xf numFmtId="0" fontId="73" fillId="0" borderId="0" xfId="5" applyFont="1" applyAlignment="1">
      <alignment horizontal="left" vertical="center"/>
    </xf>
    <xf numFmtId="0" fontId="74" fillId="0" borderId="0" xfId="5" applyFont="1" applyBorder="1" applyAlignment="1">
      <alignment horizontal="center" vertical="center"/>
    </xf>
    <xf numFmtId="0" fontId="74" fillId="0" borderId="0" xfId="5" applyFont="1" applyFill="1" applyBorder="1" applyAlignment="1">
      <alignment horizontal="center" vertical="center"/>
    </xf>
    <xf numFmtId="38" fontId="74" fillId="0" borderId="0" xfId="5" applyNumberFormat="1" applyFont="1" applyBorder="1" applyAlignment="1">
      <alignment horizontal="center" vertical="center"/>
    </xf>
    <xf numFmtId="38" fontId="74" fillId="0" borderId="0" xfId="6" applyNumberFormat="1" applyFont="1" applyBorder="1" applyAlignment="1">
      <alignment horizontal="center" vertical="center"/>
    </xf>
    <xf numFmtId="38" fontId="74" fillId="0" borderId="0" xfId="7" applyNumberFormat="1" applyFont="1" applyBorder="1" applyAlignment="1">
      <alignment horizontal="center" vertical="center"/>
    </xf>
    <xf numFmtId="38" fontId="74" fillId="2" borderId="0" xfId="7" applyNumberFormat="1" applyFont="1" applyFill="1" applyBorder="1" applyAlignment="1">
      <alignment horizontal="center" vertical="center"/>
    </xf>
    <xf numFmtId="0" fontId="75" fillId="0" borderId="0" xfId="5" applyFont="1" applyBorder="1" applyAlignment="1">
      <alignment horizontal="centerContinuous" vertical="center"/>
    </xf>
    <xf numFmtId="0" fontId="75" fillId="0" borderId="0" xfId="5" applyFont="1" applyFill="1" applyBorder="1" applyAlignment="1">
      <alignment horizontal="centerContinuous" vertical="center"/>
    </xf>
    <xf numFmtId="0" fontId="75" fillId="0" borderId="0" xfId="5" applyFont="1" applyAlignment="1">
      <alignment vertical="center"/>
    </xf>
    <xf numFmtId="0" fontId="70" fillId="0" borderId="0" xfId="5" applyFont="1" applyBorder="1" applyAlignment="1">
      <alignment horizontal="center"/>
    </xf>
    <xf numFmtId="38" fontId="70" fillId="0" borderId="0" xfId="7" applyNumberFormat="1" applyFont="1" applyBorder="1" applyAlignment="1">
      <alignment horizontal="center"/>
    </xf>
    <xf numFmtId="38" fontId="70" fillId="2" borderId="0" xfId="7" applyNumberFormat="1" applyFont="1" applyFill="1" applyBorder="1" applyAlignment="1">
      <alignment horizontal="center"/>
    </xf>
    <xf numFmtId="0" fontId="70" fillId="0" borderId="0" xfId="5" applyFont="1" applyBorder="1" applyAlignment="1">
      <alignment horizontal="centerContinuous"/>
    </xf>
    <xf numFmtId="0" fontId="70" fillId="0" borderId="0" xfId="5" applyFont="1" applyFill="1" applyBorder="1" applyAlignment="1">
      <alignment horizontal="centerContinuous"/>
    </xf>
    <xf numFmtId="0" fontId="70" fillId="0" borderId="0" xfId="5" applyFont="1" applyBorder="1"/>
    <xf numFmtId="0" fontId="70" fillId="0" borderId="0" xfId="5" applyFont="1" applyFill="1" applyBorder="1"/>
    <xf numFmtId="3" fontId="70" fillId="0" borderId="0" xfId="5" applyNumberFormat="1" applyFont="1" applyBorder="1"/>
    <xf numFmtId="3" fontId="70" fillId="0" borderId="0" xfId="5" applyNumberFormat="1" applyFont="1" applyFill="1" applyBorder="1"/>
    <xf numFmtId="38" fontId="70" fillId="0" borderId="0" xfId="5" applyNumberFormat="1" applyFont="1" applyBorder="1"/>
    <xf numFmtId="38" fontId="70" fillId="0" borderId="0" xfId="6" applyNumberFormat="1" applyFont="1" applyBorder="1"/>
    <xf numFmtId="38" fontId="70" fillId="0" borderId="0" xfId="7" applyNumberFormat="1" applyFont="1" applyBorder="1"/>
    <xf numFmtId="38" fontId="70" fillId="2" borderId="0" xfId="7" applyNumberFormat="1" applyFont="1" applyFill="1" applyBorder="1"/>
    <xf numFmtId="38" fontId="70" fillId="0" borderId="57" xfId="5" applyNumberFormat="1" applyFont="1" applyFill="1" applyBorder="1" applyAlignment="1">
      <alignment horizontal="right" vertical="center"/>
    </xf>
    <xf numFmtId="0" fontId="71" fillId="0" borderId="94" xfId="5" applyFont="1" applyFill="1" applyBorder="1" applyAlignment="1">
      <alignment vertical="center"/>
    </xf>
    <xf numFmtId="1" fontId="71" fillId="0" borderId="94" xfId="5" applyNumberFormat="1" applyFont="1" applyFill="1" applyBorder="1" applyAlignment="1">
      <alignment horizontal="right" vertical="center"/>
    </xf>
    <xf numFmtId="0" fontId="71" fillId="0" borderId="44" xfId="5" applyFont="1" applyFill="1" applyBorder="1" applyAlignment="1">
      <alignment horizontal="right" vertical="center"/>
    </xf>
    <xf numFmtId="38" fontId="71" fillId="54" borderId="134" xfId="5" applyNumberFormat="1" applyFont="1" applyFill="1" applyBorder="1" applyAlignment="1">
      <alignment horizontal="right" vertical="center"/>
    </xf>
    <xf numFmtId="38" fontId="71" fillId="0" borderId="135" xfId="5" applyNumberFormat="1" applyFont="1" applyFill="1" applyBorder="1" applyAlignment="1">
      <alignment horizontal="right" vertical="center"/>
    </xf>
    <xf numFmtId="38" fontId="71" fillId="54" borderId="135" xfId="5" applyNumberFormat="1" applyFont="1" applyFill="1" applyBorder="1" applyAlignment="1">
      <alignment horizontal="right" vertical="center"/>
    </xf>
    <xf numFmtId="37" fontId="78" fillId="53" borderId="136" xfId="5" applyNumberFormat="1" applyFont="1" applyFill="1" applyBorder="1" applyAlignment="1">
      <alignment vertical="center"/>
    </xf>
    <xf numFmtId="38" fontId="70" fillId="54" borderId="134" xfId="5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vertical="center"/>
    </xf>
    <xf numFmtId="38" fontId="70" fillId="54" borderId="135" xfId="5" applyNumberFormat="1" applyFont="1" applyFill="1" applyBorder="1" applyAlignment="1">
      <alignment vertical="center"/>
    </xf>
    <xf numFmtId="38" fontId="70" fillId="53" borderId="135" xfId="5" applyNumberFormat="1" applyFont="1" applyFill="1" applyBorder="1" applyAlignment="1">
      <alignment vertical="center"/>
    </xf>
    <xf numFmtId="38" fontId="70" fillId="53" borderId="136" xfId="5" applyNumberFormat="1" applyFont="1" applyFill="1" applyBorder="1" applyAlignment="1">
      <alignment vertical="center"/>
    </xf>
    <xf numFmtId="175" fontId="72" fillId="0" borderId="134" xfId="5" applyNumberFormat="1" applyFont="1" applyFill="1" applyBorder="1" applyAlignment="1">
      <alignment vertical="center"/>
    </xf>
    <xf numFmtId="175" fontId="71" fillId="0" borderId="135" xfId="5" applyNumberFormat="1" applyFont="1" applyFill="1" applyBorder="1" applyAlignment="1">
      <alignment vertical="center"/>
    </xf>
    <xf numFmtId="175" fontId="71" fillId="0" borderId="136" xfId="5" applyNumberFormat="1" applyFont="1" applyFill="1" applyBorder="1" applyAlignment="1">
      <alignment vertical="center"/>
    </xf>
    <xf numFmtId="175" fontId="70" fillId="0" borderId="134" xfId="5" applyNumberFormat="1" applyFont="1" applyFill="1" applyBorder="1" applyAlignment="1">
      <alignment horizontal="right" vertical="center"/>
    </xf>
    <xf numFmtId="175" fontId="70" fillId="54" borderId="135" xfId="5" applyNumberFormat="1" applyFont="1" applyFill="1" applyBorder="1" applyAlignment="1">
      <alignment horizontal="right" vertical="center"/>
    </xf>
    <xf numFmtId="38" fontId="70" fillId="54" borderId="136" xfId="5" applyNumberFormat="1" applyFont="1" applyFill="1" applyBorder="1" applyAlignment="1">
      <alignment horizontal="right" vertical="center"/>
    </xf>
    <xf numFmtId="38" fontId="70" fillId="54" borderId="134" xfId="5" applyNumberFormat="1" applyFont="1" applyFill="1" applyBorder="1" applyAlignment="1">
      <alignment horizontal="right" vertical="center"/>
    </xf>
    <xf numFmtId="38" fontId="70" fillId="54" borderId="135" xfId="5" applyNumberFormat="1" applyFont="1" applyFill="1" applyBorder="1" applyAlignment="1">
      <alignment horizontal="right" vertical="center"/>
    </xf>
    <xf numFmtId="38" fontId="72" fillId="54" borderId="135" xfId="5" applyNumberFormat="1" applyFont="1" applyFill="1" applyBorder="1" applyAlignment="1">
      <alignment horizontal="right" vertical="center"/>
    </xf>
    <xf numFmtId="38" fontId="78" fillId="54" borderId="136" xfId="5" applyNumberFormat="1" applyFont="1" applyFill="1" applyBorder="1" applyAlignment="1">
      <alignment horizontal="right" vertical="center"/>
    </xf>
    <xf numFmtId="38" fontId="71" fillId="0" borderId="138" xfId="5" applyNumberFormat="1" applyFont="1" applyFill="1" applyBorder="1" applyAlignment="1">
      <alignment vertical="center"/>
    </xf>
    <xf numFmtId="0" fontId="71" fillId="0" borderId="0" xfId="5" applyFont="1" applyFill="1" applyAlignment="1">
      <alignment horizontal="center" vertical="center"/>
    </xf>
    <xf numFmtId="1" fontId="71" fillId="0" borderId="0" xfId="5" applyNumberFormat="1" applyFont="1" applyFill="1" applyBorder="1" applyAlignment="1">
      <alignment horizontal="center" vertical="center"/>
    </xf>
    <xf numFmtId="38" fontId="71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right" vertical="center"/>
    </xf>
    <xf numFmtId="38" fontId="71" fillId="0" borderId="0" xfId="7" applyNumberFormat="1" applyFont="1" applyFill="1" applyBorder="1" applyAlignment="1">
      <alignment horizontal="center" vertical="center"/>
    </xf>
    <xf numFmtId="38" fontId="70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center" vertical="center"/>
    </xf>
    <xf numFmtId="38" fontId="70" fillId="0" borderId="0" xfId="6" applyNumberFormat="1" applyFont="1" applyFill="1" applyBorder="1" applyAlignment="1">
      <alignment horizontal="center" vertical="center"/>
    </xf>
    <xf numFmtId="38" fontId="70" fillId="0" borderId="0" xfId="5" applyNumberFormat="1" applyFont="1" applyFill="1" applyBorder="1" applyAlignment="1">
      <alignment horizontal="left" vertical="center"/>
    </xf>
    <xf numFmtId="38" fontId="70" fillId="0" borderId="134" xfId="6" applyNumberFormat="1" applyFont="1" applyFill="1" applyBorder="1" applyAlignment="1">
      <alignment vertical="center"/>
    </xf>
    <xf numFmtId="38" fontId="70" fillId="0" borderId="135" xfId="6" applyNumberFormat="1" applyFont="1" applyFill="1" applyBorder="1" applyAlignment="1">
      <alignment vertical="center"/>
    </xf>
    <xf numFmtId="38" fontId="70" fillId="0" borderId="136" xfId="6" applyNumberFormat="1" applyFont="1" applyFill="1" applyBorder="1" applyAlignment="1">
      <alignment vertical="center"/>
    </xf>
    <xf numFmtId="38" fontId="70" fillId="0" borderId="138" xfId="6" applyNumberFormat="1" applyFont="1" applyFill="1" applyBorder="1" applyAlignment="1">
      <alignment vertical="center"/>
    </xf>
    <xf numFmtId="3" fontId="70" fillId="0" borderId="18" xfId="6" applyNumberFormat="1" applyFont="1" applyFill="1" applyBorder="1"/>
    <xf numFmtId="3" fontId="71" fillId="0" borderId="18" xfId="6" applyNumberFormat="1" applyFont="1" applyFill="1" applyBorder="1"/>
    <xf numFmtId="3" fontId="71" fillId="0" borderId="18" xfId="8" applyNumberFormat="1" applyFont="1" applyFill="1" applyBorder="1"/>
    <xf numFmtId="3" fontId="71" fillId="0" borderId="18" xfId="5" applyNumberFormat="1" applyFont="1" applyFill="1" applyBorder="1"/>
    <xf numFmtId="0" fontId="71" fillId="0" borderId="0" xfId="5" applyFont="1" applyBorder="1"/>
    <xf numFmtId="169" fontId="75" fillId="0" borderId="18" xfId="5" applyNumberFormat="1" applyFont="1" applyFill="1" applyBorder="1"/>
    <xf numFmtId="9" fontId="78" fillId="0" borderId="18" xfId="8" applyFont="1" applyFill="1" applyBorder="1"/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3" fontId="70" fillId="0" borderId="18" xfId="5" applyNumberFormat="1" applyFont="1" applyFill="1" applyBorder="1"/>
    <xf numFmtId="0" fontId="71" fillId="0" borderId="10" xfId="5" applyFont="1" applyFill="1" applyBorder="1" applyAlignment="1">
      <alignment horizontal="center"/>
    </xf>
    <xf numFmtId="0" fontId="76" fillId="0" borderId="10" xfId="5" applyFont="1" applyFill="1" applyBorder="1" applyAlignment="1">
      <alignment horizontal="center"/>
    </xf>
    <xf numFmtId="0" fontId="70" fillId="0" borderId="101" xfId="5" applyFont="1" applyFill="1" applyBorder="1" applyAlignment="1">
      <alignment horizontal="center"/>
    </xf>
    <xf numFmtId="3" fontId="70" fillId="0" borderId="18" xfId="6" applyNumberFormat="1" applyFont="1" applyFill="1" applyBorder="1" applyAlignment="1">
      <alignment horizontal="left"/>
    </xf>
    <xf numFmtId="41" fontId="71" fillId="0" borderId="18" xfId="6" applyNumberFormat="1" applyFont="1" applyFill="1" applyBorder="1"/>
    <xf numFmtId="38" fontId="70" fillId="0" borderId="18" xfId="7" applyNumberFormat="1" applyFont="1" applyFill="1" applyBorder="1"/>
    <xf numFmtId="9" fontId="70" fillId="0" borderId="18" xfId="8" applyFont="1" applyFill="1" applyBorder="1"/>
    <xf numFmtId="0" fontId="71" fillId="0" borderId="101" xfId="5" applyFont="1" applyFill="1" applyBorder="1" applyAlignment="1">
      <alignment horizontal="center"/>
    </xf>
    <xf numFmtId="10" fontId="75" fillId="0" borderId="18" xfId="8" applyNumberFormat="1" applyFont="1" applyFill="1" applyBorder="1"/>
    <xf numFmtId="0" fontId="70" fillId="0" borderId="18" xfId="5" applyFont="1" applyFill="1" applyBorder="1" applyAlignment="1">
      <alignment horizontal="center" vertical="center"/>
    </xf>
    <xf numFmtId="9" fontId="70" fillId="0" borderId="18" xfId="8" applyFont="1" applyFill="1" applyBorder="1" applyAlignment="1">
      <alignment vertical="center"/>
    </xf>
    <xf numFmtId="0" fontId="70" fillId="0" borderId="18" xfId="5" applyFont="1" applyFill="1" applyBorder="1"/>
    <xf numFmtId="0" fontId="70" fillId="0" borderId="18" xfId="5" applyFont="1" applyFill="1" applyBorder="1" applyAlignment="1">
      <alignment horizontal="center"/>
    </xf>
    <xf numFmtId="20" fontId="70" fillId="0" borderId="18" xfId="5" applyNumberFormat="1" applyFont="1" applyFill="1" applyBorder="1" applyAlignment="1">
      <alignment horizontal="center"/>
    </xf>
    <xf numFmtId="10" fontId="75" fillId="52" borderId="18" xfId="8" applyNumberFormat="1" applyFont="1" applyFill="1" applyBorder="1"/>
    <xf numFmtId="0" fontId="70" fillId="2" borderId="0" xfId="5" applyFont="1" applyFill="1" applyAlignment="1">
      <alignment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0" borderId="0" xfId="6" applyNumberFormat="1" applyFont="1" applyBorder="1" applyAlignment="1">
      <alignment horizontal="center" vertical="center"/>
    </xf>
    <xf numFmtId="38" fontId="70" fillId="0" borderId="0" xfId="7" applyNumberFormat="1" applyFont="1" applyAlignment="1">
      <alignment horizontal="center" vertical="center"/>
    </xf>
    <xf numFmtId="38" fontId="70" fillId="0" borderId="116" xfId="5" applyNumberFormat="1" applyFont="1" applyFill="1" applyBorder="1" applyAlignment="1">
      <alignment horizontal="right" vertical="center"/>
    </xf>
    <xf numFmtId="38" fontId="70" fillId="0" borderId="117" xfId="5" applyNumberFormat="1" applyFont="1" applyFill="1" applyBorder="1" applyAlignment="1">
      <alignment horizontal="right" vertical="center"/>
    </xf>
    <xf numFmtId="38" fontId="70" fillId="0" borderId="59" xfId="5" applyNumberFormat="1" applyFont="1" applyFill="1" applyBorder="1" applyAlignment="1">
      <alignment horizontal="right" vertical="center"/>
    </xf>
    <xf numFmtId="38" fontId="70" fillId="0" borderId="120" xfId="5" applyNumberFormat="1" applyFont="1" applyFill="1" applyBorder="1" applyAlignment="1">
      <alignment horizontal="right" vertical="center"/>
    </xf>
    <xf numFmtId="38" fontId="70" fillId="0" borderId="116" xfId="6" applyNumberFormat="1" applyFont="1" applyFill="1" applyBorder="1" applyAlignment="1">
      <alignment horizontal="right" vertical="center"/>
    </xf>
    <xf numFmtId="38" fontId="70" fillId="0" borderId="117" xfId="6" applyNumberFormat="1" applyFont="1" applyFill="1" applyBorder="1" applyAlignment="1">
      <alignment horizontal="right" vertical="center"/>
    </xf>
    <xf numFmtId="38" fontId="70" fillId="0" borderId="120" xfId="6" applyNumberFormat="1" applyFont="1" applyFill="1" applyBorder="1" applyAlignment="1">
      <alignment horizontal="right" vertical="center"/>
    </xf>
    <xf numFmtId="38" fontId="70" fillId="0" borderId="119" xfId="7" applyNumberFormat="1" applyFont="1" applyFill="1" applyBorder="1" applyAlignment="1">
      <alignment horizontal="right" vertical="center"/>
    </xf>
    <xf numFmtId="38" fontId="70" fillId="0" borderId="121" xfId="5" applyNumberFormat="1" applyFont="1" applyFill="1" applyBorder="1" applyAlignment="1">
      <alignment horizontal="right" vertical="center"/>
    </xf>
    <xf numFmtId="38" fontId="70" fillId="0" borderId="121" xfId="6" applyNumberFormat="1" applyFont="1" applyFill="1" applyBorder="1" applyAlignment="1">
      <alignment horizontal="right" vertical="center"/>
    </xf>
    <xf numFmtId="38" fontId="70" fillId="0" borderId="57" xfId="6" applyNumberFormat="1" applyFont="1" applyFill="1" applyBorder="1" applyAlignment="1">
      <alignment horizontal="right" vertical="center"/>
    </xf>
    <xf numFmtId="38" fontId="70" fillId="0" borderId="59" xfId="6" applyNumberFormat="1" applyFont="1" applyFill="1" applyBorder="1" applyAlignment="1">
      <alignment horizontal="right" vertical="center"/>
    </xf>
    <xf numFmtId="38" fontId="70" fillId="0" borderId="122" xfId="7" applyNumberFormat="1" applyFont="1" applyFill="1" applyBorder="1" applyAlignment="1">
      <alignment horizontal="right" vertical="center"/>
    </xf>
    <xf numFmtId="38" fontId="70" fillId="0" borderId="125" xfId="5" applyNumberFormat="1" applyFont="1" applyFill="1" applyBorder="1" applyAlignment="1">
      <alignment horizontal="right" vertical="center"/>
    </xf>
    <xf numFmtId="38" fontId="70" fillId="0" borderId="126" xfId="5" applyNumberFormat="1" applyFont="1" applyFill="1" applyBorder="1" applyAlignment="1">
      <alignment horizontal="right" vertical="center"/>
    </xf>
    <xf numFmtId="38" fontId="70" fillId="0" borderId="133" xfId="5" applyNumberFormat="1" applyFont="1" applyFill="1" applyBorder="1" applyAlignment="1">
      <alignment horizontal="right" vertical="center"/>
    </xf>
    <xf numFmtId="38" fontId="70" fillId="0" borderId="125" xfId="6" applyNumberFormat="1" applyFont="1" applyFill="1" applyBorder="1" applyAlignment="1">
      <alignment horizontal="right" vertical="center"/>
    </xf>
    <xf numFmtId="38" fontId="70" fillId="0" borderId="126" xfId="6" applyNumberFormat="1" applyFont="1" applyFill="1" applyBorder="1" applyAlignment="1">
      <alignment horizontal="right" vertical="center"/>
    </xf>
    <xf numFmtId="38" fontId="70" fillId="0" borderId="133" xfId="6" applyNumberFormat="1" applyFont="1" applyFill="1" applyBorder="1" applyAlignment="1">
      <alignment horizontal="right" vertical="center"/>
    </xf>
    <xf numFmtId="38" fontId="70" fillId="0" borderId="132" xfId="7" applyNumberFormat="1" applyFont="1" applyFill="1" applyBorder="1" applyAlignment="1">
      <alignment horizontal="right" vertical="center"/>
    </xf>
    <xf numFmtId="38" fontId="70" fillId="0" borderId="82" xfId="6" applyNumberFormat="1" applyFont="1" applyFill="1" applyBorder="1" applyAlignment="1">
      <alignment vertical="center"/>
    </xf>
    <xf numFmtId="38" fontId="70" fillId="54" borderId="82" xfId="6" applyNumberFormat="1" applyFont="1" applyFill="1" applyBorder="1" applyAlignment="1">
      <alignment vertical="center"/>
    </xf>
    <xf numFmtId="38" fontId="70" fillId="54" borderId="117" xfId="5" applyNumberFormat="1" applyFont="1" applyFill="1" applyBorder="1" applyAlignment="1">
      <alignment horizontal="right" vertical="center"/>
    </xf>
    <xf numFmtId="38" fontId="70" fillId="54" borderId="57" xfId="5" applyNumberFormat="1" applyFont="1" applyFill="1" applyBorder="1" applyAlignment="1">
      <alignment horizontal="right" vertical="center"/>
    </xf>
    <xf numFmtId="38" fontId="70" fillId="54" borderId="126" xfId="5" applyNumberFormat="1" applyFont="1" applyFill="1" applyBorder="1" applyAlignment="1">
      <alignment horizontal="right" vertical="center"/>
    </xf>
    <xf numFmtId="38" fontId="70" fillId="54" borderId="135" xfId="6" applyNumberFormat="1" applyFont="1" applyFill="1" applyBorder="1" applyAlignment="1">
      <alignment vertical="center"/>
    </xf>
    <xf numFmtId="38" fontId="70" fillId="0" borderId="114" xfId="5" applyNumberFormat="1" applyFont="1" applyFill="1" applyBorder="1" applyAlignment="1">
      <alignment horizontal="center" vertical="center"/>
    </xf>
    <xf numFmtId="38" fontId="70" fillId="54" borderId="109" xfId="6" applyNumberFormat="1" applyFont="1" applyFill="1" applyBorder="1" applyAlignment="1">
      <alignment vertical="center"/>
    </xf>
    <xf numFmtId="38" fontId="70" fillId="0" borderId="113" xfId="6" applyNumberFormat="1" applyFont="1" applyFill="1" applyBorder="1" applyAlignment="1">
      <alignment vertical="center"/>
    </xf>
    <xf numFmtId="38" fontId="70" fillId="0" borderId="116" xfId="5" applyNumberFormat="1" applyFont="1" applyFill="1" applyBorder="1" applyAlignment="1">
      <alignment horizontal="center" vertical="center"/>
    </xf>
    <xf numFmtId="38" fontId="70" fillId="0" borderId="121" xfId="5" applyNumberFormat="1" applyFont="1" applyFill="1" applyBorder="1" applyAlignment="1">
      <alignment horizontal="center" vertical="center"/>
    </xf>
    <xf numFmtId="38" fontId="70" fillId="0" borderId="121" xfId="6" applyNumberFormat="1" applyFont="1" applyFill="1" applyBorder="1" applyAlignment="1">
      <alignment horizontal="center" vertical="center"/>
    </xf>
    <xf numFmtId="38" fontId="70" fillId="0" borderId="130" xfId="6" applyNumberFormat="1" applyFont="1" applyFill="1" applyBorder="1" applyAlignment="1">
      <alignment horizontal="center" vertical="center"/>
    </xf>
    <xf numFmtId="38" fontId="70" fillId="54" borderId="129" xfId="5" applyNumberFormat="1" applyFont="1" applyFill="1" applyBorder="1" applyAlignment="1">
      <alignment horizontal="right" vertical="center"/>
    </xf>
    <xf numFmtId="38" fontId="70" fillId="0" borderId="129" xfId="5" applyNumberFormat="1" applyFont="1" applyFill="1" applyBorder="1" applyAlignment="1">
      <alignment horizontal="right" vertical="center"/>
    </xf>
    <xf numFmtId="38" fontId="70" fillId="0" borderId="127" xfId="5" applyNumberFormat="1" applyFont="1" applyFill="1" applyBorder="1" applyAlignment="1">
      <alignment horizontal="right" vertical="center"/>
    </xf>
    <xf numFmtId="38" fontId="70" fillId="54" borderId="112" xfId="5" applyNumberFormat="1" applyFont="1" applyFill="1" applyBorder="1" applyAlignment="1">
      <alignment horizontal="center" vertical="center"/>
    </xf>
    <xf numFmtId="38" fontId="70" fillId="54" borderId="112" xfId="5" applyNumberFormat="1" applyFont="1" applyFill="1" applyBorder="1" applyAlignment="1">
      <alignment horizontal="center" vertical="center" wrapText="1"/>
    </xf>
    <xf numFmtId="41" fontId="70" fillId="0" borderId="0" xfId="2" applyFont="1"/>
    <xf numFmtId="164" fontId="70" fillId="0" borderId="0" xfId="5" applyNumberFormat="1" applyFont="1"/>
    <xf numFmtId="41" fontId="70" fillId="0" borderId="0" xfId="2" applyFont="1" applyAlignment="1">
      <alignment vertical="center"/>
    </xf>
    <xf numFmtId="164" fontId="70" fillId="0" borderId="0" xfId="5" applyNumberFormat="1" applyFont="1" applyAlignment="1">
      <alignment vertical="center"/>
    </xf>
    <xf numFmtId="165" fontId="70" fillId="0" borderId="0" xfId="5" applyNumberFormat="1" applyFont="1"/>
    <xf numFmtId="38" fontId="70" fillId="54" borderId="134" xfId="6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horizontal="right" vertical="center"/>
    </xf>
    <xf numFmtId="0" fontId="79" fillId="0" borderId="0" xfId="0" applyFont="1"/>
    <xf numFmtId="0" fontId="81" fillId="0" borderId="0" xfId="0" applyFont="1"/>
    <xf numFmtId="0" fontId="81" fillId="0" borderId="0" xfId="0" applyFont="1" applyAlignment="1">
      <alignment vertical="center"/>
    </xf>
    <xf numFmtId="175" fontId="81" fillId="0" borderId="0" xfId="2" applyNumberFormat="1" applyFont="1" applyBorder="1" applyAlignment="1">
      <alignment vertical="center"/>
    </xf>
    <xf numFmtId="175" fontId="81" fillId="0" borderId="0" xfId="0" applyNumberFormat="1" applyFont="1" applyBorder="1"/>
    <xf numFmtId="175" fontId="81" fillId="0" borderId="0" xfId="0" applyNumberFormat="1" applyFont="1"/>
    <xf numFmtId="0" fontId="81" fillId="0" borderId="0" xfId="0" applyFont="1" applyBorder="1" applyAlignment="1">
      <alignment vertical="center"/>
    </xf>
    <xf numFmtId="0" fontId="81" fillId="0" borderId="0" xfId="0" applyFont="1" applyFill="1" applyBorder="1" applyAlignment="1">
      <alignment vertical="center"/>
    </xf>
    <xf numFmtId="0" fontId="82" fillId="0" borderId="0" xfId="0" quotePrefix="1" applyFont="1" applyFill="1" applyBorder="1" applyAlignment="1">
      <alignment horizontal="center" vertical="center"/>
    </xf>
    <xf numFmtId="0" fontId="82" fillId="0" borderId="0" xfId="0" quotePrefix="1" applyFont="1" applyFill="1" applyBorder="1" applyAlignment="1">
      <alignment horizontal="left" vertical="center"/>
    </xf>
    <xf numFmtId="0" fontId="82" fillId="0" borderId="0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175" fontId="81" fillId="0" borderId="0" xfId="0" applyNumberFormat="1" applyFont="1" applyAlignment="1">
      <alignment horizontal="center" vertical="center"/>
    </xf>
    <xf numFmtId="41" fontId="81" fillId="0" borderId="0" xfId="2" applyFont="1" applyBorder="1"/>
    <xf numFmtId="0" fontId="83" fillId="55" borderId="0" xfId="0" applyFont="1" applyFill="1" applyBorder="1" applyAlignment="1">
      <alignment horizontal="left" vertical="center"/>
    </xf>
    <xf numFmtId="0" fontId="84" fillId="55" borderId="0" xfId="0" applyFont="1" applyFill="1" applyAlignment="1">
      <alignment horizontal="center" vertical="center"/>
    </xf>
    <xf numFmtId="175" fontId="84" fillId="55" borderId="0" xfId="2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 wrapText="1"/>
    </xf>
    <xf numFmtId="0" fontId="83" fillId="55" borderId="0" xfId="0" applyFont="1" applyFill="1" applyBorder="1" applyAlignment="1">
      <alignment vertical="center"/>
    </xf>
    <xf numFmtId="0" fontId="84" fillId="55" borderId="0" xfId="0" applyFont="1" applyFill="1" applyAlignment="1">
      <alignment vertical="center"/>
    </xf>
    <xf numFmtId="175" fontId="84" fillId="55" borderId="0" xfId="2" applyNumberFormat="1" applyFont="1" applyFill="1" applyBorder="1" applyAlignment="1">
      <alignment vertical="center"/>
    </xf>
    <xf numFmtId="175" fontId="84" fillId="55" borderId="0" xfId="0" applyNumberFormat="1" applyFont="1" applyFill="1" applyBorder="1"/>
    <xf numFmtId="0" fontId="83" fillId="55" borderId="0" xfId="0" quotePrefix="1" applyFont="1" applyFill="1" applyBorder="1" applyAlignment="1">
      <alignment horizontal="left" vertical="center"/>
    </xf>
    <xf numFmtId="0" fontId="83" fillId="0" borderId="0" xfId="0" applyFont="1" applyFill="1" applyBorder="1" applyAlignment="1">
      <alignment horizontal="left" vertical="center"/>
    </xf>
    <xf numFmtId="0" fontId="84" fillId="0" borderId="0" xfId="0" applyFont="1" applyFill="1" applyAlignment="1">
      <alignment horizontal="center" vertical="center"/>
    </xf>
    <xf numFmtId="175" fontId="84" fillId="0" borderId="0" xfId="2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 wrapText="1"/>
    </xf>
    <xf numFmtId="175" fontId="81" fillId="0" borderId="0" xfId="0" applyNumberFormat="1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3" fillId="0" borderId="0" xfId="0" applyFont="1" applyFill="1" applyBorder="1" applyAlignment="1">
      <alignment vertical="center"/>
    </xf>
    <xf numFmtId="0" fontId="84" fillId="0" borderId="0" xfId="0" applyFont="1" applyFill="1" applyAlignment="1">
      <alignment vertical="center"/>
    </xf>
    <xf numFmtId="175" fontId="84" fillId="0" borderId="0" xfId="2" applyNumberFormat="1" applyFont="1" applyFill="1" applyBorder="1" applyAlignment="1">
      <alignment vertical="center"/>
    </xf>
    <xf numFmtId="175" fontId="84" fillId="0" borderId="0" xfId="0" applyNumberFormat="1" applyFont="1" applyFill="1" applyBorder="1"/>
    <xf numFmtId="175" fontId="81" fillId="0" borderId="0" xfId="0" applyNumberFormat="1" applyFont="1" applyFill="1"/>
    <xf numFmtId="0" fontId="81" fillId="0" borderId="0" xfId="0" applyFont="1" applyFill="1"/>
    <xf numFmtId="0" fontId="83" fillId="0" borderId="0" xfId="0" quotePrefix="1" applyFont="1" applyFill="1" applyBorder="1" applyAlignment="1">
      <alignment horizontal="left" vertical="center"/>
    </xf>
    <xf numFmtId="0" fontId="81" fillId="0" borderId="162" xfId="0" applyFont="1" applyFill="1" applyBorder="1" applyAlignment="1">
      <alignment vertical="center"/>
    </xf>
    <xf numFmtId="0" fontId="81" fillId="0" borderId="162" xfId="0" applyFont="1" applyBorder="1" applyAlignment="1">
      <alignment vertical="center"/>
    </xf>
    <xf numFmtId="175" fontId="81" fillId="56" borderId="162" xfId="0" applyNumberFormat="1" applyFont="1" applyFill="1" applyBorder="1"/>
    <xf numFmtId="0" fontId="81" fillId="0" borderId="163" xfId="0" applyFont="1" applyFill="1" applyBorder="1" applyAlignment="1">
      <alignment vertical="center"/>
    </xf>
    <xf numFmtId="0" fontId="81" fillId="0" borderId="163" xfId="0" applyFont="1" applyBorder="1" applyAlignment="1">
      <alignment vertical="center"/>
    </xf>
    <xf numFmtId="175" fontId="81" fillId="0" borderId="163" xfId="2" applyNumberFormat="1" applyFont="1" applyBorder="1" applyAlignment="1">
      <alignment vertical="center"/>
    </xf>
    <xf numFmtId="175" fontId="81" fillId="56" borderId="163" xfId="0" applyNumberFormat="1" applyFont="1" applyFill="1" applyBorder="1"/>
    <xf numFmtId="175" fontId="81" fillId="0" borderId="162" xfId="2" applyNumberFormat="1" applyFont="1" applyBorder="1" applyAlignment="1">
      <alignment vertical="center"/>
    </xf>
    <xf numFmtId="175" fontId="81" fillId="0" borderId="163" xfId="0" applyNumberFormat="1" applyFont="1" applyBorder="1"/>
    <xf numFmtId="175" fontId="81" fillId="0" borderId="162" xfId="2" applyNumberFormat="1" applyFont="1" applyBorder="1"/>
    <xf numFmtId="0" fontId="81" fillId="0" borderId="162" xfId="0" quotePrefix="1" applyFont="1" applyFill="1" applyBorder="1" applyAlignment="1">
      <alignment vertical="center"/>
    </xf>
    <xf numFmtId="175" fontId="81" fillId="0" borderId="162" xfId="0" applyNumberFormat="1" applyFont="1" applyBorder="1"/>
    <xf numFmtId="0" fontId="81" fillId="0" borderId="163" xfId="0" quotePrefix="1" applyFont="1" applyFill="1" applyBorder="1" applyAlignment="1">
      <alignment vertical="center"/>
    </xf>
    <xf numFmtId="0" fontId="82" fillId="0" borderId="163" xfId="0" quotePrefix="1" applyFont="1" applyFill="1" applyBorder="1" applyAlignment="1">
      <alignment horizontal="left" vertical="center"/>
    </xf>
    <xf numFmtId="0" fontId="82" fillId="0" borderId="162" xfId="0" applyFont="1" applyFill="1" applyBorder="1" applyAlignment="1">
      <alignment horizontal="left" vertical="center"/>
    </xf>
    <xf numFmtId="175" fontId="81" fillId="56" borderId="163" xfId="2" applyNumberFormat="1" applyFont="1" applyFill="1" applyBorder="1" applyAlignment="1">
      <alignment vertical="center"/>
    </xf>
    <xf numFmtId="0" fontId="81" fillId="56" borderId="163" xfId="0" quotePrefix="1" applyFont="1" applyFill="1" applyBorder="1" applyAlignment="1">
      <alignment vertical="center"/>
    </xf>
    <xf numFmtId="0" fontId="81" fillId="56" borderId="163" xfId="0" applyFont="1" applyFill="1" applyBorder="1" applyAlignment="1">
      <alignment vertical="center"/>
    </xf>
    <xf numFmtId="0" fontId="81" fillId="0" borderId="7" xfId="0" applyFont="1" applyBorder="1" applyAlignment="1">
      <alignment vertical="center"/>
    </xf>
    <xf numFmtId="175" fontId="81" fillId="0" borderId="7" xfId="2" applyNumberFormat="1" applyFont="1" applyBorder="1" applyAlignment="1">
      <alignment vertical="center"/>
    </xf>
    <xf numFmtId="0" fontId="81" fillId="0" borderId="0" xfId="0" applyFont="1" applyBorder="1" applyAlignment="1">
      <alignment horizontal="left" vertical="center"/>
    </xf>
    <xf numFmtId="175" fontId="83" fillId="55" borderId="0" xfId="2" applyNumberFormat="1" applyFont="1" applyFill="1" applyBorder="1" applyAlignment="1">
      <alignment horizontal="center" vertical="center"/>
    </xf>
    <xf numFmtId="175" fontId="83" fillId="55" borderId="0" xfId="0" applyNumberFormat="1" applyFont="1" applyFill="1" applyBorder="1" applyAlignment="1">
      <alignment horizontal="center" vertical="center"/>
    </xf>
    <xf numFmtId="175" fontId="83" fillId="55" borderId="7" xfId="2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 wrapText="1"/>
    </xf>
    <xf numFmtId="0" fontId="81" fillId="0" borderId="164" xfId="0" applyFont="1" applyBorder="1" applyAlignment="1">
      <alignment vertical="center"/>
    </xf>
    <xf numFmtId="9" fontId="81" fillId="56" borderId="162" xfId="0" quotePrefix="1" applyNumberFormat="1" applyFont="1" applyFill="1" applyBorder="1"/>
    <xf numFmtId="10" fontId="81" fillId="0" borderId="162" xfId="3" applyNumberFormat="1" applyFont="1" applyBorder="1" applyAlignment="1">
      <alignment vertical="center"/>
    </xf>
    <xf numFmtId="175" fontId="81" fillId="0" borderId="163" xfId="2" applyNumberFormat="1" applyFont="1" applyBorder="1"/>
    <xf numFmtId="175" fontId="81" fillId="53" borderId="163" xfId="2" applyNumberFormat="1" applyFont="1" applyFill="1" applyBorder="1"/>
    <xf numFmtId="168" fontId="81" fillId="0" borderId="163" xfId="3" applyNumberFormat="1" applyFont="1" applyBorder="1"/>
    <xf numFmtId="10" fontId="81" fillId="0" borderId="163" xfId="3" applyNumberFormat="1" applyFont="1" applyBorder="1"/>
    <xf numFmtId="9" fontId="81" fillId="0" borderId="0" xfId="3" applyFont="1"/>
    <xf numFmtId="168" fontId="81" fillId="0" borderId="163" xfId="0" applyNumberFormat="1" applyFont="1" applyBorder="1"/>
    <xf numFmtId="41" fontId="81" fillId="0" borderId="0" xfId="2" applyFont="1"/>
    <xf numFmtId="169" fontId="81" fillId="0" borderId="0" xfId="0" applyNumberFormat="1" applyFont="1"/>
    <xf numFmtId="0" fontId="71" fillId="0" borderId="10" xfId="5" applyFont="1" applyFill="1" applyBorder="1" applyAlignment="1">
      <alignment horizontal="center"/>
    </xf>
    <xf numFmtId="38" fontId="70" fillId="0" borderId="112" xfId="5" applyNumberFormat="1" applyFont="1" applyFill="1" applyBorder="1" applyAlignment="1">
      <alignment horizontal="center" vertical="center"/>
    </xf>
    <xf numFmtId="0" fontId="87" fillId="0" borderId="0" xfId="5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/>
    </xf>
    <xf numFmtId="3" fontId="90" fillId="0" borderId="0" xfId="5" applyNumberFormat="1" applyFont="1" applyFill="1" applyBorder="1"/>
    <xf numFmtId="38" fontId="93" fillId="0" borderId="0" xfId="5" applyNumberFormat="1" applyFont="1" applyFill="1" applyBorder="1" applyAlignment="1">
      <alignment horizontal="left" vertical="center"/>
    </xf>
    <xf numFmtId="38" fontId="90" fillId="0" borderId="0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horizontal="center" vertical="center"/>
    </xf>
    <xf numFmtId="38" fontId="70" fillId="0" borderId="0" xfId="5" applyNumberFormat="1" applyFont="1" applyFill="1"/>
    <xf numFmtId="3" fontId="70" fillId="0" borderId="0" xfId="5" applyNumberFormat="1" applyFont="1" applyFill="1" applyAlignment="1">
      <alignment vertical="center"/>
    </xf>
    <xf numFmtId="38" fontId="70" fillId="0" borderId="0" xfId="5" applyNumberFormat="1" applyFont="1" applyFill="1" applyAlignment="1">
      <alignment vertical="center"/>
    </xf>
    <xf numFmtId="38" fontId="70" fillId="0" borderId="0" xfId="6" applyNumberFormat="1" applyFont="1" applyFill="1" applyAlignment="1">
      <alignment vertical="center"/>
    </xf>
    <xf numFmtId="38" fontId="70" fillId="0" borderId="0" xfId="7" applyNumberFormat="1" applyFont="1" applyFill="1" applyAlignment="1">
      <alignment vertical="center"/>
    </xf>
    <xf numFmtId="14" fontId="70" fillId="0" borderId="0" xfId="5" applyNumberFormat="1" applyFont="1" applyFill="1" applyAlignment="1">
      <alignment horizontal="left" vertical="center"/>
    </xf>
    <xf numFmtId="0" fontId="70" fillId="0" borderId="0" xfId="5" applyFont="1" applyFill="1" applyAlignment="1">
      <alignment horizontal="right" vertical="center"/>
    </xf>
    <xf numFmtId="41" fontId="70" fillId="0" borderId="0" xfId="5" applyNumberFormat="1" applyFont="1" applyFill="1" applyAlignment="1" applyProtection="1">
      <alignment vertical="center"/>
      <protection locked="0"/>
    </xf>
    <xf numFmtId="38" fontId="70" fillId="0" borderId="0" xfId="6" applyNumberFormat="1" applyFont="1" applyFill="1" applyBorder="1" applyAlignment="1">
      <alignment vertical="center"/>
    </xf>
    <xf numFmtId="38" fontId="70" fillId="0" borderId="0" xfId="7" applyNumberFormat="1" applyFont="1" applyFill="1" applyBorder="1" applyAlignment="1">
      <alignment vertical="center"/>
    </xf>
    <xf numFmtId="0" fontId="71" fillId="0" borderId="0" xfId="5" applyFont="1" applyFill="1" applyAlignment="1"/>
    <xf numFmtId="14" fontId="70" fillId="0" borderId="0" xfId="5" applyNumberFormat="1" applyFont="1" applyFill="1" applyAlignment="1">
      <alignment horizontal="left"/>
    </xf>
    <xf numFmtId="0" fontId="70" fillId="0" borderId="0" xfId="5" applyFont="1" applyFill="1" applyAlignment="1">
      <alignment horizontal="right"/>
    </xf>
    <xf numFmtId="15" fontId="70" fillId="0" borderId="0" xfId="5" applyNumberFormat="1" applyFont="1" applyFill="1" applyAlignment="1" applyProtection="1">
      <protection locked="0"/>
    </xf>
    <xf numFmtId="0" fontId="70" fillId="0" borderId="0" xfId="5" applyFont="1" applyFill="1" applyAlignment="1"/>
    <xf numFmtId="38" fontId="70" fillId="0" borderId="0" xfId="5" applyNumberFormat="1" applyFont="1" applyFill="1" applyBorder="1" applyAlignment="1"/>
    <xf numFmtId="38" fontId="70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/>
    <xf numFmtId="38" fontId="70" fillId="0" borderId="0" xfId="7" applyNumberFormat="1" applyFont="1" applyFill="1" applyBorder="1" applyAlignment="1"/>
    <xf numFmtId="38" fontId="87" fillId="0" borderId="0" xfId="5" applyNumberFormat="1" applyFont="1" applyFill="1" applyBorder="1" applyAlignment="1">
      <alignment horizontal="center" vertical="center"/>
    </xf>
    <xf numFmtId="38" fontId="87" fillId="0" borderId="0" xfId="6" applyNumberFormat="1" applyFont="1" applyFill="1" applyBorder="1" applyAlignment="1">
      <alignment horizontal="center" vertical="center"/>
    </xf>
    <xf numFmtId="38" fontId="87" fillId="0" borderId="0" xfId="7" applyNumberFormat="1" applyFont="1" applyFill="1" applyBorder="1" applyAlignment="1">
      <alignment horizontal="center" vertical="center"/>
    </xf>
    <xf numFmtId="0" fontId="88" fillId="0" borderId="0" xfId="5" applyFont="1" applyFill="1" applyAlignment="1">
      <alignment vertical="center"/>
    </xf>
    <xf numFmtId="38" fontId="90" fillId="0" borderId="0" xfId="5" applyNumberFormat="1" applyFont="1" applyFill="1" applyBorder="1" applyAlignment="1">
      <alignment horizontal="center"/>
    </xf>
    <xf numFmtId="38" fontId="90" fillId="0" borderId="0" xfId="6" applyNumberFormat="1" applyFont="1" applyFill="1" applyBorder="1" applyAlignment="1">
      <alignment horizontal="center"/>
    </xf>
    <xf numFmtId="38" fontId="90" fillId="0" borderId="0" xfId="7" applyNumberFormat="1" applyFont="1" applyFill="1" applyBorder="1" applyAlignment="1">
      <alignment horizontal="center"/>
    </xf>
    <xf numFmtId="0" fontId="90" fillId="0" borderId="0" xfId="5" applyFont="1" applyFill="1"/>
    <xf numFmtId="38" fontId="90" fillId="0" borderId="0" xfId="5" applyNumberFormat="1" applyFont="1" applyFill="1" applyBorder="1"/>
    <xf numFmtId="38" fontId="90" fillId="0" borderId="0" xfId="6" applyNumberFormat="1" applyFont="1" applyFill="1" applyBorder="1"/>
    <xf numFmtId="38" fontId="90" fillId="0" borderId="0" xfId="7" applyNumberFormat="1" applyFont="1" applyFill="1" applyBorder="1"/>
    <xf numFmtId="0" fontId="71" fillId="0" borderId="0" xfId="5" applyFont="1" applyFill="1"/>
    <xf numFmtId="41" fontId="70" fillId="0" borderId="0" xfId="5" applyNumberFormat="1" applyFont="1" applyFill="1"/>
    <xf numFmtId="38" fontId="70" fillId="0" borderId="0" xfId="6" applyNumberFormat="1" applyFont="1" applyFill="1"/>
    <xf numFmtId="38" fontId="70" fillId="0" borderId="0" xfId="7" applyNumberFormat="1" applyFont="1" applyFill="1"/>
    <xf numFmtId="0" fontId="71" fillId="0" borderId="66" xfId="5" applyFont="1" applyFill="1" applyBorder="1" applyAlignment="1">
      <alignment horizontal="center"/>
    </xf>
    <xf numFmtId="38" fontId="71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>
      <alignment horizontal="center"/>
    </xf>
    <xf numFmtId="38" fontId="70" fillId="0" borderId="0" xfId="7" applyNumberFormat="1" applyFont="1" applyFill="1" applyAlignment="1">
      <alignment horizontal="center"/>
    </xf>
    <xf numFmtId="0" fontId="89" fillId="0" borderId="18" xfId="5" applyFont="1" applyFill="1" applyBorder="1" applyAlignment="1">
      <alignment vertical="center"/>
    </xf>
    <xf numFmtId="1" fontId="89" fillId="0" borderId="18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vertical="center"/>
    </xf>
    <xf numFmtId="0" fontId="89" fillId="0" borderId="0" xfId="5" applyFont="1" applyFill="1" applyAlignment="1">
      <alignment horizontal="center" vertical="center"/>
    </xf>
    <xf numFmtId="1" fontId="89" fillId="0" borderId="0" xfId="5" applyNumberFormat="1" applyFont="1" applyFill="1" applyBorder="1" applyAlignment="1">
      <alignment horizontal="center" vertical="center"/>
    </xf>
    <xf numFmtId="38" fontId="89" fillId="0" borderId="0" xfId="5" applyNumberFormat="1" applyFont="1" applyFill="1" applyAlignment="1">
      <alignment horizontal="center" vertical="center"/>
    </xf>
    <xf numFmtId="38" fontId="89" fillId="0" borderId="0" xfId="7" applyNumberFormat="1" applyFont="1" applyFill="1" applyBorder="1" applyAlignment="1">
      <alignment horizontal="center" vertical="center"/>
    </xf>
    <xf numFmtId="38" fontId="90" fillId="0" borderId="0" xfId="5" applyNumberFormat="1" applyFont="1" applyFill="1" applyBorder="1" applyAlignment="1">
      <alignment horizontal="center" vertical="center"/>
    </xf>
    <xf numFmtId="38" fontId="90" fillId="0" borderId="0" xfId="6" applyNumberFormat="1" applyFont="1" applyFill="1" applyBorder="1" applyAlignment="1">
      <alignment horizontal="center" vertical="center"/>
    </xf>
    <xf numFmtId="38" fontId="90" fillId="0" borderId="0" xfId="7" applyNumberFormat="1" applyFont="1" applyFill="1" applyAlignment="1">
      <alignment horizontal="center" vertical="center"/>
    </xf>
    <xf numFmtId="0" fontId="71" fillId="0" borderId="0" xfId="5" applyFont="1" applyFill="1" applyBorder="1"/>
    <xf numFmtId="0" fontId="89" fillId="0" borderId="18" xfId="5" applyFont="1" applyFill="1" applyBorder="1" applyAlignment="1">
      <alignment horizontal="center"/>
    </xf>
    <xf numFmtId="0" fontId="91" fillId="0" borderId="18" xfId="5" applyFont="1" applyFill="1" applyBorder="1" applyAlignment="1">
      <alignment horizontal="center"/>
    </xf>
    <xf numFmtId="0" fontId="90" fillId="0" borderId="18" xfId="5" applyFont="1" applyFill="1" applyBorder="1" applyAlignment="1">
      <alignment horizontal="center"/>
    </xf>
    <xf numFmtId="3" fontId="90" fillId="0" borderId="18" xfId="6" applyNumberFormat="1" applyFont="1" applyFill="1" applyBorder="1" applyAlignment="1">
      <alignment horizontal="left"/>
    </xf>
    <xf numFmtId="3" fontId="90" fillId="0" borderId="18" xfId="5" applyNumberFormat="1" applyFont="1" applyFill="1" applyBorder="1" applyAlignment="1">
      <alignment horizontal="left"/>
    </xf>
    <xf numFmtId="3" fontId="89" fillId="0" borderId="18" xfId="6" applyNumberFormat="1" applyFont="1" applyFill="1" applyBorder="1"/>
    <xf numFmtId="3" fontId="90" fillId="0" borderId="18" xfId="6" applyNumberFormat="1" applyFont="1" applyFill="1" applyBorder="1"/>
    <xf numFmtId="3" fontId="89" fillId="0" borderId="18" xfId="8" applyNumberFormat="1" applyFont="1" applyFill="1" applyBorder="1"/>
    <xf numFmtId="3" fontId="89" fillId="0" borderId="18" xfId="5" applyNumberFormat="1" applyFont="1" applyFill="1" applyBorder="1"/>
    <xf numFmtId="41" fontId="89" fillId="0" borderId="18" xfId="6" applyNumberFormat="1" applyFont="1" applyFill="1" applyBorder="1"/>
    <xf numFmtId="41" fontId="90" fillId="0" borderId="18" xfId="6" applyNumberFormat="1" applyFont="1" applyFill="1" applyBorder="1"/>
    <xf numFmtId="171" fontId="89" fillId="0" borderId="18" xfId="6" applyNumberFormat="1" applyFont="1" applyFill="1" applyBorder="1"/>
    <xf numFmtId="9" fontId="90" fillId="0" borderId="18" xfId="8" applyFont="1" applyFill="1" applyBorder="1"/>
    <xf numFmtId="37" fontId="90" fillId="0" borderId="18" xfId="5" applyNumberFormat="1" applyFont="1" applyFill="1" applyBorder="1" applyAlignment="1">
      <alignment horizontal="right"/>
    </xf>
    <xf numFmtId="0" fontId="90" fillId="52" borderId="18" xfId="5" applyFont="1" applyFill="1" applyBorder="1" applyAlignment="1">
      <alignment horizontal="center"/>
    </xf>
    <xf numFmtId="38" fontId="90" fillId="0" borderId="18" xfId="7" applyNumberFormat="1" applyFont="1" applyFill="1" applyBorder="1"/>
    <xf numFmtId="3" fontId="90" fillId="0" borderId="18" xfId="5" applyNumberFormat="1" applyFont="1" applyFill="1" applyBorder="1"/>
    <xf numFmtId="3" fontId="90" fillId="0" borderId="18" xfId="8" applyNumberFormat="1" applyFont="1" applyFill="1" applyBorder="1" applyAlignment="1">
      <alignment wrapText="1"/>
    </xf>
    <xf numFmtId="20" fontId="90" fillId="0" borderId="18" xfId="5" applyNumberFormat="1" applyFont="1" applyFill="1" applyBorder="1" applyAlignment="1">
      <alignment horizontal="center"/>
    </xf>
    <xf numFmtId="38" fontId="90" fillId="0" borderId="18" xfId="5" applyNumberFormat="1" applyFont="1" applyFill="1" applyBorder="1"/>
    <xf numFmtId="0" fontId="90" fillId="0" borderId="18" xfId="5" applyFont="1" applyFill="1" applyBorder="1" applyAlignment="1"/>
    <xf numFmtId="9" fontId="92" fillId="0" borderId="18" xfId="8" applyFont="1" applyFill="1" applyBorder="1"/>
    <xf numFmtId="38" fontId="71" fillId="0" borderId="18" xfId="7" applyNumberFormat="1" applyFont="1" applyFill="1" applyBorder="1" applyAlignment="1">
      <alignment horizontal="right"/>
    </xf>
    <xf numFmtId="38" fontId="71" fillId="0" borderId="18" xfId="5" applyNumberFormat="1" applyFont="1" applyFill="1" applyBorder="1" applyAlignment="1">
      <alignment horizontal="right"/>
    </xf>
    <xf numFmtId="38" fontId="70" fillId="0" borderId="18" xfId="5" applyNumberFormat="1" applyFont="1" applyFill="1" applyBorder="1" applyAlignment="1">
      <alignment horizontal="right"/>
    </xf>
    <xf numFmtId="38" fontId="71" fillId="0" borderId="93" xfId="7" applyNumberFormat="1" applyFont="1" applyFill="1" applyBorder="1" applyAlignment="1">
      <alignment horizontal="right"/>
    </xf>
    <xf numFmtId="38" fontId="71" fillId="0" borderId="94" xfId="7" applyNumberFormat="1" applyFont="1" applyFill="1" applyBorder="1" applyAlignment="1">
      <alignment horizontal="right"/>
    </xf>
    <xf numFmtId="38" fontId="71" fillId="0" borderId="99" xfId="7" applyNumberFormat="1" applyFont="1" applyFill="1" applyBorder="1" applyAlignment="1">
      <alignment horizontal="right"/>
    </xf>
    <xf numFmtId="38" fontId="71" fillId="0" borderId="99" xfId="5" applyNumberFormat="1" applyFont="1" applyFill="1" applyBorder="1" applyAlignment="1">
      <alignment horizontal="right"/>
    </xf>
    <xf numFmtId="38" fontId="71" fillId="0" borderId="105" xfId="5" applyNumberFormat="1" applyFont="1" applyFill="1" applyBorder="1" applyAlignment="1">
      <alignment horizontal="right"/>
    </xf>
    <xf numFmtId="38" fontId="71" fillId="0" borderId="87" xfId="5" applyNumberFormat="1" applyFont="1" applyFill="1" applyBorder="1" applyAlignment="1">
      <alignment horizontal="right"/>
    </xf>
    <xf numFmtId="38" fontId="70" fillId="0" borderId="87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horizontal="right" vertical="center"/>
    </xf>
    <xf numFmtId="38" fontId="71" fillId="56" borderId="94" xfId="7" applyNumberFormat="1" applyFont="1" applyFill="1" applyBorder="1" applyAlignment="1">
      <alignment horizontal="right"/>
    </xf>
    <xf numFmtId="38" fontId="71" fillId="56" borderId="18" xfId="7" applyNumberFormat="1" applyFont="1" applyFill="1" applyBorder="1" applyAlignment="1">
      <alignment horizontal="right"/>
    </xf>
    <xf numFmtId="38" fontId="71" fillId="56" borderId="18" xfId="5" applyNumberFormat="1" applyFont="1" applyFill="1" applyBorder="1" applyAlignment="1">
      <alignment horizontal="right"/>
    </xf>
    <xf numFmtId="38" fontId="71" fillId="56" borderId="87" xfId="5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horizontal="right" vertical="center"/>
    </xf>
    <xf numFmtId="0" fontId="71" fillId="0" borderId="18" xfId="5" applyFont="1" applyFill="1" applyBorder="1" applyAlignment="1">
      <alignment horizontal="center"/>
    </xf>
    <xf numFmtId="1" fontId="71" fillId="0" borderId="18" xfId="5" applyNumberFormat="1" applyFont="1" applyFill="1" applyBorder="1" applyAlignment="1">
      <alignment horizontal="right"/>
    </xf>
    <xf numFmtId="1" fontId="71" fillId="0" borderId="158" xfId="5" applyNumberFormat="1" applyFont="1" applyFill="1" applyBorder="1" applyAlignment="1">
      <alignment horizontal="right"/>
    </xf>
    <xf numFmtId="0" fontId="89" fillId="0" borderId="158" xfId="5" applyFont="1" applyFill="1" applyBorder="1" applyAlignment="1">
      <alignment horizontal="right" vertical="center"/>
    </xf>
    <xf numFmtId="10" fontId="90" fillId="0" borderId="18" xfId="5" applyNumberFormat="1" applyFont="1" applyFill="1" applyBorder="1"/>
    <xf numFmtId="10" fontId="90" fillId="0" borderId="18" xfId="8" applyNumberFormat="1" applyFont="1" applyFill="1" applyBorder="1"/>
    <xf numFmtId="38" fontId="71" fillId="0" borderId="44" xfId="7" applyNumberFormat="1" applyFont="1" applyFill="1" applyBorder="1" applyAlignment="1">
      <alignment horizontal="right"/>
    </xf>
    <xf numFmtId="38" fontId="71" fillId="0" borderId="100" xfId="7" applyNumberFormat="1" applyFont="1" applyFill="1" applyBorder="1" applyAlignment="1">
      <alignment horizontal="right"/>
    </xf>
    <xf numFmtId="38" fontId="71" fillId="0" borderId="89" xfId="7" applyNumberFormat="1" applyFont="1" applyFill="1" applyBorder="1" applyAlignment="1">
      <alignment horizontal="right"/>
    </xf>
    <xf numFmtId="0" fontId="71" fillId="0" borderId="93" xfId="5" applyFont="1" applyFill="1" applyBorder="1" applyAlignment="1">
      <alignment horizontal="center"/>
    </xf>
    <xf numFmtId="0" fontId="71" fillId="0" borderId="94" xfId="5" applyFont="1" applyFill="1" applyBorder="1" applyAlignment="1">
      <alignment horizontal="center"/>
    </xf>
    <xf numFmtId="0" fontId="71" fillId="0" borderId="99" xfId="5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vertical="center"/>
    </xf>
    <xf numFmtId="38" fontId="71" fillId="0" borderId="135" xfId="5" applyNumberFormat="1" applyFont="1" applyFill="1" applyBorder="1" applyAlignment="1">
      <alignment vertical="center"/>
    </xf>
    <xf numFmtId="175" fontId="71" fillId="0" borderId="18" xfId="5" applyNumberFormat="1" applyFont="1" applyFill="1" applyBorder="1" applyAlignment="1">
      <alignment horizontal="right"/>
    </xf>
    <xf numFmtId="175" fontId="71" fillId="0" borderId="94" xfId="5" applyNumberFormat="1" applyFont="1" applyFill="1" applyBorder="1" applyAlignment="1">
      <alignment horizontal="right"/>
    </xf>
    <xf numFmtId="38" fontId="70" fillId="0" borderId="94" xfId="5" applyNumberFormat="1" applyFont="1" applyFill="1" applyBorder="1" applyAlignment="1">
      <alignment horizontal="right"/>
    </xf>
    <xf numFmtId="38" fontId="71" fillId="0" borderId="94" xfId="5" applyNumberFormat="1" applyFont="1" applyFill="1" applyBorder="1" applyAlignment="1">
      <alignment horizontal="right"/>
    </xf>
    <xf numFmtId="38" fontId="71" fillId="0" borderId="158" xfId="5" applyNumberFormat="1" applyFont="1" applyFill="1" applyBorder="1" applyAlignment="1">
      <alignment horizontal="right"/>
    </xf>
    <xf numFmtId="38" fontId="70" fillId="0" borderId="99" xfId="5" applyNumberFormat="1" applyFont="1" applyFill="1" applyBorder="1" applyAlignment="1">
      <alignment horizontal="right"/>
    </xf>
    <xf numFmtId="0" fontId="70" fillId="56" borderId="106" xfId="5" applyFont="1" applyFill="1" applyBorder="1" applyAlignment="1">
      <alignment horizontal="center" vertical="top"/>
    </xf>
    <xf numFmtId="0" fontId="70" fillId="56" borderId="103" xfId="5" applyFont="1" applyFill="1" applyBorder="1" applyAlignment="1">
      <alignment horizontal="center" vertical="top"/>
    </xf>
    <xf numFmtId="0" fontId="70" fillId="56" borderId="113" xfId="5" applyFont="1" applyFill="1" applyBorder="1" applyAlignment="1">
      <alignment horizontal="center" vertical="top"/>
    </xf>
    <xf numFmtId="0" fontId="71" fillId="56" borderId="94" xfId="5" applyFont="1" applyFill="1" applyBorder="1" applyAlignment="1">
      <alignment horizontal="center"/>
    </xf>
    <xf numFmtId="0" fontId="70" fillId="56" borderId="94" xfId="5" applyFont="1" applyFill="1" applyBorder="1" applyAlignment="1">
      <alignment horizontal="center"/>
    </xf>
    <xf numFmtId="38" fontId="71" fillId="0" borderId="45" xfId="5" applyNumberFormat="1" applyFont="1" applyFill="1" applyBorder="1" applyAlignment="1">
      <alignment horizontal="center"/>
    </xf>
    <xf numFmtId="0" fontId="71" fillId="56" borderId="18" xfId="5" applyFont="1" applyFill="1" applyBorder="1" applyAlignment="1">
      <alignment horizontal="center"/>
    </xf>
    <xf numFmtId="0" fontId="70" fillId="56" borderId="18" xfId="5" applyFont="1" applyFill="1" applyBorder="1" applyAlignment="1">
      <alignment horizontal="center"/>
    </xf>
    <xf numFmtId="38" fontId="71" fillId="0" borderId="158" xfId="5" applyNumberFormat="1" applyFont="1" applyFill="1" applyBorder="1" applyAlignment="1">
      <alignment horizontal="center"/>
    </xf>
    <xf numFmtId="38" fontId="70" fillId="56" borderId="18" xfId="7" applyNumberFormat="1" applyFont="1" applyFill="1" applyBorder="1" applyAlignment="1">
      <alignment horizontal="right"/>
    </xf>
    <xf numFmtId="0" fontId="70" fillId="56" borderId="18" xfId="5" applyFont="1" applyFill="1" applyBorder="1" applyAlignment="1">
      <alignment horizontal="right"/>
    </xf>
    <xf numFmtId="38" fontId="71" fillId="0" borderId="18" xfId="10" applyFont="1" applyFill="1" applyBorder="1" applyAlignment="1">
      <alignment horizontal="right"/>
    </xf>
    <xf numFmtId="38" fontId="70" fillId="56" borderId="18" xfId="1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center" vertical="center" wrapText="1"/>
    </xf>
    <xf numFmtId="38" fontId="70" fillId="56" borderId="112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right"/>
    </xf>
    <xf numFmtId="38" fontId="70" fillId="56" borderId="94" xfId="5" applyNumberFormat="1" applyFont="1" applyFill="1" applyBorder="1" applyAlignment="1">
      <alignment horizontal="right"/>
    </xf>
    <xf numFmtId="38" fontId="70" fillId="56" borderId="18" xfId="5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right"/>
    </xf>
    <xf numFmtId="38" fontId="70" fillId="56" borderId="112" xfId="5" applyNumberFormat="1" applyFont="1" applyFill="1" applyBorder="1" applyAlignment="1">
      <alignment horizontal="right"/>
    </xf>
    <xf numFmtId="38" fontId="70" fillId="0" borderId="112" xfId="5" applyNumberFormat="1" applyFont="1" applyFill="1" applyBorder="1" applyAlignment="1">
      <alignment horizontal="right"/>
    </xf>
    <xf numFmtId="38" fontId="70" fillId="0" borderId="159" xfId="5" applyNumberFormat="1" applyFont="1" applyFill="1" applyBorder="1" applyAlignment="1">
      <alignment horizontal="right"/>
    </xf>
    <xf numFmtId="38" fontId="70" fillId="56" borderId="135" xfId="6" applyNumberFormat="1" applyFont="1" applyFill="1" applyBorder="1" applyAlignment="1">
      <alignment vertical="center"/>
    </xf>
    <xf numFmtId="174" fontId="70" fillId="0" borderId="136" xfId="6" applyNumberFormat="1" applyFont="1" applyFill="1" applyBorder="1" applyAlignment="1">
      <alignment vertical="center"/>
    </xf>
    <xf numFmtId="38" fontId="70" fillId="0" borderId="158" xfId="5" applyNumberFormat="1" applyFont="1" applyFill="1" applyBorder="1" applyAlignment="1">
      <alignment horizontal="center"/>
    </xf>
    <xf numFmtId="38" fontId="70" fillId="0" borderId="158" xfId="6" applyNumberFormat="1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right"/>
    </xf>
    <xf numFmtId="38" fontId="70" fillId="0" borderId="93" xfId="6" applyNumberFormat="1" applyFont="1" applyFill="1" applyBorder="1" applyAlignment="1">
      <alignment horizontal="right"/>
    </xf>
    <xf numFmtId="38" fontId="70" fillId="0" borderId="94" xfId="6" applyNumberFormat="1" applyFont="1" applyFill="1" applyBorder="1" applyAlignment="1">
      <alignment horizontal="right"/>
    </xf>
    <xf numFmtId="38" fontId="70" fillId="0" borderId="45" xfId="6" applyNumberFormat="1" applyFont="1" applyFill="1" applyBorder="1" applyAlignment="1">
      <alignment horizontal="right"/>
    </xf>
    <xf numFmtId="38" fontId="70" fillId="0" borderId="99" xfId="6" applyNumberFormat="1" applyFont="1" applyFill="1" applyBorder="1" applyAlignment="1">
      <alignment horizontal="right"/>
    </xf>
    <xf numFmtId="38" fontId="70" fillId="0" borderId="18" xfId="6" applyNumberFormat="1" applyFont="1" applyFill="1" applyBorder="1" applyAlignment="1">
      <alignment horizontal="right"/>
    </xf>
    <xf numFmtId="38" fontId="70" fillId="0" borderId="158" xfId="6" applyNumberFormat="1" applyFont="1" applyFill="1" applyBorder="1" applyAlignment="1">
      <alignment horizontal="right"/>
    </xf>
    <xf numFmtId="38" fontId="70" fillId="0" borderId="111" xfId="6" applyNumberFormat="1" applyFont="1" applyFill="1" applyBorder="1" applyAlignment="1">
      <alignment horizontal="right"/>
    </xf>
    <xf numFmtId="38" fontId="70" fillId="0" borderId="112" xfId="6" applyNumberFormat="1" applyFont="1" applyFill="1" applyBorder="1" applyAlignment="1">
      <alignment horizontal="right"/>
    </xf>
    <xf numFmtId="38" fontId="70" fillId="0" borderId="159" xfId="6" applyNumberFormat="1" applyFont="1" applyFill="1" applyBorder="1" applyAlignment="1">
      <alignment horizontal="right"/>
    </xf>
    <xf numFmtId="38" fontId="70" fillId="0" borderId="93" xfId="7" applyNumberFormat="1" applyFont="1" applyFill="1" applyBorder="1" applyAlignment="1">
      <alignment horizontal="right"/>
    </xf>
    <xf numFmtId="38" fontId="70" fillId="0" borderId="45" xfId="7" applyNumberFormat="1" applyFont="1" applyFill="1" applyBorder="1" applyAlignment="1">
      <alignment horizontal="right"/>
    </xf>
    <xf numFmtId="38" fontId="70" fillId="0" borderId="99" xfId="7" applyNumberFormat="1" applyFont="1" applyFill="1" applyBorder="1" applyAlignment="1">
      <alignment horizontal="right"/>
    </xf>
    <xf numFmtId="38" fontId="70" fillId="0" borderId="158" xfId="7" applyNumberFormat="1" applyFont="1" applyFill="1" applyBorder="1" applyAlignment="1">
      <alignment horizontal="right"/>
    </xf>
    <xf numFmtId="38" fontId="70" fillId="0" borderId="111" xfId="7" applyNumberFormat="1" applyFont="1" applyFill="1" applyBorder="1" applyAlignment="1">
      <alignment horizontal="right"/>
    </xf>
    <xf numFmtId="38" fontId="70" fillId="0" borderId="159" xfId="7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vertical="center"/>
    </xf>
    <xf numFmtId="177" fontId="81" fillId="0" borderId="0" xfId="0" applyNumberFormat="1" applyFont="1"/>
    <xf numFmtId="0" fontId="81" fillId="0" borderId="7" xfId="0" applyFont="1" applyBorder="1"/>
    <xf numFmtId="0" fontId="81" fillId="0" borderId="10" xfId="0" applyFont="1" applyBorder="1"/>
    <xf numFmtId="0" fontId="81" fillId="0" borderId="7" xfId="0" applyFont="1" applyFill="1" applyBorder="1" applyAlignment="1">
      <alignment vertical="center"/>
    </xf>
    <xf numFmtId="0" fontId="81" fillId="52" borderId="7" xfId="0" applyFont="1" applyFill="1" applyBorder="1"/>
    <xf numFmtId="10" fontId="81" fillId="52" borderId="7" xfId="3" applyNumberFormat="1" applyFont="1" applyFill="1" applyBorder="1"/>
    <xf numFmtId="41" fontId="81" fillId="52" borderId="7" xfId="2" applyFont="1" applyFill="1" applyBorder="1"/>
    <xf numFmtId="41" fontId="81" fillId="52" borderId="10" xfId="2" applyFont="1" applyFill="1" applyBorder="1"/>
    <xf numFmtId="0" fontId="81" fillId="0" borderId="0" xfId="0" quotePrefix="1" applyFont="1" applyFill="1" applyBorder="1" applyAlignment="1">
      <alignment vertical="center"/>
    </xf>
    <xf numFmtId="0" fontId="82" fillId="0" borderId="0" xfId="0" applyFont="1"/>
    <xf numFmtId="10" fontId="81" fillId="52" borderId="10" xfId="3" applyNumberFormat="1" applyFont="1" applyFill="1" applyBorder="1"/>
    <xf numFmtId="0" fontId="81" fillId="0" borderId="10" xfId="0" quotePrefix="1" applyFont="1" applyFill="1" applyBorder="1" applyAlignment="1">
      <alignment vertical="center"/>
    </xf>
    <xf numFmtId="9" fontId="81" fillId="52" borderId="10" xfId="3" applyFont="1" applyFill="1" applyBorder="1"/>
    <xf numFmtId="41" fontId="81" fillId="0" borderId="0" xfId="2" applyFont="1" applyFill="1" applyBorder="1"/>
    <xf numFmtId="41" fontId="96" fillId="0" borderId="7" xfId="2" applyFont="1" applyFill="1" applyBorder="1"/>
    <xf numFmtId="41" fontId="96" fillId="0" borderId="7" xfId="2" applyFont="1" applyBorder="1"/>
    <xf numFmtId="41" fontId="96" fillId="0" borderId="7" xfId="0" applyNumberFormat="1" applyFont="1" applyBorder="1"/>
    <xf numFmtId="175" fontId="81" fillId="0" borderId="0" xfId="2" applyNumberFormat="1" applyFont="1" applyFill="1" applyBorder="1" applyAlignment="1">
      <alignment vertical="center"/>
    </xf>
    <xf numFmtId="10" fontId="81" fillId="0" borderId="163" xfId="3" applyNumberFormat="1" applyFont="1" applyFill="1" applyBorder="1" applyAlignment="1">
      <alignment vertical="center"/>
    </xf>
    <xf numFmtId="175" fontId="81" fillId="0" borderId="163" xfId="2" applyNumberFormat="1" applyFont="1" applyFill="1" applyBorder="1" applyAlignment="1">
      <alignment horizontal="right" vertical="center"/>
    </xf>
    <xf numFmtId="10" fontId="81" fillId="0" borderId="163" xfId="3" quotePrefix="1" applyNumberFormat="1" applyFont="1" applyFill="1" applyBorder="1" applyAlignment="1">
      <alignment horizontal="right" vertical="center"/>
    </xf>
    <xf numFmtId="171" fontId="81" fillId="0" borderId="163" xfId="1" quotePrefix="1" applyNumberFormat="1" applyFont="1" applyBorder="1"/>
    <xf numFmtId="9" fontId="81" fillId="0" borderId="163" xfId="0" quotePrefix="1" applyNumberFormat="1" applyFont="1" applyBorder="1"/>
    <xf numFmtId="41" fontId="90" fillId="0" borderId="18" xfId="2" applyFont="1" applyFill="1" applyBorder="1"/>
    <xf numFmtId="41" fontId="90" fillId="0" borderId="18" xfId="2" applyFont="1" applyFill="1" applyBorder="1" applyAlignment="1">
      <alignment horizontal="right"/>
    </xf>
    <xf numFmtId="175" fontId="71" fillId="0" borderId="87" xfId="5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right"/>
    </xf>
    <xf numFmtId="38" fontId="71" fillId="0" borderId="87" xfId="10" applyFont="1" applyFill="1" applyBorder="1" applyAlignment="1">
      <alignment horizontal="right"/>
    </xf>
    <xf numFmtId="38" fontId="70" fillId="56" borderId="87" xfId="7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center"/>
    </xf>
    <xf numFmtId="175" fontId="72" fillId="0" borderId="135" xfId="5" applyNumberFormat="1" applyFont="1" applyFill="1" applyBorder="1" applyAlignment="1">
      <alignment vertical="center"/>
    </xf>
    <xf numFmtId="37" fontId="72" fillId="0" borderId="135" xfId="5" applyNumberFormat="1" applyFont="1" applyFill="1" applyBorder="1" applyAlignment="1">
      <alignment horizontal="right" vertical="center"/>
    </xf>
    <xf numFmtId="38" fontId="70" fillId="0" borderId="134" xfId="5" applyNumberFormat="1" applyFont="1" applyFill="1" applyBorder="1" applyAlignment="1">
      <alignment horizontal="right" vertical="center"/>
    </xf>
    <xf numFmtId="38" fontId="70" fillId="56" borderId="135" xfId="5" applyNumberFormat="1" applyFont="1" applyFill="1" applyBorder="1" applyAlignment="1">
      <alignment horizontal="right" vertical="center"/>
    </xf>
    <xf numFmtId="38" fontId="71" fillId="0" borderId="135" xfId="10" applyFont="1" applyFill="1" applyBorder="1" applyAlignment="1">
      <alignment horizontal="right"/>
    </xf>
    <xf numFmtId="38" fontId="71" fillId="0" borderId="136" xfId="5" applyNumberFormat="1" applyFont="1" applyFill="1" applyBorder="1" applyAlignment="1">
      <alignment vertical="center"/>
    </xf>
    <xf numFmtId="38" fontId="89" fillId="0" borderId="0" xfId="5" applyNumberFormat="1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 vertical="center"/>
    </xf>
    <xf numFmtId="0" fontId="71" fillId="53" borderId="0" xfId="5" applyFont="1" applyFill="1" applyBorder="1" applyAlignment="1">
      <alignment horizontal="center"/>
    </xf>
    <xf numFmtId="0" fontId="71" fillId="53" borderId="44" xfId="5" applyFont="1" applyFill="1" applyBorder="1" applyAlignment="1">
      <alignment horizontal="center"/>
    </xf>
    <xf numFmtId="0" fontId="71" fillId="53" borderId="100" xfId="5" applyFont="1" applyFill="1" applyBorder="1" applyAlignment="1">
      <alignment horizontal="center"/>
    </xf>
    <xf numFmtId="38" fontId="71" fillId="53" borderId="100" xfId="5" applyNumberFormat="1" applyFont="1" applyFill="1" applyBorder="1" applyAlignment="1">
      <alignment horizontal="right"/>
    </xf>
    <xf numFmtId="38" fontId="71" fillId="53" borderId="89" xfId="5" applyNumberFormat="1" applyFont="1" applyFill="1" applyBorder="1" applyAlignment="1">
      <alignment horizontal="right"/>
    </xf>
    <xf numFmtId="38" fontId="71" fillId="53" borderId="167" xfId="5" applyNumberFormat="1" applyFont="1" applyFill="1" applyBorder="1" applyAlignment="1">
      <alignment vertical="center"/>
    </xf>
    <xf numFmtId="0" fontId="71" fillId="53" borderId="93" xfId="5" applyFont="1" applyFill="1" applyBorder="1" applyAlignment="1">
      <alignment horizontal="right"/>
    </xf>
    <xf numFmtId="0" fontId="71" fillId="53" borderId="99" xfId="5" applyFont="1" applyFill="1" applyBorder="1" applyAlignment="1">
      <alignment horizontal="right"/>
    </xf>
    <xf numFmtId="38" fontId="70" fillId="53" borderId="99" xfId="5" applyNumberFormat="1" applyFont="1" applyFill="1" applyBorder="1" applyAlignment="1">
      <alignment horizontal="right"/>
    </xf>
    <xf numFmtId="38" fontId="95" fillId="53" borderId="134" xfId="5" applyNumberFormat="1" applyFont="1" applyFill="1" applyBorder="1" applyAlignment="1">
      <alignment vertical="center"/>
    </xf>
    <xf numFmtId="38" fontId="70" fillId="53" borderId="112" xfId="5" applyNumberFormat="1" applyFont="1" applyFill="1" applyBorder="1" applyAlignment="1">
      <alignment horizontal="center" vertical="center" wrapText="1"/>
    </xf>
    <xf numFmtId="38" fontId="70" fillId="53" borderId="0" xfId="5" applyNumberFormat="1" applyFont="1" applyFill="1" applyBorder="1" applyAlignment="1">
      <alignment horizontal="center"/>
    </xf>
    <xf numFmtId="38" fontId="70" fillId="53" borderId="94" xfId="5" applyNumberFormat="1" applyFont="1" applyFill="1" applyBorder="1" applyAlignment="1">
      <alignment horizontal="right"/>
    </xf>
    <xf numFmtId="38" fontId="70" fillId="53" borderId="18" xfId="5" applyNumberFormat="1" applyFont="1" applyFill="1" applyBorder="1" applyAlignment="1">
      <alignment horizontal="right"/>
    </xf>
    <xf numFmtId="38" fontId="70" fillId="53" borderId="135" xfId="6" applyNumberFormat="1" applyFont="1" applyFill="1" applyBorder="1" applyAlignment="1">
      <alignment vertical="center"/>
    </xf>
    <xf numFmtId="38" fontId="71" fillId="53" borderId="94" xfId="7" applyNumberFormat="1" applyFont="1" applyFill="1" applyBorder="1" applyAlignment="1">
      <alignment horizontal="right"/>
    </xf>
    <xf numFmtId="38" fontId="71" fillId="53" borderId="18" xfId="7" applyNumberFormat="1" applyFont="1" applyFill="1" applyBorder="1" applyAlignment="1">
      <alignment horizontal="right"/>
    </xf>
    <xf numFmtId="38" fontId="71" fillId="53" borderId="18" xfId="5" applyNumberFormat="1" applyFont="1" applyFill="1" applyBorder="1" applyAlignment="1">
      <alignment horizontal="right"/>
    </xf>
    <xf numFmtId="38" fontId="71" fillId="53" borderId="87" xfId="5" applyNumberFormat="1" applyFont="1" applyFill="1" applyBorder="1" applyAlignment="1">
      <alignment horizontal="right"/>
    </xf>
    <xf numFmtId="38" fontId="71" fillId="53" borderId="135" xfId="5" applyNumberFormat="1" applyFont="1" applyFill="1" applyBorder="1" applyAlignment="1">
      <alignment horizontal="right" vertical="center"/>
    </xf>
    <xf numFmtId="0" fontId="70" fillId="55" borderId="0" xfId="5" applyFont="1" applyFill="1"/>
    <xf numFmtId="175" fontId="81" fillId="52" borderId="7" xfId="2" applyNumberFormat="1" applyFont="1" applyFill="1" applyBorder="1"/>
    <xf numFmtId="175" fontId="81" fillId="52" borderId="10" xfId="2" applyNumberFormat="1" applyFont="1" applyFill="1" applyBorder="1"/>
    <xf numFmtId="175" fontId="81" fillId="52" borderId="7" xfId="0" applyNumberFormat="1" applyFont="1" applyFill="1" applyBorder="1"/>
    <xf numFmtId="0" fontId="78" fillId="0" borderId="0" xfId="5" applyFont="1" applyFill="1" applyAlignment="1">
      <alignment horizontal="center"/>
    </xf>
    <xf numFmtId="38" fontId="71" fillId="0" borderId="160" xfId="7" applyNumberFormat="1" applyFont="1" applyFill="1" applyBorder="1" applyAlignment="1">
      <alignment horizontal="right"/>
    </xf>
    <xf numFmtId="38" fontId="71" fillId="54" borderId="160" xfId="7" applyNumberFormat="1" applyFont="1" applyFill="1" applyBorder="1" applyAlignment="1">
      <alignment horizontal="right"/>
    </xf>
    <xf numFmtId="37" fontId="78" fillId="0" borderId="167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horizontal="right" vertical="center"/>
    </xf>
    <xf numFmtId="37" fontId="78" fillId="0" borderId="136" xfId="5" applyNumberFormat="1" applyFont="1" applyFill="1" applyBorder="1" applyAlignment="1">
      <alignment horizontal="right" vertical="center"/>
    </xf>
    <xf numFmtId="9" fontId="90" fillId="2" borderId="18" xfId="8" applyFont="1" applyFill="1" applyBorder="1"/>
    <xf numFmtId="3" fontId="90" fillId="2" borderId="18" xfId="5" applyNumberFormat="1" applyFont="1" applyFill="1" applyBorder="1"/>
    <xf numFmtId="0" fontId="98" fillId="0" borderId="0" xfId="71" applyFont="1"/>
    <xf numFmtId="0" fontId="100" fillId="0" borderId="0" xfId="71" applyFont="1"/>
    <xf numFmtId="0" fontId="101" fillId="0" borderId="0" xfId="71" applyFont="1"/>
    <xf numFmtId="0" fontId="84" fillId="55" borderId="168" xfId="71" applyFont="1" applyFill="1" applyBorder="1" applyAlignment="1">
      <alignment horizontal="center" vertical="center"/>
    </xf>
    <xf numFmtId="0" fontId="84" fillId="55" borderId="169" xfId="71" applyFont="1" applyFill="1" applyBorder="1" applyAlignment="1">
      <alignment horizontal="center" vertical="center"/>
    </xf>
    <xf numFmtId="0" fontId="84" fillId="55" borderId="170" xfId="71" applyFont="1" applyFill="1" applyBorder="1" applyAlignment="1">
      <alignment horizontal="center" vertical="center"/>
    </xf>
    <xf numFmtId="0" fontId="100" fillId="0" borderId="171" xfId="71" applyFont="1" applyBorder="1" applyAlignment="1">
      <alignment horizontal="center" vertical="center"/>
    </xf>
    <xf numFmtId="178" fontId="100" fillId="0" borderId="171" xfId="72" applyNumberFormat="1" applyFont="1" applyFill="1" applyBorder="1" applyAlignment="1">
      <alignment vertical="center"/>
    </xf>
    <xf numFmtId="178" fontId="98" fillId="56" borderId="171" xfId="72" applyNumberFormat="1" applyFont="1" applyFill="1" applyBorder="1" applyAlignment="1">
      <alignment vertical="center"/>
    </xf>
    <xf numFmtId="178" fontId="100" fillId="56" borderId="171" xfId="72" applyNumberFormat="1" applyFont="1" applyFill="1" applyBorder="1" applyAlignment="1">
      <alignment vertical="center"/>
    </xf>
    <xf numFmtId="0" fontId="100" fillId="0" borderId="171" xfId="71" applyFont="1" applyFill="1" applyBorder="1" applyAlignment="1">
      <alignment horizontal="center" vertical="center"/>
    </xf>
    <xf numFmtId="0" fontId="100" fillId="0" borderId="0" xfId="71" applyFont="1" applyFill="1" applyBorder="1" applyAlignment="1">
      <alignment horizontal="center" vertical="center"/>
    </xf>
    <xf numFmtId="0" fontId="100" fillId="0" borderId="0" xfId="71" applyFont="1" applyBorder="1" applyAlignment="1">
      <alignment horizontal="center" vertical="center"/>
    </xf>
    <xf numFmtId="178" fontId="100" fillId="0" borderId="0" xfId="72" applyNumberFormat="1" applyFont="1" applyFill="1" applyBorder="1" applyAlignment="1">
      <alignment vertical="center"/>
    </xf>
    <xf numFmtId="178" fontId="98" fillId="0" borderId="0" xfId="72" applyNumberFormat="1" applyFont="1" applyFill="1" applyBorder="1" applyAlignment="1">
      <alignment vertical="center"/>
    </xf>
    <xf numFmtId="0" fontId="101" fillId="0" borderId="0" xfId="71" applyFont="1" applyFill="1" applyBorder="1" applyAlignment="1">
      <alignment horizontal="left" vertical="center"/>
    </xf>
    <xf numFmtId="38" fontId="81" fillId="0" borderId="171" xfId="73" applyFont="1" applyFill="1" applyBorder="1" applyAlignment="1">
      <alignment horizontal="right" vertical="center"/>
    </xf>
    <xf numFmtId="38" fontId="81" fillId="57" borderId="171" xfId="73" applyFont="1" applyFill="1" applyBorder="1" applyAlignment="1">
      <alignment horizontal="right" vertical="center"/>
    </xf>
    <xf numFmtId="38" fontId="100" fillId="0" borderId="171" xfId="71" applyNumberFormat="1" applyFont="1" applyBorder="1" applyAlignment="1">
      <alignment vertical="center"/>
    </xf>
    <xf numFmtId="9" fontId="100" fillId="0" borderId="171" xfId="72" applyFont="1" applyBorder="1" applyAlignment="1">
      <alignment vertical="center"/>
    </xf>
    <xf numFmtId="0" fontId="100" fillId="0" borderId="0" xfId="71" applyFont="1" applyFill="1" applyAlignment="1">
      <alignment horizontal="center" vertical="center"/>
    </xf>
    <xf numFmtId="0" fontId="100" fillId="0" borderId="0" xfId="71" applyFont="1" applyFill="1" applyAlignment="1">
      <alignment vertical="center"/>
    </xf>
    <xf numFmtId="0" fontId="100" fillId="0" borderId="0" xfId="71" applyFont="1" applyFill="1"/>
    <xf numFmtId="9" fontId="100" fillId="0" borderId="0" xfId="71" applyNumberFormat="1" applyFont="1" applyFill="1"/>
    <xf numFmtId="38" fontId="100" fillId="0" borderId="171" xfId="73" applyFont="1" applyBorder="1" applyAlignment="1">
      <alignment vertical="center"/>
    </xf>
    <xf numFmtId="38" fontId="100" fillId="57" borderId="171" xfId="73" applyFont="1" applyFill="1" applyBorder="1" applyAlignment="1">
      <alignment vertical="center"/>
    </xf>
    <xf numFmtId="9" fontId="100" fillId="0" borderId="171" xfId="72" applyNumberFormat="1" applyFont="1" applyBorder="1" applyAlignment="1">
      <alignment vertical="center"/>
    </xf>
    <xf numFmtId="0" fontId="100" fillId="0" borderId="0" xfId="71" applyFont="1" applyAlignment="1">
      <alignment horizontal="center" vertical="center"/>
    </xf>
    <xf numFmtId="0" fontId="100" fillId="0" borderId="0" xfId="71" applyFont="1" applyAlignment="1">
      <alignment vertical="center"/>
    </xf>
    <xf numFmtId="178" fontId="84" fillId="0" borderId="171" xfId="72" applyNumberFormat="1" applyFont="1" applyFill="1" applyBorder="1" applyAlignment="1">
      <alignment vertical="center"/>
    </xf>
    <xf numFmtId="0" fontId="84" fillId="55" borderId="172" xfId="71" applyFont="1" applyFill="1" applyBorder="1" applyAlignment="1">
      <alignment horizontal="center" vertical="center"/>
    </xf>
    <xf numFmtId="0" fontId="84" fillId="55" borderId="173" xfId="71" applyFont="1" applyFill="1" applyBorder="1" applyAlignment="1">
      <alignment horizontal="center" vertical="center"/>
    </xf>
    <xf numFmtId="0" fontId="84" fillId="55" borderId="174" xfId="71" applyFont="1" applyFill="1" applyBorder="1" applyAlignment="1">
      <alignment horizontal="center" vertical="center"/>
    </xf>
    <xf numFmtId="178" fontId="100" fillId="56" borderId="176" xfId="72" applyNumberFormat="1" applyFont="1" applyFill="1" applyBorder="1" applyAlignment="1">
      <alignment vertical="center"/>
    </xf>
    <xf numFmtId="178" fontId="98" fillId="56" borderId="176" xfId="72" applyNumberFormat="1" applyFont="1" applyFill="1" applyBorder="1" applyAlignment="1">
      <alignment vertical="center"/>
    </xf>
    <xf numFmtId="0" fontId="100" fillId="0" borderId="177" xfId="71" applyFont="1" applyFill="1" applyBorder="1" applyAlignment="1">
      <alignment horizontal="center" vertical="center"/>
    </xf>
    <xf numFmtId="0" fontId="100" fillId="0" borderId="178" xfId="71" applyFont="1" applyBorder="1" applyAlignment="1">
      <alignment horizontal="center" vertical="center"/>
    </xf>
    <xf numFmtId="178" fontId="100" fillId="0" borderId="178" xfId="72" applyNumberFormat="1" applyFont="1" applyFill="1" applyBorder="1" applyAlignment="1">
      <alignment vertical="center"/>
    </xf>
    <xf numFmtId="178" fontId="98" fillId="56" borderId="178" xfId="72" applyNumberFormat="1" applyFont="1" applyFill="1" applyBorder="1" applyAlignment="1">
      <alignment vertical="center"/>
    </xf>
    <xf numFmtId="178" fontId="98" fillId="56" borderId="179" xfId="72" applyNumberFormat="1" applyFont="1" applyFill="1" applyBorder="1" applyAlignment="1">
      <alignment vertical="center"/>
    </xf>
    <xf numFmtId="0" fontId="102" fillId="0" borderId="0" xfId="0" applyFont="1" applyAlignment="1">
      <alignment vertical="center"/>
    </xf>
    <xf numFmtId="0" fontId="81" fillId="0" borderId="0" xfId="0" applyFont="1" applyAlignment="1">
      <alignment horizontal="center" vertical="center" wrapText="1"/>
    </xf>
    <xf numFmtId="0" fontId="103" fillId="55" borderId="180" xfId="0" applyFont="1" applyFill="1" applyBorder="1" applyAlignment="1">
      <alignment horizontal="center" vertical="center" wrapText="1"/>
    </xf>
    <xf numFmtId="0" fontId="103" fillId="55" borderId="181" xfId="0" applyFont="1" applyFill="1" applyBorder="1" applyAlignment="1">
      <alignment horizontal="center" vertical="center" wrapText="1"/>
    </xf>
    <xf numFmtId="0" fontId="103" fillId="58" borderId="181" xfId="0" applyFont="1" applyFill="1" applyBorder="1" applyAlignment="1">
      <alignment horizontal="center" vertical="center" wrapText="1"/>
    </xf>
    <xf numFmtId="0" fontId="103" fillId="55" borderId="182" xfId="0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vertical="center"/>
    </xf>
    <xf numFmtId="10" fontId="81" fillId="0" borderId="53" xfId="3" applyNumberFormat="1" applyFont="1" applyBorder="1" applyAlignment="1">
      <alignment vertical="center"/>
    </xf>
    <xf numFmtId="41" fontId="81" fillId="0" borderId="53" xfId="0" applyNumberFormat="1" applyFont="1" applyBorder="1" applyAlignment="1">
      <alignment vertical="center"/>
    </xf>
    <xf numFmtId="9" fontId="81" fillId="0" borderId="53" xfId="3" applyFont="1" applyBorder="1" applyAlignment="1">
      <alignment vertical="center"/>
    </xf>
    <xf numFmtId="171" fontId="81" fillId="0" borderId="53" xfId="0" applyNumberFormat="1" applyFont="1" applyBorder="1" applyAlignment="1">
      <alignment vertical="center"/>
    </xf>
    <xf numFmtId="179" fontId="104" fillId="0" borderId="53" xfId="0" applyNumberFormat="1" applyFont="1" applyBorder="1" applyAlignment="1">
      <alignment vertical="center"/>
    </xf>
    <xf numFmtId="171" fontId="104" fillId="0" borderId="53" xfId="1" applyNumberFormat="1" applyFont="1" applyBorder="1" applyAlignment="1">
      <alignment vertical="center"/>
    </xf>
    <xf numFmtId="0" fontId="81" fillId="0" borderId="57" xfId="0" applyFont="1" applyBorder="1" applyAlignment="1">
      <alignment vertical="center"/>
    </xf>
    <xf numFmtId="10" fontId="81" fillId="0" borderId="57" xfId="3" applyNumberFormat="1" applyFont="1" applyBorder="1" applyAlignment="1">
      <alignment vertical="center"/>
    </xf>
    <xf numFmtId="41" fontId="81" fillId="0" borderId="57" xfId="0" applyNumberFormat="1" applyFont="1" applyBorder="1" applyAlignment="1">
      <alignment vertical="center"/>
    </xf>
    <xf numFmtId="9" fontId="81" fillId="0" borderId="57" xfId="3" applyFont="1" applyBorder="1" applyAlignment="1">
      <alignment vertical="center"/>
    </xf>
    <xf numFmtId="171" fontId="81" fillId="0" borderId="57" xfId="0" applyNumberFormat="1" applyFont="1" applyBorder="1" applyAlignment="1">
      <alignment vertical="center"/>
    </xf>
    <xf numFmtId="179" fontId="104" fillId="0" borderId="57" xfId="0" applyNumberFormat="1" applyFont="1" applyBorder="1" applyAlignment="1">
      <alignment vertical="center"/>
    </xf>
    <xf numFmtId="171" fontId="104" fillId="0" borderId="57" xfId="1" applyNumberFormat="1" applyFont="1" applyBorder="1" applyAlignment="1">
      <alignment vertical="center"/>
    </xf>
    <xf numFmtId="0" fontId="81" fillId="0" borderId="57" xfId="0" applyFont="1" applyFill="1" applyBorder="1" applyAlignment="1">
      <alignment vertical="center"/>
    </xf>
    <xf numFmtId="179" fontId="104" fillId="0" borderId="57" xfId="0" applyNumberFormat="1" applyFont="1" applyBorder="1"/>
    <xf numFmtId="0" fontId="81" fillId="0" borderId="183" xfId="0" applyFont="1" applyBorder="1" applyAlignment="1">
      <alignment vertical="center"/>
    </xf>
    <xf numFmtId="10" fontId="81" fillId="0" borderId="183" xfId="3" applyNumberFormat="1" applyFont="1" applyBorder="1" applyAlignment="1">
      <alignment vertical="center"/>
    </xf>
    <xf numFmtId="41" fontId="81" fillId="0" borderId="183" xfId="0" applyNumberFormat="1" applyFont="1" applyBorder="1" applyAlignment="1">
      <alignment vertical="center"/>
    </xf>
    <xf numFmtId="0" fontId="81" fillId="0" borderId="183" xfId="0" applyFont="1" applyFill="1" applyBorder="1" applyAlignment="1">
      <alignment vertical="center"/>
    </xf>
    <xf numFmtId="9" fontId="81" fillId="0" borderId="183" xfId="3" applyFont="1" applyBorder="1" applyAlignment="1">
      <alignment vertical="center"/>
    </xf>
    <xf numFmtId="171" fontId="81" fillId="0" borderId="183" xfId="0" applyNumberFormat="1" applyFont="1" applyBorder="1" applyAlignment="1">
      <alignment vertical="center"/>
    </xf>
    <xf numFmtId="179" fontId="104" fillId="0" borderId="183" xfId="0" applyNumberFormat="1" applyFont="1" applyBorder="1" applyAlignment="1">
      <alignment vertical="center"/>
    </xf>
    <xf numFmtId="171" fontId="104" fillId="0" borderId="183" xfId="1" applyNumberFormat="1" applyFont="1" applyBorder="1" applyAlignment="1">
      <alignment vertical="center"/>
    </xf>
    <xf numFmtId="0" fontId="81" fillId="52" borderId="53" xfId="0" applyFont="1" applyFill="1" applyBorder="1" applyAlignment="1">
      <alignment vertical="center"/>
    </xf>
    <xf numFmtId="10" fontId="81" fillId="52" borderId="53" xfId="3" applyNumberFormat="1" applyFont="1" applyFill="1" applyBorder="1" applyAlignment="1">
      <alignment vertical="center"/>
    </xf>
    <xf numFmtId="41" fontId="81" fillId="52" borderId="53" xfId="0" applyNumberFormat="1" applyFont="1" applyFill="1" applyBorder="1" applyAlignment="1">
      <alignment vertical="center"/>
    </xf>
    <xf numFmtId="9" fontId="81" fillId="52" borderId="53" xfId="3" applyFont="1" applyFill="1" applyBorder="1" applyAlignment="1">
      <alignment vertical="center"/>
    </xf>
    <xf numFmtId="171" fontId="81" fillId="52" borderId="53" xfId="0" applyNumberFormat="1" applyFont="1" applyFill="1" applyBorder="1" applyAlignment="1">
      <alignment vertical="center"/>
    </xf>
    <xf numFmtId="179" fontId="104" fillId="52" borderId="53" xfId="0" applyNumberFormat="1" applyFont="1" applyFill="1" applyBorder="1" applyAlignment="1">
      <alignment vertical="center"/>
    </xf>
    <xf numFmtId="171" fontId="104" fillId="52" borderId="53" xfId="1" applyNumberFormat="1" applyFont="1" applyFill="1" applyBorder="1" applyAlignment="1">
      <alignment vertical="center"/>
    </xf>
    <xf numFmtId="0" fontId="81" fillId="52" borderId="57" xfId="0" applyFont="1" applyFill="1" applyBorder="1" applyAlignment="1">
      <alignment vertical="center"/>
    </xf>
    <xf numFmtId="10" fontId="81" fillId="52" borderId="57" xfId="3" applyNumberFormat="1" applyFont="1" applyFill="1" applyBorder="1" applyAlignment="1">
      <alignment vertical="center"/>
    </xf>
    <xf numFmtId="41" fontId="81" fillId="52" borderId="57" xfId="0" applyNumberFormat="1" applyFont="1" applyFill="1" applyBorder="1" applyAlignment="1">
      <alignment vertical="center"/>
    </xf>
    <xf numFmtId="9" fontId="81" fillId="52" borderId="57" xfId="3" applyFont="1" applyFill="1" applyBorder="1" applyAlignment="1">
      <alignment vertical="center"/>
    </xf>
    <xf numFmtId="171" fontId="81" fillId="52" borderId="57" xfId="0" applyNumberFormat="1" applyFont="1" applyFill="1" applyBorder="1" applyAlignment="1">
      <alignment vertical="center"/>
    </xf>
    <xf numFmtId="179" fontId="104" fillId="52" borderId="57" xfId="0" applyNumberFormat="1" applyFont="1" applyFill="1" applyBorder="1" applyAlignment="1">
      <alignment vertical="center"/>
    </xf>
    <xf numFmtId="171" fontId="104" fillId="52" borderId="57" xfId="1" applyNumberFormat="1" applyFont="1" applyFill="1" applyBorder="1" applyAlignment="1">
      <alignment vertical="center"/>
    </xf>
    <xf numFmtId="179" fontId="104" fillId="52" borderId="57" xfId="0" applyNumberFormat="1" applyFont="1" applyFill="1" applyBorder="1"/>
    <xf numFmtId="0" fontId="81" fillId="52" borderId="183" xfId="0" applyFont="1" applyFill="1" applyBorder="1" applyAlignment="1">
      <alignment vertical="center"/>
    </xf>
    <xf numFmtId="10" fontId="81" fillId="52" borderId="183" xfId="3" applyNumberFormat="1" applyFont="1" applyFill="1" applyBorder="1" applyAlignment="1">
      <alignment vertical="center"/>
    </xf>
    <xf numFmtId="41" fontId="81" fillId="52" borderId="183" xfId="0" applyNumberFormat="1" applyFont="1" applyFill="1" applyBorder="1" applyAlignment="1">
      <alignment vertical="center"/>
    </xf>
    <xf numFmtId="9" fontId="81" fillId="52" borderId="183" xfId="3" applyFont="1" applyFill="1" applyBorder="1" applyAlignment="1">
      <alignment vertical="center"/>
    </xf>
    <xf numFmtId="171" fontId="81" fillId="52" borderId="183" xfId="0" applyNumberFormat="1" applyFont="1" applyFill="1" applyBorder="1" applyAlignment="1">
      <alignment vertical="center"/>
    </xf>
    <xf numFmtId="179" fontId="104" fillId="52" borderId="183" xfId="0" applyNumberFormat="1" applyFont="1" applyFill="1" applyBorder="1" applyAlignment="1">
      <alignment vertical="center"/>
    </xf>
    <xf numFmtId="171" fontId="104" fillId="52" borderId="183" xfId="1" applyNumberFormat="1" applyFont="1" applyFill="1" applyBorder="1" applyAlignment="1">
      <alignment vertical="center"/>
    </xf>
    <xf numFmtId="9" fontId="81" fillId="0" borderId="49" xfId="3" applyFont="1" applyBorder="1" applyAlignment="1">
      <alignment vertical="center"/>
    </xf>
    <xf numFmtId="9" fontId="81" fillId="0" borderId="67" xfId="3" applyFont="1" applyBorder="1" applyAlignment="1">
      <alignment vertical="center"/>
    </xf>
    <xf numFmtId="0" fontId="81" fillId="0" borderId="53" xfId="0" applyFont="1" applyFill="1" applyBorder="1" applyAlignment="1">
      <alignment vertical="center"/>
    </xf>
    <xf numFmtId="9" fontId="81" fillId="0" borderId="53" xfId="3" applyFont="1" applyFill="1" applyBorder="1" applyAlignment="1">
      <alignment vertical="center"/>
    </xf>
    <xf numFmtId="9" fontId="81" fillId="0" borderId="57" xfId="3" applyFont="1" applyFill="1" applyBorder="1" applyAlignment="1">
      <alignment vertical="center"/>
    </xf>
    <xf numFmtId="9" fontId="81" fillId="0" borderId="183" xfId="3" applyFont="1" applyFill="1" applyBorder="1" applyAlignment="1">
      <alignment vertical="center"/>
    </xf>
    <xf numFmtId="0" fontId="103" fillId="55" borderId="184" xfId="0" applyFont="1" applyFill="1" applyBorder="1" applyAlignment="1">
      <alignment vertical="center"/>
    </xf>
    <xf numFmtId="0" fontId="103" fillId="55" borderId="185" xfId="0" applyFont="1" applyFill="1" applyBorder="1" applyAlignment="1">
      <alignment horizontal="center" vertical="center"/>
    </xf>
    <xf numFmtId="0" fontId="103" fillId="55" borderId="186" xfId="0" applyFont="1" applyFill="1" applyBorder="1" applyAlignment="1">
      <alignment horizontal="center" vertical="center"/>
    </xf>
    <xf numFmtId="171" fontId="81" fillId="0" borderId="49" xfId="1" applyNumberFormat="1" applyFont="1" applyBorder="1" applyAlignment="1">
      <alignment vertical="center"/>
    </xf>
    <xf numFmtId="171" fontId="81" fillId="0" borderId="57" xfId="1" applyNumberFormat="1" applyFont="1" applyBorder="1" applyAlignment="1">
      <alignment vertical="center"/>
    </xf>
    <xf numFmtId="171" fontId="81" fillId="0" borderId="183" xfId="1" applyNumberFormat="1" applyFont="1" applyBorder="1" applyAlignment="1">
      <alignment vertical="center"/>
    </xf>
    <xf numFmtId="171" fontId="81" fillId="52" borderId="53" xfId="1" applyNumberFormat="1" applyFont="1" applyFill="1" applyBorder="1" applyAlignment="1">
      <alignment vertical="center"/>
    </xf>
    <xf numFmtId="171" fontId="81" fillId="52" borderId="57" xfId="1" applyNumberFormat="1" applyFont="1" applyFill="1" applyBorder="1" applyAlignment="1">
      <alignment vertical="center"/>
    </xf>
    <xf numFmtId="171" fontId="81" fillId="52" borderId="183" xfId="1" applyNumberFormat="1" applyFont="1" applyFill="1" applyBorder="1" applyAlignment="1">
      <alignment vertical="center"/>
    </xf>
    <xf numFmtId="171" fontId="81" fillId="0" borderId="53" xfId="1" applyNumberFormat="1" applyFont="1" applyBorder="1" applyAlignment="1">
      <alignment vertical="center"/>
    </xf>
    <xf numFmtId="0" fontId="81" fillId="0" borderId="49" xfId="0" applyFont="1" applyBorder="1" applyAlignment="1">
      <alignment vertical="center"/>
    </xf>
    <xf numFmtId="41" fontId="81" fillId="0" borderId="49" xfId="0" applyNumberFormat="1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41" fontId="81" fillId="0" borderId="126" xfId="0" applyNumberFormat="1" applyFont="1" applyBorder="1" applyAlignment="1">
      <alignment vertical="center"/>
    </xf>
    <xf numFmtId="0" fontId="103" fillId="55" borderId="0" xfId="0" applyFont="1" applyFill="1" applyAlignment="1">
      <alignment vertical="center"/>
    </xf>
    <xf numFmtId="171" fontId="81" fillId="0" borderId="187" xfId="1" applyNumberFormat="1" applyFont="1" applyBorder="1" applyAlignment="1">
      <alignment vertical="center"/>
    </xf>
    <xf numFmtId="171" fontId="81" fillId="0" borderId="67" xfId="1" applyNumberFormat="1" applyFont="1" applyBorder="1" applyAlignment="1">
      <alignment vertical="center"/>
    </xf>
    <xf numFmtId="171" fontId="81" fillId="0" borderId="42" xfId="1" applyNumberFormat="1" applyFont="1" applyBorder="1" applyAlignment="1">
      <alignment vertical="center"/>
    </xf>
    <xf numFmtId="0" fontId="81" fillId="0" borderId="67" xfId="0" applyFont="1" applyBorder="1" applyAlignment="1">
      <alignment vertical="center"/>
    </xf>
    <xf numFmtId="0" fontId="81" fillId="0" borderId="42" xfId="0" applyFont="1" applyBorder="1" applyAlignment="1">
      <alignment vertical="center"/>
    </xf>
    <xf numFmtId="0" fontId="105" fillId="0" borderId="0" xfId="0" applyFont="1" applyBorder="1" applyProtection="1"/>
    <xf numFmtId="0" fontId="107" fillId="0" borderId="0" xfId="5" applyFont="1" applyFill="1" applyBorder="1" applyAlignment="1" applyProtection="1">
      <alignment horizontal="center" vertical="center"/>
    </xf>
    <xf numFmtId="0" fontId="106" fillId="0" borderId="0" xfId="0" applyFont="1" applyBorder="1" applyAlignment="1" applyProtection="1">
      <alignment horizontal="center"/>
    </xf>
    <xf numFmtId="171" fontId="106" fillId="0" borderId="0" xfId="1" applyNumberFormat="1" applyFont="1" applyBorder="1" applyProtection="1"/>
    <xf numFmtId="0" fontId="106" fillId="0" borderId="0" xfId="0" applyFont="1" applyBorder="1" applyProtection="1"/>
    <xf numFmtId="171" fontId="105" fillId="0" borderId="0" xfId="1" applyNumberFormat="1" applyFont="1" applyBorder="1" applyProtection="1"/>
    <xf numFmtId="0" fontId="108" fillId="0" borderId="0" xfId="5" applyFont="1" applyFill="1" applyBorder="1" applyAlignment="1" applyProtection="1">
      <alignment horizontal="center" vertical="center"/>
    </xf>
    <xf numFmtId="0" fontId="105" fillId="0" borderId="0" xfId="0" applyFont="1" applyBorder="1" applyAlignment="1" applyProtection="1">
      <alignment vertical="center"/>
    </xf>
    <xf numFmtId="41" fontId="105" fillId="0" borderId="0" xfId="0" applyNumberFormat="1" applyFont="1" applyBorder="1" applyProtection="1"/>
    <xf numFmtId="171" fontId="105" fillId="0" borderId="0" xfId="0" applyNumberFormat="1" applyFont="1" applyBorder="1" applyAlignment="1" applyProtection="1">
      <alignment vertical="center"/>
    </xf>
    <xf numFmtId="0" fontId="108" fillId="52" borderId="0" xfId="5" applyFont="1" applyFill="1" applyBorder="1" applyAlignment="1" applyProtection="1">
      <alignment horizontal="center" vertical="center"/>
    </xf>
    <xf numFmtId="41" fontId="105" fillId="52" borderId="0" xfId="0" applyNumberFormat="1" applyFont="1" applyFill="1" applyBorder="1" applyProtection="1"/>
    <xf numFmtId="171" fontId="105" fillId="52" borderId="0" xfId="1" applyNumberFormat="1" applyFont="1" applyFill="1" applyBorder="1" applyProtection="1"/>
    <xf numFmtId="171" fontId="105" fillId="52" borderId="0" xfId="0" applyNumberFormat="1" applyFont="1" applyFill="1" applyBorder="1" applyProtection="1"/>
    <xf numFmtId="0" fontId="105" fillId="0" borderId="0" xfId="0" applyFont="1" applyFill="1" applyBorder="1" applyProtection="1"/>
    <xf numFmtId="41" fontId="105" fillId="0" borderId="0" xfId="0" applyNumberFormat="1" applyFont="1" applyFill="1" applyBorder="1" applyProtection="1"/>
    <xf numFmtId="171" fontId="105" fillId="0" borderId="0" xfId="0" applyNumberFormat="1" applyFont="1" applyFill="1" applyBorder="1" applyProtection="1"/>
    <xf numFmtId="171" fontId="105" fillId="0" borderId="0" xfId="1" applyNumberFormat="1" applyFont="1" applyFill="1" applyBorder="1" applyProtection="1"/>
    <xf numFmtId="175" fontId="103" fillId="55" borderId="0" xfId="0" applyNumberFormat="1" applyFont="1" applyFill="1" applyBorder="1" applyAlignment="1">
      <alignment horizontal="right"/>
    </xf>
    <xf numFmtId="175" fontId="103" fillId="55" borderId="0" xfId="0" applyNumberFormat="1" applyFont="1" applyFill="1" applyBorder="1" applyAlignment="1">
      <alignment horizontal="right" vertical="center"/>
    </xf>
    <xf numFmtId="0" fontId="109" fillId="0" borderId="162" xfId="0" applyFont="1" applyFill="1" applyBorder="1" applyAlignment="1">
      <alignment horizontal="left" vertical="center"/>
    </xf>
    <xf numFmtId="0" fontId="109" fillId="0" borderId="162" xfId="0" applyFont="1" applyBorder="1" applyAlignment="1">
      <alignment vertical="center"/>
    </xf>
    <xf numFmtId="175" fontId="109" fillId="0" borderId="162" xfId="2" applyNumberFormat="1" applyFont="1" applyBorder="1" applyAlignment="1">
      <alignment vertical="center"/>
    </xf>
    <xf numFmtId="10" fontId="110" fillId="0" borderId="163" xfId="0" applyNumberFormat="1" applyFont="1" applyBorder="1" applyAlignment="1" applyProtection="1">
      <alignment vertical="center"/>
      <protection locked="0"/>
    </xf>
    <xf numFmtId="0" fontId="109" fillId="0" borderId="163" xfId="0" applyFont="1" applyFill="1" applyBorder="1" applyAlignment="1">
      <alignment vertical="center"/>
    </xf>
    <xf numFmtId="10" fontId="81" fillId="0" borderId="163" xfId="0" applyNumberFormat="1" applyFont="1" applyBorder="1" applyAlignment="1">
      <alignment vertical="center"/>
    </xf>
    <xf numFmtId="0" fontId="109" fillId="0" borderId="0" xfId="0" applyFont="1" applyProtection="1"/>
    <xf numFmtId="0" fontId="81" fillId="0" borderId="0" xfId="0" applyFont="1" applyProtection="1"/>
    <xf numFmtId="171" fontId="81" fillId="52" borderId="0" xfId="1" applyNumberFormat="1" applyFont="1" applyFill="1" applyProtection="1">
      <protection locked="0"/>
    </xf>
    <xf numFmtId="175" fontId="81" fillId="0" borderId="0" xfId="0" applyNumberFormat="1" applyFont="1" applyAlignment="1">
      <alignment vertical="center"/>
    </xf>
    <xf numFmtId="41" fontId="81" fillId="0" borderId="0" xfId="2" applyFont="1" applyAlignment="1">
      <alignment vertical="center"/>
    </xf>
    <xf numFmtId="175" fontId="109" fillId="0" borderId="162" xfId="0" applyNumberFormat="1" applyFont="1" applyBorder="1" applyAlignment="1">
      <alignment vertical="center"/>
    </xf>
    <xf numFmtId="175" fontId="81" fillId="0" borderId="163" xfId="0" applyNumberFormat="1" applyFont="1" applyBorder="1" applyAlignment="1">
      <alignment vertical="center"/>
    </xf>
    <xf numFmtId="175" fontId="109" fillId="0" borderId="163" xfId="0" applyNumberFormat="1" applyFont="1" applyBorder="1" applyAlignment="1">
      <alignment vertical="center"/>
    </xf>
    <xf numFmtId="168" fontId="81" fillId="0" borderId="163" xfId="3" applyNumberFormat="1" applyFont="1" applyBorder="1" applyAlignment="1">
      <alignment vertical="center"/>
    </xf>
    <xf numFmtId="168" fontId="109" fillId="16" borderId="163" xfId="0" applyNumberFormat="1" applyFont="1" applyFill="1" applyBorder="1" applyAlignment="1">
      <alignment vertical="center"/>
    </xf>
    <xf numFmtId="0" fontId="80" fillId="0" borderId="0" xfId="0" applyFont="1" applyAlignment="1">
      <alignment vertical="center"/>
    </xf>
    <xf numFmtId="0" fontId="79" fillId="0" borderId="0" xfId="0" applyFont="1" applyAlignment="1"/>
    <xf numFmtId="176" fontId="81" fillId="0" borderId="0" xfId="0" applyNumberFormat="1" applyFont="1" applyAlignment="1">
      <alignment vertical="center"/>
    </xf>
    <xf numFmtId="176" fontId="81" fillId="0" borderId="0" xfId="0" applyNumberFormat="1" applyFont="1" applyFill="1" applyAlignment="1">
      <alignment vertical="center"/>
    </xf>
    <xf numFmtId="176" fontId="81" fillId="0" borderId="0" xfId="0" applyNumberFormat="1" applyFont="1" applyAlignment="1"/>
    <xf numFmtId="0" fontId="81" fillId="0" borderId="0" xfId="0" applyFont="1" applyAlignment="1"/>
    <xf numFmtId="176" fontId="81" fillId="0" borderId="0" xfId="0" applyNumberFormat="1" applyFont="1" applyFill="1" applyAlignment="1"/>
    <xf numFmtId="176" fontId="81" fillId="0" borderId="0" xfId="1" applyNumberFormat="1" applyFont="1" applyAlignment="1"/>
    <xf numFmtId="10" fontId="81" fillId="0" borderId="0" xfId="3" applyNumberFormat="1" applyFont="1"/>
    <xf numFmtId="180" fontId="81" fillId="0" borderId="0" xfId="0" applyNumberFormat="1" applyFont="1"/>
    <xf numFmtId="9" fontId="81" fillId="0" borderId="162" xfId="0" quotePrefix="1" applyNumberFormat="1" applyFont="1" applyBorder="1"/>
    <xf numFmtId="38" fontId="70" fillId="2" borderId="117" xfId="5" applyNumberFormat="1" applyFont="1" applyFill="1" applyBorder="1" applyAlignment="1">
      <alignment horizontal="right" vertical="center"/>
    </xf>
    <xf numFmtId="0" fontId="81" fillId="0" borderId="0" xfId="0" quotePrefix="1" applyFont="1"/>
    <xf numFmtId="0" fontId="81" fillId="52" borderId="7" xfId="0" applyFont="1" applyFill="1" applyBorder="1" applyAlignment="1">
      <alignment horizontal="left"/>
    </xf>
    <xf numFmtId="0" fontId="79" fillId="0" borderId="7" xfId="0" applyFont="1" applyBorder="1" applyAlignment="1">
      <alignment horizontal="left" vertical="center"/>
    </xf>
    <xf numFmtId="0" fontId="14" fillId="6" borderId="20" xfId="5" applyFont="1" applyFill="1" applyBorder="1" applyAlignment="1">
      <alignment horizontal="center" vertical="center"/>
    </xf>
    <xf numFmtId="0" fontId="14" fillId="6" borderId="21" xfId="5" applyFont="1" applyFill="1" applyBorder="1" applyAlignment="1">
      <alignment horizontal="center" vertical="center"/>
    </xf>
    <xf numFmtId="0" fontId="14" fillId="6" borderId="22" xfId="5" applyFont="1" applyFill="1" applyBorder="1" applyAlignment="1">
      <alignment horizontal="center" vertical="center"/>
    </xf>
    <xf numFmtId="0" fontId="17" fillId="0" borderId="24" xfId="5" applyFont="1" applyFill="1" applyBorder="1" applyAlignment="1">
      <alignment horizontal="left"/>
    </xf>
    <xf numFmtId="0" fontId="17" fillId="0" borderId="26" xfId="5" applyFont="1" applyFill="1" applyBorder="1" applyAlignment="1">
      <alignment horizontal="left"/>
    </xf>
    <xf numFmtId="0" fontId="18" fillId="6" borderId="20" xfId="5" applyFont="1" applyFill="1" applyBorder="1" applyAlignment="1">
      <alignment horizontal="center"/>
    </xf>
    <xf numFmtId="0" fontId="18" fillId="6" borderId="21" xfId="5" applyFont="1" applyFill="1" applyBorder="1" applyAlignment="1">
      <alignment horizontal="center"/>
    </xf>
    <xf numFmtId="0" fontId="18" fillId="6" borderId="27" xfId="5" applyFont="1" applyFill="1" applyBorder="1" applyAlignment="1">
      <alignment horizontal="center"/>
    </xf>
    <xf numFmtId="0" fontId="18" fillId="6" borderId="28" xfId="5" applyFont="1" applyFill="1" applyBorder="1" applyAlignment="1">
      <alignment horizontal="center"/>
    </xf>
    <xf numFmtId="0" fontId="18" fillId="6" borderId="29" xfId="5" applyFont="1" applyFill="1" applyBorder="1" applyAlignment="1">
      <alignment horizontal="center"/>
    </xf>
    <xf numFmtId="0" fontId="18" fillId="6" borderId="22" xfId="5" applyFont="1" applyFill="1" applyBorder="1" applyAlignment="1">
      <alignment horizontal="center"/>
    </xf>
    <xf numFmtId="0" fontId="18" fillId="6" borderId="39" xfId="5" applyNumberFormat="1" applyFont="1" applyFill="1" applyBorder="1" applyAlignment="1">
      <alignment horizontal="center"/>
    </xf>
    <xf numFmtId="0" fontId="18" fillId="6" borderId="40" xfId="5" applyNumberFormat="1" applyFont="1" applyFill="1" applyBorder="1" applyAlignment="1">
      <alignment horizontal="center"/>
    </xf>
    <xf numFmtId="0" fontId="18" fillId="6" borderId="41" xfId="5" applyNumberFormat="1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39" xfId="5" applyFont="1" applyFill="1" applyBorder="1" applyAlignment="1">
      <alignment horizontal="center"/>
    </xf>
    <xf numFmtId="0" fontId="18" fillId="6" borderId="44" xfId="5" applyFont="1" applyFill="1" applyBorder="1" applyAlignment="1">
      <alignment horizontal="center"/>
    </xf>
    <xf numFmtId="0" fontId="12" fillId="0" borderId="105" xfId="5" applyFont="1" applyFill="1" applyBorder="1" applyAlignment="1">
      <alignment horizontal="center" vertical="top" wrapText="1"/>
    </xf>
    <xf numFmtId="0" fontId="12" fillId="0" borderId="107" xfId="5" applyFont="1" applyFill="1" applyBorder="1" applyAlignment="1">
      <alignment horizontal="center" vertical="top" wrapText="1"/>
    </xf>
    <xf numFmtId="0" fontId="12" fillId="0" borderId="109" xfId="5" applyFont="1" applyFill="1" applyBorder="1" applyAlignment="1">
      <alignment horizontal="center" vertical="top" wrapText="1"/>
    </xf>
    <xf numFmtId="0" fontId="12" fillId="0" borderId="18" xfId="5" applyFont="1" applyFill="1" applyBorder="1" applyAlignment="1">
      <alignment horizontal="center" vertical="top" wrapText="1"/>
    </xf>
    <xf numFmtId="0" fontId="12" fillId="0" borderId="112" xfId="5" applyFont="1" applyFill="1" applyBorder="1" applyAlignment="1">
      <alignment horizontal="center" vertical="top" wrapText="1"/>
    </xf>
    <xf numFmtId="0" fontId="12" fillId="0" borderId="87" xfId="5" applyFont="1" applyFill="1" applyBorder="1" applyAlignment="1">
      <alignment horizontal="center" vertical="top" wrapText="1"/>
    </xf>
    <xf numFmtId="0" fontId="12" fillId="0" borderId="67" xfId="5" applyFont="1" applyFill="1" applyBorder="1" applyAlignment="1">
      <alignment horizontal="center" vertical="top" wrapText="1"/>
    </xf>
    <xf numFmtId="0" fontId="12" fillId="0" borderId="82" xfId="5" applyFont="1" applyFill="1" applyBorder="1" applyAlignment="1">
      <alignment horizontal="center" vertical="top" wrapText="1"/>
    </xf>
    <xf numFmtId="0" fontId="18" fillId="2" borderId="69" xfId="7" applyNumberFormat="1" applyFont="1" applyFill="1" applyBorder="1" applyAlignment="1">
      <alignment horizontal="left" vertical="center" wrapText="1"/>
    </xf>
    <xf numFmtId="0" fontId="18" fillId="2" borderId="61" xfId="7" applyNumberFormat="1" applyFont="1" applyFill="1" applyBorder="1" applyAlignment="1">
      <alignment horizontal="left" vertical="center" wrapText="1"/>
    </xf>
    <xf numFmtId="0" fontId="18" fillId="2" borderId="62" xfId="7" applyNumberFormat="1" applyFont="1" applyFill="1" applyBorder="1" applyAlignment="1">
      <alignment horizontal="left" vertical="center" wrapText="1"/>
    </xf>
    <xf numFmtId="0" fontId="18" fillId="2" borderId="48" xfId="7" applyNumberFormat="1" applyFont="1" applyFill="1" applyBorder="1" applyAlignment="1">
      <alignment horizontal="left" vertical="center" wrapText="1"/>
    </xf>
    <xf numFmtId="0" fontId="18" fillId="2" borderId="24" xfId="7" applyNumberFormat="1" applyFont="1" applyFill="1" applyBorder="1" applyAlignment="1">
      <alignment horizontal="left" vertical="center" wrapText="1"/>
    </xf>
    <xf numFmtId="0" fontId="18" fillId="2" borderId="25" xfId="7" applyNumberFormat="1" applyFont="1" applyFill="1" applyBorder="1" applyAlignment="1">
      <alignment horizontal="left" vertical="center" wrapText="1"/>
    </xf>
    <xf numFmtId="0" fontId="22" fillId="0" borderId="90" xfId="5" applyFont="1" applyFill="1" applyBorder="1" applyAlignment="1">
      <alignment horizontal="center" vertical="center"/>
    </xf>
    <xf numFmtId="0" fontId="22" fillId="0" borderId="40" xfId="5" applyFont="1" applyFill="1" applyBorder="1" applyAlignment="1">
      <alignment horizontal="center" vertical="center"/>
    </xf>
    <xf numFmtId="0" fontId="22" fillId="0" borderId="91" xfId="5" applyFont="1" applyFill="1" applyBorder="1" applyAlignment="1">
      <alignment horizontal="center" vertical="center"/>
    </xf>
    <xf numFmtId="0" fontId="23" fillId="9" borderId="92" xfId="5" applyFont="1" applyFill="1" applyBorder="1" applyAlignment="1">
      <alignment horizontal="center" vertical="center" wrapText="1"/>
    </xf>
    <xf numFmtId="0" fontId="23" fillId="9" borderId="102" xfId="5" applyFont="1" applyFill="1" applyBorder="1" applyAlignment="1">
      <alignment horizontal="center" vertical="center" wrapText="1"/>
    </xf>
    <xf numFmtId="0" fontId="23" fillId="9" borderId="110" xfId="5" applyFont="1" applyFill="1" applyBorder="1" applyAlignment="1">
      <alignment horizontal="center" vertical="center" wrapText="1"/>
    </xf>
    <xf numFmtId="0" fontId="22" fillId="0" borderId="93" xfId="5" applyFont="1" applyFill="1" applyBorder="1" applyAlignment="1">
      <alignment horizontal="center" vertical="center"/>
    </xf>
    <xf numFmtId="0" fontId="22" fillId="0" borderId="94" xfId="5" applyFont="1" applyFill="1" applyBorder="1" applyAlignment="1">
      <alignment horizontal="center" vertical="center"/>
    </xf>
    <xf numFmtId="0" fontId="23" fillId="10" borderId="96" xfId="5" applyFont="1" applyFill="1" applyBorder="1" applyAlignment="1">
      <alignment horizontal="center" vertical="center" wrapText="1"/>
    </xf>
    <xf numFmtId="0" fontId="23" fillId="10" borderId="103" xfId="5" applyFont="1" applyFill="1" applyBorder="1" applyAlignment="1">
      <alignment horizontal="center" vertical="center" wrapText="1"/>
    </xf>
    <xf numFmtId="0" fontId="23" fillId="10" borderId="113" xfId="5" applyFont="1" applyFill="1" applyBorder="1" applyAlignment="1">
      <alignment horizontal="center" vertical="center" wrapText="1"/>
    </xf>
    <xf numFmtId="0" fontId="24" fillId="11" borderId="97" xfId="5" applyFont="1" applyFill="1" applyBorder="1" applyAlignment="1">
      <alignment horizontal="center" vertical="center" wrapText="1"/>
    </xf>
    <xf numFmtId="0" fontId="24" fillId="11" borderId="104" xfId="5" applyFont="1" applyFill="1" applyBorder="1" applyAlignment="1">
      <alignment horizontal="center" vertical="center" wrapText="1"/>
    </xf>
    <xf numFmtId="0" fontId="24" fillId="11" borderId="114" xfId="5" applyFont="1" applyFill="1" applyBorder="1" applyAlignment="1">
      <alignment horizontal="center" vertical="center" wrapText="1"/>
    </xf>
    <xf numFmtId="0" fontId="12" fillId="0" borderId="87" xfId="9" applyFont="1" applyFill="1" applyBorder="1" applyAlignment="1">
      <alignment horizontal="center" vertical="top" wrapText="1"/>
    </xf>
    <xf numFmtId="0" fontId="12" fillId="0" borderId="67" xfId="9" applyFont="1" applyFill="1" applyBorder="1" applyAlignment="1">
      <alignment horizontal="center" vertical="top" wrapText="1"/>
    </xf>
    <xf numFmtId="0" fontId="12" fillId="0" borderId="82" xfId="9" applyFont="1" applyFill="1" applyBorder="1" applyAlignment="1">
      <alignment horizontal="center" vertical="top" wrapText="1"/>
    </xf>
    <xf numFmtId="0" fontId="12" fillId="0" borderId="89" xfId="5" applyFont="1" applyFill="1" applyBorder="1" applyAlignment="1">
      <alignment horizontal="center" vertical="top" wrapText="1"/>
    </xf>
    <xf numFmtId="0" fontId="12" fillId="0" borderId="68" xfId="5" applyFont="1" applyFill="1" applyBorder="1" applyAlignment="1">
      <alignment horizontal="center" vertical="top" wrapText="1"/>
    </xf>
    <xf numFmtId="0" fontId="12" fillId="0" borderId="84" xfId="5" applyFont="1" applyFill="1" applyBorder="1" applyAlignment="1">
      <alignment horizontal="center" vertical="top" wrapText="1"/>
    </xf>
    <xf numFmtId="0" fontId="12" fillId="0" borderId="99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/>
    </xf>
    <xf numFmtId="0" fontId="12" fillId="0" borderId="112" xfId="5" applyFont="1" applyFill="1" applyBorder="1" applyAlignment="1">
      <alignment horizontal="center" vertical="center"/>
    </xf>
    <xf numFmtId="0" fontId="12" fillId="0" borderId="97" xfId="5" applyFont="1" applyFill="1" applyBorder="1" applyAlignment="1">
      <alignment horizontal="center" vertical="top"/>
    </xf>
    <xf numFmtId="0" fontId="12" fillId="0" borderId="104" xfId="5" applyFont="1" applyFill="1" applyBorder="1" applyAlignment="1">
      <alignment horizontal="center" vertical="top"/>
    </xf>
    <xf numFmtId="0" fontId="12" fillId="0" borderId="114" xfId="5" applyFont="1" applyFill="1" applyBorder="1" applyAlignment="1">
      <alignment horizontal="center" vertical="top"/>
    </xf>
    <xf numFmtId="0" fontId="12" fillId="0" borderId="99" xfId="5" applyFont="1" applyFill="1" applyBorder="1" applyAlignment="1">
      <alignment horizontal="center" vertical="center"/>
    </xf>
    <xf numFmtId="0" fontId="12" fillId="0" borderId="100" xfId="5" applyFont="1" applyFill="1" applyBorder="1" applyAlignment="1">
      <alignment horizontal="center" vertical="center"/>
    </xf>
    <xf numFmtId="0" fontId="12" fillId="0" borderId="101" xfId="5" applyFont="1" applyFill="1" applyBorder="1" applyAlignment="1">
      <alignment horizontal="center" vertical="center"/>
    </xf>
    <xf numFmtId="0" fontId="25" fillId="0" borderId="18" xfId="9" applyFont="1" applyFill="1" applyBorder="1"/>
    <xf numFmtId="0" fontId="12" fillId="12" borderId="97" xfId="5" applyFont="1" applyFill="1" applyBorder="1" applyAlignment="1">
      <alignment horizontal="center" vertical="center" wrapText="1"/>
    </xf>
    <xf numFmtId="0" fontId="12" fillId="12" borderId="104" xfId="5" applyFont="1" applyFill="1" applyBorder="1" applyAlignment="1">
      <alignment horizontal="center" vertical="center" wrapText="1"/>
    </xf>
    <xf numFmtId="0" fontId="12" fillId="12" borderId="114" xfId="5" applyFont="1" applyFill="1" applyBorder="1" applyAlignment="1">
      <alignment horizontal="center" vertical="center" wrapText="1"/>
    </xf>
    <xf numFmtId="0" fontId="22" fillId="0" borderId="98" xfId="5" applyFont="1" applyFill="1" applyBorder="1" applyAlignment="1">
      <alignment horizontal="center" vertical="center"/>
    </xf>
    <xf numFmtId="0" fontId="22" fillId="0" borderId="97" xfId="5" applyFont="1" applyFill="1" applyBorder="1" applyAlignment="1">
      <alignment horizontal="center" vertical="top" wrapText="1"/>
    </xf>
    <xf numFmtId="0" fontId="22" fillId="0" borderId="104" xfId="5" applyFont="1" applyFill="1" applyBorder="1" applyAlignment="1">
      <alignment horizontal="center" vertical="top" wrapText="1"/>
    </xf>
    <xf numFmtId="0" fontId="22" fillId="0" borderId="114" xfId="5" applyFont="1" applyFill="1" applyBorder="1" applyAlignment="1">
      <alignment horizontal="center" vertical="top" wrapText="1"/>
    </xf>
    <xf numFmtId="0" fontId="23" fillId="11" borderId="97" xfId="5" applyFont="1" applyFill="1" applyBorder="1" applyAlignment="1">
      <alignment horizontal="center" vertical="top" wrapText="1"/>
    </xf>
    <xf numFmtId="0" fontId="23" fillId="11" borderId="104" xfId="5" applyFont="1" applyFill="1" applyBorder="1" applyAlignment="1">
      <alignment horizontal="center" vertical="top" wrapText="1"/>
    </xf>
    <xf numFmtId="0" fontId="23" fillId="11" borderId="114" xfId="5" applyFont="1" applyFill="1" applyBorder="1" applyAlignment="1">
      <alignment horizontal="center" vertical="top" wrapText="1"/>
    </xf>
    <xf numFmtId="0" fontId="23" fillId="10" borderId="97" xfId="5" applyFont="1" applyFill="1" applyBorder="1" applyAlignment="1">
      <alignment horizontal="center" vertical="top" wrapText="1"/>
    </xf>
    <xf numFmtId="0" fontId="23" fillId="10" borderId="104" xfId="5" applyFont="1" applyFill="1" applyBorder="1" applyAlignment="1">
      <alignment horizontal="center" vertical="top" wrapText="1"/>
    </xf>
    <xf numFmtId="0" fontId="23" fillId="10" borderId="114" xfId="5" applyFont="1" applyFill="1" applyBorder="1" applyAlignment="1">
      <alignment horizontal="center" vertical="top" wrapText="1"/>
    </xf>
    <xf numFmtId="38" fontId="12" fillId="0" borderId="90" xfId="5" applyNumberFormat="1" applyFont="1" applyFill="1" applyBorder="1" applyAlignment="1">
      <alignment horizontal="center" vertical="top"/>
    </xf>
    <xf numFmtId="38" fontId="12" fillId="0" borderId="40" xfId="5" applyNumberFormat="1" applyFont="1" applyFill="1" applyBorder="1" applyAlignment="1">
      <alignment horizontal="center" vertical="top"/>
    </xf>
    <xf numFmtId="38" fontId="12" fillId="0" borderId="98" xfId="5" applyNumberFormat="1" applyFont="1" applyFill="1" applyBorder="1" applyAlignment="1">
      <alignment horizontal="center" vertical="top"/>
    </xf>
    <xf numFmtId="38" fontId="12" fillId="0" borderId="90" xfId="5" applyNumberFormat="1" applyFont="1" applyFill="1" applyBorder="1" applyAlignment="1">
      <alignment horizontal="center" vertical="top" wrapText="1"/>
    </xf>
    <xf numFmtId="38" fontId="12" fillId="0" borderId="40" xfId="5" applyNumberFormat="1" applyFont="1" applyFill="1" applyBorder="1" applyAlignment="1">
      <alignment horizontal="center" vertical="top" wrapText="1"/>
    </xf>
    <xf numFmtId="38" fontId="12" fillId="0" borderId="98" xfId="5" applyNumberFormat="1" applyFont="1" applyFill="1" applyBorder="1" applyAlignment="1">
      <alignment horizontal="center" vertical="top" wrapText="1"/>
    </xf>
    <xf numFmtId="0" fontId="12" fillId="0" borderId="105" xfId="5" applyFont="1" applyFill="1" applyBorder="1" applyAlignment="1">
      <alignment horizontal="center" vertical="center"/>
    </xf>
    <xf numFmtId="0" fontId="12" fillId="0" borderId="109" xfId="9" applyFont="1" applyFill="1" applyBorder="1"/>
    <xf numFmtId="0" fontId="12" fillId="0" borderId="8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8" fillId="0" borderId="105" xfId="5" applyFont="1" applyFill="1" applyBorder="1" applyAlignment="1">
      <alignment horizontal="center" vertical="top" wrapText="1"/>
    </xf>
    <xf numFmtId="0" fontId="18" fillId="0" borderId="107" xfId="5" applyFont="1" applyFill="1" applyBorder="1" applyAlignment="1">
      <alignment horizontal="center" vertical="top" wrapText="1"/>
    </xf>
    <xf numFmtId="0" fontId="18" fillId="0" borderId="109" xfId="5" applyFont="1" applyFill="1" applyBorder="1" applyAlignment="1">
      <alignment horizontal="center" vertical="top" wrapText="1"/>
    </xf>
    <xf numFmtId="0" fontId="18" fillId="0" borderId="87" xfId="5" applyFont="1" applyFill="1" applyBorder="1" applyAlignment="1">
      <alignment horizontal="center" vertical="top" wrapText="1"/>
    </xf>
    <xf numFmtId="0" fontId="18" fillId="0" borderId="67" xfId="5" applyFont="1" applyFill="1" applyBorder="1" applyAlignment="1">
      <alignment horizontal="center" vertical="top" wrapText="1"/>
    </xf>
    <xf numFmtId="0" fontId="18" fillId="0" borderId="82" xfId="5" applyFont="1" applyFill="1" applyBorder="1" applyAlignment="1">
      <alignment horizontal="center" vertical="top" wrapText="1"/>
    </xf>
    <xf numFmtId="0" fontId="18" fillId="0" borderId="106" xfId="5" applyFont="1" applyFill="1" applyBorder="1" applyAlignment="1">
      <alignment horizontal="center" vertical="top"/>
    </xf>
    <xf numFmtId="0" fontId="18" fillId="0" borderId="103" xfId="5" applyFont="1" applyFill="1" applyBorder="1" applyAlignment="1">
      <alignment horizontal="center" vertical="top"/>
    </xf>
    <xf numFmtId="0" fontId="18" fillId="0" borderId="113" xfId="5" applyFont="1" applyFill="1" applyBorder="1" applyAlignment="1">
      <alignment horizontal="center" vertical="top"/>
    </xf>
    <xf numFmtId="38" fontId="12" fillId="0" borderId="106" xfId="5" applyNumberFormat="1" applyFont="1" applyFill="1" applyBorder="1" applyAlignment="1">
      <alignment horizontal="center" vertical="top" wrapText="1"/>
    </xf>
    <xf numFmtId="38" fontId="12" fillId="0" borderId="113" xfId="5" applyNumberFormat="1" applyFont="1" applyFill="1" applyBorder="1" applyAlignment="1">
      <alignment horizontal="center" vertical="top" wrapText="1"/>
    </xf>
    <xf numFmtId="1" fontId="13" fillId="6" borderId="18" xfId="5" applyNumberFormat="1" applyFont="1" applyFill="1" applyBorder="1" applyAlignment="1">
      <alignment horizontal="center" vertical="center"/>
    </xf>
    <xf numFmtId="38" fontId="12" fillId="0" borderId="108" xfId="5" applyNumberFormat="1" applyFont="1" applyFill="1" applyBorder="1" applyAlignment="1">
      <alignment horizontal="center" vertical="top"/>
    </xf>
    <xf numFmtId="38" fontId="12" fillId="0" borderId="101" xfId="5" applyNumberFormat="1" applyFont="1" applyFill="1" applyBorder="1" applyAlignment="1">
      <alignment horizontal="center" vertical="top"/>
    </xf>
    <xf numFmtId="38" fontId="12" fillId="0" borderId="100" xfId="5" applyNumberFormat="1" applyFont="1" applyFill="1" applyBorder="1" applyAlignment="1">
      <alignment horizontal="center" vertical="top"/>
    </xf>
    <xf numFmtId="38" fontId="12" fillId="0" borderId="105" xfId="5" applyNumberFormat="1" applyFont="1" applyFill="1" applyBorder="1" applyAlignment="1">
      <alignment horizontal="center" vertical="top" wrapText="1"/>
    </xf>
    <xf numFmtId="38" fontId="12" fillId="0" borderId="109" xfId="5" applyNumberFormat="1" applyFont="1" applyFill="1" applyBorder="1" applyAlignment="1">
      <alignment horizontal="center" vertical="top" wrapText="1"/>
    </xf>
    <xf numFmtId="38" fontId="12" fillId="0" borderId="87" xfId="5" applyNumberFormat="1" applyFont="1" applyFill="1" applyBorder="1" applyAlignment="1">
      <alignment horizontal="center" vertical="top" wrapText="1"/>
    </xf>
    <xf numFmtId="38" fontId="12" fillId="0" borderId="82" xfId="5" applyNumberFormat="1" applyFont="1" applyFill="1" applyBorder="1" applyAlignment="1">
      <alignment horizontal="center" vertical="top" wrapText="1"/>
    </xf>
    <xf numFmtId="0" fontId="12" fillId="0" borderId="111" xfId="5" applyFont="1" applyFill="1" applyBorder="1" applyAlignment="1">
      <alignment horizontal="center" vertical="center" wrapText="1"/>
    </xf>
    <xf numFmtId="0" fontId="12" fillId="0" borderId="112" xfId="5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93" fillId="56" borderId="97" xfId="5" applyFont="1" applyFill="1" applyBorder="1" applyAlignment="1">
      <alignment horizontal="center" vertical="top" wrapText="1"/>
    </xf>
    <xf numFmtId="0" fontId="93" fillId="56" borderId="104" xfId="5" applyFont="1" applyFill="1" applyBorder="1" applyAlignment="1">
      <alignment horizontal="center" vertical="top" wrapText="1"/>
    </xf>
    <xf numFmtId="0" fontId="93" fillId="56" borderId="114" xfId="5" applyFont="1" applyFill="1" applyBorder="1" applyAlignment="1">
      <alignment horizontal="center" vertical="top" wrapText="1"/>
    </xf>
    <xf numFmtId="0" fontId="70" fillId="56" borderId="105" xfId="5" applyFont="1" applyFill="1" applyBorder="1" applyAlignment="1">
      <alignment horizontal="center" vertical="top" wrapText="1"/>
    </xf>
    <xf numFmtId="0" fontId="70" fillId="56" borderId="107" xfId="5" applyFont="1" applyFill="1" applyBorder="1" applyAlignment="1">
      <alignment horizontal="center" vertical="top" wrapText="1"/>
    </xf>
    <xf numFmtId="0" fontId="70" fillId="56" borderId="109" xfId="5" applyFont="1" applyFill="1" applyBorder="1" applyAlignment="1">
      <alignment horizontal="center" vertical="top" wrapText="1"/>
    </xf>
    <xf numFmtId="0" fontId="70" fillId="56" borderId="18" xfId="5" applyFont="1" applyFill="1" applyBorder="1" applyAlignment="1">
      <alignment horizontal="center" vertical="top" wrapText="1"/>
    </xf>
    <xf numFmtId="0" fontId="70" fillId="56" borderId="112" xfId="5" applyFont="1" applyFill="1" applyBorder="1" applyAlignment="1">
      <alignment horizontal="center" vertical="top" wrapText="1"/>
    </xf>
    <xf numFmtId="0" fontId="90" fillId="0" borderId="105" xfId="5" applyFont="1" applyFill="1" applyBorder="1" applyAlignment="1">
      <alignment horizontal="center" vertical="top" wrapText="1"/>
    </xf>
    <xf numFmtId="0" fontId="90" fillId="0" borderId="107" xfId="5" applyFont="1" applyFill="1" applyBorder="1" applyAlignment="1">
      <alignment horizontal="center" vertical="top" wrapText="1"/>
    </xf>
    <xf numFmtId="0" fontId="90" fillId="0" borderId="109" xfId="5" applyFont="1" applyFill="1" applyBorder="1" applyAlignment="1">
      <alignment horizontal="center" vertical="top" wrapText="1"/>
    </xf>
    <xf numFmtId="0" fontId="90" fillId="56" borderId="87" xfId="5" applyFont="1" applyFill="1" applyBorder="1" applyAlignment="1">
      <alignment horizontal="center" vertical="top" wrapText="1"/>
    </xf>
    <xf numFmtId="0" fontId="90" fillId="56" borderId="67" xfId="5" applyFont="1" applyFill="1" applyBorder="1" applyAlignment="1">
      <alignment horizontal="center" vertical="top" wrapText="1"/>
    </xf>
    <xf numFmtId="0" fontId="90" fillId="56" borderId="82" xfId="5" applyFont="1" applyFill="1" applyBorder="1" applyAlignment="1">
      <alignment horizontal="center" vertical="top" wrapText="1"/>
    </xf>
    <xf numFmtId="0" fontId="90" fillId="0" borderId="87" xfId="5" applyFont="1" applyFill="1" applyBorder="1" applyAlignment="1">
      <alignment horizontal="center" vertical="top" wrapText="1"/>
    </xf>
    <xf numFmtId="0" fontId="90" fillId="0" borderId="67" xfId="5" applyFont="1" applyFill="1" applyBorder="1" applyAlignment="1">
      <alignment horizontal="center" vertical="top" wrapText="1"/>
    </xf>
    <xf numFmtId="0" fontId="90" fillId="0" borderId="82" xfId="5" applyFont="1" applyFill="1" applyBorder="1" applyAlignment="1">
      <alignment horizontal="center" vertical="top" wrapText="1"/>
    </xf>
    <xf numFmtId="0" fontId="90" fillId="56" borderId="106" xfId="5" applyFont="1" applyFill="1" applyBorder="1" applyAlignment="1">
      <alignment horizontal="center" vertical="top"/>
    </xf>
    <xf numFmtId="0" fontId="90" fillId="56" borderId="103" xfId="5" applyFont="1" applyFill="1" applyBorder="1" applyAlignment="1">
      <alignment horizontal="center" vertical="top"/>
    </xf>
    <xf numFmtId="0" fontId="90" fillId="56" borderId="113" xfId="5" applyFont="1" applyFill="1" applyBorder="1" applyAlignment="1">
      <alignment horizontal="center" vertical="top"/>
    </xf>
    <xf numFmtId="0" fontId="70" fillId="0" borderId="97" xfId="5" applyFont="1" applyFill="1" applyBorder="1" applyAlignment="1">
      <alignment horizontal="center" vertical="top"/>
    </xf>
    <xf numFmtId="0" fontId="70" fillId="0" borderId="104" xfId="5" applyFont="1" applyFill="1" applyBorder="1" applyAlignment="1">
      <alignment horizontal="center" vertical="top"/>
    </xf>
    <xf numFmtId="0" fontId="70" fillId="0" borderId="114" xfId="5" applyFont="1" applyFill="1" applyBorder="1" applyAlignment="1">
      <alignment horizontal="center" vertical="top"/>
    </xf>
    <xf numFmtId="0" fontId="70" fillId="0" borderId="99" xfId="5" applyFont="1" applyFill="1" applyBorder="1" applyAlignment="1">
      <alignment horizontal="center" vertical="center"/>
    </xf>
    <xf numFmtId="0" fontId="70" fillId="0" borderId="18" xfId="5" applyFont="1" applyFill="1" applyBorder="1" applyAlignment="1">
      <alignment horizontal="center" vertical="center"/>
    </xf>
    <xf numFmtId="0" fontId="70" fillId="0" borderId="18" xfId="5" applyFont="1" applyFill="1" applyBorder="1" applyAlignment="1">
      <alignment horizontal="center" vertical="top" wrapText="1"/>
    </xf>
    <xf numFmtId="0" fontId="70" fillId="0" borderId="112" xfId="5" applyFont="1" applyFill="1" applyBorder="1" applyAlignment="1">
      <alignment horizontal="center" vertical="top" wrapText="1"/>
    </xf>
    <xf numFmtId="0" fontId="70" fillId="53" borderId="18" xfId="5" applyFont="1" applyFill="1" applyBorder="1" applyAlignment="1">
      <alignment horizontal="center" vertical="top" wrapText="1"/>
    </xf>
    <xf numFmtId="0" fontId="70" fillId="53" borderId="112" xfId="5" applyFont="1" applyFill="1" applyBorder="1" applyAlignment="1">
      <alignment horizontal="center" vertical="top" wrapText="1"/>
    </xf>
    <xf numFmtId="0" fontId="70" fillId="56" borderId="18" xfId="5" applyFont="1" applyFill="1" applyBorder="1" applyAlignment="1">
      <alignment horizontal="center" vertical="center"/>
    </xf>
    <xf numFmtId="0" fontId="70" fillId="56" borderId="112" xfId="9" applyFont="1" applyFill="1" applyBorder="1"/>
    <xf numFmtId="0" fontId="70" fillId="0" borderId="112" xfId="9" applyFont="1" applyFill="1" applyBorder="1"/>
    <xf numFmtId="0" fontId="70" fillId="0" borderId="18" xfId="5" applyFont="1" applyFill="1" applyBorder="1" applyAlignment="1">
      <alignment horizontal="center" vertical="center" wrapText="1"/>
    </xf>
    <xf numFmtId="0" fontId="70" fillId="0" borderId="112" xfId="5" applyFont="1" applyFill="1" applyBorder="1" applyAlignment="1">
      <alignment horizontal="center" vertical="center" wrapText="1"/>
    </xf>
    <xf numFmtId="0" fontId="70" fillId="0" borderId="112" xfId="5" applyFont="1" applyFill="1" applyBorder="1" applyAlignment="1">
      <alignment horizontal="center" vertical="center"/>
    </xf>
    <xf numFmtId="0" fontId="94" fillId="0" borderId="18" xfId="9" applyFont="1" applyFill="1" applyBorder="1"/>
    <xf numFmtId="0" fontId="70" fillId="0" borderId="96" xfId="5" applyFont="1" applyFill="1" applyBorder="1" applyAlignment="1">
      <alignment horizontal="center" vertical="center" wrapText="1"/>
    </xf>
    <xf numFmtId="0" fontId="70" fillId="0" borderId="103" xfId="5" applyFont="1" applyFill="1" applyBorder="1" applyAlignment="1">
      <alignment horizontal="center" vertical="center" wrapText="1"/>
    </xf>
    <xf numFmtId="0" fontId="70" fillId="0" borderId="113" xfId="5" applyFont="1" applyFill="1" applyBorder="1" applyAlignment="1">
      <alignment horizontal="center" vertical="center" wrapText="1"/>
    </xf>
    <xf numFmtId="0" fontId="93" fillId="0" borderId="90" xfId="5" applyFont="1" applyFill="1" applyBorder="1" applyAlignment="1">
      <alignment horizontal="center" vertical="center"/>
    </xf>
    <xf numFmtId="0" fontId="93" fillId="0" borderId="40" xfId="5" applyFont="1" applyFill="1" applyBorder="1" applyAlignment="1">
      <alignment horizontal="center" vertical="center"/>
    </xf>
    <xf numFmtId="0" fontId="93" fillId="0" borderId="98" xfId="5" applyFont="1" applyFill="1" applyBorder="1" applyAlignment="1">
      <alignment horizontal="center" vertical="center"/>
    </xf>
    <xf numFmtId="0" fontId="70" fillId="56" borderId="87" xfId="5" applyFont="1" applyFill="1" applyBorder="1" applyAlignment="1">
      <alignment horizontal="center" vertical="top" wrapText="1"/>
    </xf>
    <xf numFmtId="0" fontId="70" fillId="56" borderId="67" xfId="5" applyFont="1" applyFill="1" applyBorder="1" applyAlignment="1">
      <alignment horizontal="center" vertical="top" wrapText="1"/>
    </xf>
    <xf numFmtId="0" fontId="70" fillId="56" borderId="82" xfId="5" applyFont="1" applyFill="1" applyBorder="1" applyAlignment="1">
      <alignment horizontal="center" vertical="top" wrapText="1"/>
    </xf>
    <xf numFmtId="0" fontId="95" fillId="3" borderId="160" xfId="5" applyFont="1" applyFill="1" applyBorder="1" applyAlignment="1">
      <alignment horizontal="center" vertical="center" wrapText="1"/>
    </xf>
    <xf numFmtId="0" fontId="95" fillId="3" borderId="67" xfId="5" applyFont="1" applyFill="1" applyBorder="1" applyAlignment="1">
      <alignment horizontal="center" vertical="center"/>
    </xf>
    <xf numFmtId="0" fontId="95" fillId="3" borderId="82" xfId="5" applyFont="1" applyFill="1" applyBorder="1" applyAlignment="1">
      <alignment horizontal="center" vertical="center"/>
    </xf>
    <xf numFmtId="3" fontId="90" fillId="0" borderId="18" xfId="5" applyNumberFormat="1" applyFont="1" applyFill="1" applyBorder="1" applyAlignment="1">
      <alignment horizontal="center"/>
    </xf>
    <xf numFmtId="0" fontId="70" fillId="0" borderId="111" xfId="9" applyFont="1" applyFill="1" applyBorder="1"/>
    <xf numFmtId="0" fontId="90" fillId="0" borderId="18" xfId="5" applyFont="1" applyFill="1" applyBorder="1" applyAlignment="1">
      <alignment horizontal="center"/>
    </xf>
    <xf numFmtId="0" fontId="95" fillId="3" borderId="44" xfId="5" applyFont="1" applyFill="1" applyBorder="1" applyAlignment="1">
      <alignment horizontal="center" vertical="center" wrapText="1"/>
    </xf>
    <xf numFmtId="0" fontId="95" fillId="3" borderId="100" xfId="5" applyFont="1" applyFill="1" applyBorder="1" applyAlignment="1">
      <alignment horizontal="center" vertical="center" wrapText="1"/>
    </xf>
    <xf numFmtId="0" fontId="95" fillId="3" borderId="166" xfId="5" applyFont="1" applyFill="1" applyBorder="1" applyAlignment="1">
      <alignment horizontal="center" vertical="center" wrapText="1"/>
    </xf>
    <xf numFmtId="0" fontId="70" fillId="0" borderId="18" xfId="7" applyNumberFormat="1" applyFont="1" applyFill="1" applyBorder="1" applyAlignment="1">
      <alignment horizontal="left" vertical="center" wrapText="1"/>
    </xf>
    <xf numFmtId="0" fontId="93" fillId="0" borderId="93" xfId="5" applyFont="1" applyFill="1" applyBorder="1" applyAlignment="1">
      <alignment horizontal="center" vertical="center"/>
    </xf>
    <xf numFmtId="0" fontId="93" fillId="0" borderId="94" xfId="5" applyFont="1" applyFill="1" applyBorder="1" applyAlignment="1">
      <alignment horizontal="center" vertical="center"/>
    </xf>
    <xf numFmtId="0" fontId="72" fillId="9" borderId="94" xfId="5" applyFont="1" applyFill="1" applyBorder="1" applyAlignment="1">
      <alignment horizontal="center" vertical="center" wrapText="1"/>
    </xf>
    <xf numFmtId="0" fontId="72" fillId="9" borderId="18" xfId="5" applyFont="1" applyFill="1" applyBorder="1" applyAlignment="1">
      <alignment horizontal="center" vertical="center" wrapText="1"/>
    </xf>
    <xf numFmtId="0" fontId="72" fillId="9" borderId="112" xfId="5" applyFont="1" applyFill="1" applyBorder="1" applyAlignment="1">
      <alignment horizontal="center" vertical="center" wrapText="1"/>
    </xf>
    <xf numFmtId="0" fontId="95" fillId="53" borderId="45" xfId="5" applyFont="1" applyFill="1" applyBorder="1" applyAlignment="1">
      <alignment horizontal="center" vertical="center" wrapText="1"/>
    </xf>
    <xf numFmtId="0" fontId="95" fillId="53" borderId="158" xfId="5" applyFont="1" applyFill="1" applyBorder="1" applyAlignment="1">
      <alignment horizontal="center" vertical="center" wrapText="1"/>
    </xf>
    <xf numFmtId="0" fontId="95" fillId="53" borderId="159" xfId="5" applyFont="1" applyFill="1" applyBorder="1" applyAlignment="1">
      <alignment horizontal="center" vertical="center" wrapText="1"/>
    </xf>
    <xf numFmtId="0" fontId="70" fillId="52" borderId="161" xfId="5" applyFont="1" applyFill="1" applyBorder="1" applyAlignment="1">
      <alignment horizontal="center" vertical="center" wrapText="1"/>
    </xf>
    <xf numFmtId="0" fontId="70" fillId="52" borderId="107" xfId="5" applyFont="1" applyFill="1" applyBorder="1" applyAlignment="1">
      <alignment horizontal="center" vertical="center" wrapText="1"/>
    </xf>
    <xf numFmtId="0" fontId="70" fillId="52" borderId="109" xfId="5" applyFont="1" applyFill="1" applyBorder="1" applyAlignment="1">
      <alignment horizontal="center" vertical="center" wrapText="1"/>
    </xf>
    <xf numFmtId="0" fontId="70" fillId="0" borderId="18" xfId="9" applyFont="1" applyFill="1" applyBorder="1" applyAlignment="1">
      <alignment horizontal="center" vertical="top" wrapText="1"/>
    </xf>
    <xf numFmtId="0" fontId="70" fillId="0" borderId="112" xfId="9" applyFont="1" applyFill="1" applyBorder="1" applyAlignment="1">
      <alignment horizontal="center" vertical="top" wrapText="1"/>
    </xf>
    <xf numFmtId="0" fontId="70" fillId="0" borderId="99" xfId="5" applyFont="1" applyFill="1" applyBorder="1" applyAlignment="1">
      <alignment horizontal="center" vertical="center" wrapText="1"/>
    </xf>
    <xf numFmtId="0" fontId="90" fillId="0" borderId="18" xfId="5" applyFont="1" applyFill="1" applyBorder="1" applyAlignment="1">
      <alignment horizontal="center" vertical="center"/>
    </xf>
    <xf numFmtId="0" fontId="90" fillId="52" borderId="18" xfId="5" applyFont="1" applyFill="1" applyBorder="1" applyAlignment="1">
      <alignment horizontal="center"/>
    </xf>
    <xf numFmtId="0" fontId="70" fillId="0" borderId="18" xfId="5" applyNumberFormat="1" applyFont="1" applyFill="1" applyBorder="1" applyAlignment="1">
      <alignment horizontal="center"/>
    </xf>
    <xf numFmtId="0" fontId="70" fillId="0" borderId="18" xfId="5" applyFont="1" applyFill="1" applyBorder="1" applyAlignment="1">
      <alignment horizontal="center"/>
    </xf>
    <xf numFmtId="0" fontId="86" fillId="52" borderId="18" xfId="5" applyFont="1" applyFill="1" applyBorder="1" applyAlignment="1">
      <alignment horizontal="center" vertical="center"/>
    </xf>
    <xf numFmtId="0" fontId="89" fillId="52" borderId="18" xfId="5" applyFont="1" applyFill="1" applyBorder="1" applyAlignment="1">
      <alignment horizontal="left"/>
    </xf>
    <xf numFmtId="0" fontId="70" fillId="52" borderId="18" xfId="5" applyFont="1" applyFill="1" applyBorder="1" applyAlignment="1">
      <alignment horizontal="center"/>
    </xf>
    <xf numFmtId="0" fontId="71" fillId="52" borderId="18" xfId="5" applyFont="1" applyFill="1" applyBorder="1" applyAlignment="1">
      <alignment horizontal="left"/>
    </xf>
    <xf numFmtId="0" fontId="71" fillId="0" borderId="18" xfId="5" applyFont="1" applyFill="1" applyBorder="1" applyAlignment="1">
      <alignment horizontal="left"/>
    </xf>
    <xf numFmtId="0" fontId="89" fillId="0" borderId="18" xfId="5" applyFont="1" applyFill="1" applyBorder="1" applyAlignment="1">
      <alignment horizontal="center"/>
    </xf>
    <xf numFmtId="0" fontId="70" fillId="0" borderId="18" xfId="5" applyFont="1" applyFill="1" applyBorder="1" applyAlignment="1">
      <alignment horizontal="left"/>
    </xf>
    <xf numFmtId="0" fontId="71" fillId="0" borderId="18" xfId="5" applyFont="1" applyFill="1" applyBorder="1" applyAlignment="1">
      <alignment horizontal="center"/>
    </xf>
    <xf numFmtId="0" fontId="77" fillId="0" borderId="18" xfId="9" applyFont="1" applyFill="1" applyBorder="1" applyAlignment="1">
      <alignment horizontal="left"/>
    </xf>
    <xf numFmtId="0" fontId="70" fillId="0" borderId="18" xfId="8" applyNumberFormat="1" applyFont="1" applyFill="1" applyBorder="1" applyAlignment="1">
      <alignment horizontal="left"/>
    </xf>
    <xf numFmtId="171" fontId="70" fillId="0" borderId="18" xfId="7" applyNumberFormat="1" applyFont="1" applyFill="1" applyBorder="1" applyAlignment="1">
      <alignment horizontal="left"/>
    </xf>
    <xf numFmtId="0" fontId="90" fillId="0" borderId="18" xfId="5" applyFont="1" applyFill="1" applyBorder="1" applyAlignment="1">
      <alignment horizontal="left"/>
    </xf>
    <xf numFmtId="0" fontId="70" fillId="0" borderId="18" xfId="5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center" vertical="center"/>
    </xf>
    <xf numFmtId="0" fontId="70" fillId="0" borderId="106" xfId="5" applyFont="1" applyFill="1" applyBorder="1" applyAlignment="1">
      <alignment horizontal="center" vertical="center"/>
    </xf>
    <xf numFmtId="0" fontId="70" fillId="0" borderId="103" xfId="5" applyFont="1" applyFill="1" applyBorder="1" applyAlignment="1">
      <alignment horizontal="center" vertical="center"/>
    </xf>
    <xf numFmtId="0" fontId="70" fillId="0" borderId="165" xfId="5" applyFont="1" applyFill="1" applyBorder="1" applyAlignment="1">
      <alignment horizontal="center" vertical="center"/>
    </xf>
    <xf numFmtId="3" fontId="90" fillId="0" borderId="18" xfId="5" applyNumberFormat="1" applyFont="1" applyFill="1" applyBorder="1" applyAlignment="1">
      <alignment horizontal="right"/>
    </xf>
    <xf numFmtId="38" fontId="90" fillId="0" borderId="18" xfId="5" applyNumberFormat="1" applyFont="1" applyFill="1" applyBorder="1" applyAlignment="1">
      <alignment horizontal="center" vertical="center"/>
    </xf>
    <xf numFmtId="9" fontId="90" fillId="0" borderId="18" xfId="8" applyFont="1" applyFill="1" applyBorder="1" applyAlignment="1">
      <alignment horizontal="right" vertical="center"/>
    </xf>
    <xf numFmtId="0" fontId="70" fillId="0" borderId="87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53" borderId="94" xfId="5" applyFont="1" applyFill="1" applyBorder="1" applyAlignment="1">
      <alignment horizontal="center" vertical="center"/>
    </xf>
    <xf numFmtId="0" fontId="70" fillId="53" borderId="18" xfId="5" applyFont="1" applyFill="1" applyBorder="1" applyAlignment="1">
      <alignment horizontal="center" vertical="center"/>
    </xf>
    <xf numFmtId="0" fontId="70" fillId="53" borderId="112" xfId="5" applyFont="1" applyFill="1" applyBorder="1" applyAlignment="1">
      <alignment horizontal="center" vertical="center"/>
    </xf>
    <xf numFmtId="0" fontId="95" fillId="0" borderId="160" xfId="5" applyFont="1" applyFill="1" applyBorder="1" applyAlignment="1">
      <alignment horizontal="center" vertical="center" wrapText="1"/>
    </xf>
    <xf numFmtId="0" fontId="95" fillId="0" borderId="67" xfId="5" applyFont="1" applyFill="1" applyBorder="1" applyAlignment="1">
      <alignment horizontal="center" vertical="center" wrapText="1"/>
    </xf>
    <xf numFmtId="0" fontId="95" fillId="0" borderId="82" xfId="5" applyFont="1" applyFill="1" applyBorder="1" applyAlignment="1">
      <alignment horizontal="center" vertical="center" wrapText="1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159" xfId="5" applyNumberFormat="1" applyFont="1" applyFill="1" applyBorder="1" applyAlignment="1">
      <alignment horizontal="center" vertical="center"/>
    </xf>
    <xf numFmtId="38" fontId="70" fillId="0" borderId="106" xfId="5" applyNumberFormat="1" applyFont="1" applyFill="1" applyBorder="1" applyAlignment="1">
      <alignment horizontal="center" vertical="center"/>
    </xf>
    <xf numFmtId="38" fontId="70" fillId="0" borderId="103" xfId="5" applyNumberFormat="1" applyFont="1" applyFill="1" applyBorder="1" applyAlignment="1">
      <alignment horizontal="center" vertical="center"/>
    </xf>
    <xf numFmtId="38" fontId="70" fillId="0" borderId="165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center" vertical="center"/>
    </xf>
    <xf numFmtId="38" fontId="70" fillId="0" borderId="94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center" vertical="center"/>
    </xf>
    <xf numFmtId="38" fontId="70" fillId="0" borderId="90" xfId="5" applyNumberFormat="1" applyFont="1" applyFill="1" applyBorder="1" applyAlignment="1">
      <alignment horizontal="center" vertical="center"/>
    </xf>
    <xf numFmtId="38" fontId="70" fillId="0" borderId="40" xfId="5" applyNumberFormat="1" applyFont="1" applyFill="1" applyBorder="1" applyAlignment="1">
      <alignment horizontal="center" vertical="center"/>
    </xf>
    <xf numFmtId="38" fontId="70" fillId="0" borderId="98" xfId="5" applyNumberFormat="1" applyFont="1" applyFill="1" applyBorder="1" applyAlignment="1">
      <alignment horizontal="center" vertical="center"/>
    </xf>
    <xf numFmtId="38" fontId="70" fillId="0" borderId="113" xfId="5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/>
    </xf>
    <xf numFmtId="38" fontId="70" fillId="0" borderId="104" xfId="7" applyNumberFormat="1" applyFont="1" applyFill="1" applyBorder="1" applyAlignment="1">
      <alignment horizontal="center" vertical="center"/>
    </xf>
    <xf numFmtId="38" fontId="70" fillId="0" borderId="114" xfId="7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 wrapText="1"/>
    </xf>
    <xf numFmtId="38" fontId="70" fillId="0" borderId="104" xfId="7" applyNumberFormat="1" applyFont="1" applyFill="1" applyBorder="1" applyAlignment="1">
      <alignment horizontal="center" vertical="center" wrapText="1"/>
    </xf>
    <xf numFmtId="38" fontId="70" fillId="0" borderId="114" xfId="7" applyNumberFormat="1" applyFont="1" applyFill="1" applyBorder="1" applyAlignment="1">
      <alignment horizontal="center" vertical="center" wrapText="1"/>
    </xf>
    <xf numFmtId="38" fontId="70" fillId="0" borderId="106" xfId="5" applyNumberFormat="1" applyFont="1" applyFill="1" applyBorder="1" applyAlignment="1">
      <alignment horizontal="center" vertical="center" wrapText="1"/>
    </xf>
    <xf numFmtId="38" fontId="70" fillId="0" borderId="113" xfId="5" applyNumberFormat="1" applyFont="1" applyFill="1" applyBorder="1" applyAlignment="1">
      <alignment horizontal="center" vertical="center" wrapText="1"/>
    </xf>
    <xf numFmtId="38" fontId="70" fillId="0" borderId="87" xfId="5" applyNumberFormat="1" applyFont="1" applyFill="1" applyBorder="1" applyAlignment="1">
      <alignment horizontal="center" vertical="center" wrapText="1"/>
    </xf>
    <xf numFmtId="38" fontId="70" fillId="0" borderId="82" xfId="5" applyNumberFormat="1" applyFont="1" applyFill="1" applyBorder="1" applyAlignment="1">
      <alignment horizontal="center" vertical="center" wrapText="1"/>
    </xf>
    <xf numFmtId="38" fontId="70" fillId="0" borderId="105" xfId="5" applyNumberFormat="1" applyFont="1" applyFill="1" applyBorder="1" applyAlignment="1">
      <alignment horizontal="center" vertical="center" wrapText="1"/>
    </xf>
    <xf numFmtId="38" fontId="70" fillId="0" borderId="109" xfId="5" applyNumberFormat="1" applyFont="1" applyFill="1" applyBorder="1" applyAlignment="1">
      <alignment horizontal="center" vertical="center" wrapText="1"/>
    </xf>
    <xf numFmtId="38" fontId="70" fillId="0" borderId="90" xfId="5" applyNumberFormat="1" applyFont="1" applyFill="1" applyBorder="1" applyAlignment="1">
      <alignment horizontal="center" vertical="center" wrapText="1"/>
    </xf>
    <xf numFmtId="38" fontId="70" fillId="0" borderId="40" xfId="5" applyNumberFormat="1" applyFont="1" applyFill="1" applyBorder="1" applyAlignment="1">
      <alignment horizontal="center" vertical="center" wrapText="1"/>
    </xf>
    <xf numFmtId="38" fontId="70" fillId="0" borderId="98" xfId="5" applyNumberFormat="1" applyFont="1" applyFill="1" applyBorder="1" applyAlignment="1">
      <alignment horizontal="center" vertical="center" wrapText="1"/>
    </xf>
    <xf numFmtId="38" fontId="70" fillId="0" borderId="99" xfId="5" applyNumberFormat="1" applyFont="1" applyFill="1" applyBorder="1" applyAlignment="1">
      <alignment horizontal="center" vertical="center"/>
    </xf>
    <xf numFmtId="38" fontId="70" fillId="0" borderId="18" xfId="5" applyNumberFormat="1" applyFont="1" applyFill="1" applyBorder="1" applyAlignment="1">
      <alignment horizontal="center" vertical="center"/>
    </xf>
    <xf numFmtId="38" fontId="70" fillId="0" borderId="88" xfId="5" applyNumberFormat="1" applyFont="1" applyFill="1" applyBorder="1" applyAlignment="1">
      <alignment horizontal="center" vertical="center" wrapText="1"/>
    </xf>
    <xf numFmtId="38" fontId="70" fillId="0" borderId="78" xfId="5" applyNumberFormat="1" applyFont="1" applyFill="1" applyBorder="1" applyAlignment="1">
      <alignment horizontal="center" vertical="center" wrapText="1"/>
    </xf>
    <xf numFmtId="0" fontId="70" fillId="0" borderId="111" xfId="5" applyFont="1" applyFill="1" applyBorder="1" applyAlignment="1">
      <alignment horizontal="center" vertical="center" wrapText="1"/>
    </xf>
    <xf numFmtId="0" fontId="70" fillId="56" borderId="18" xfId="5" applyFont="1" applyFill="1" applyBorder="1" applyAlignment="1">
      <alignment horizontal="center" vertical="center" wrapText="1"/>
    </xf>
    <xf numFmtId="0" fontId="70" fillId="56" borderId="112" xfId="5" applyFont="1" applyFill="1" applyBorder="1" applyAlignment="1">
      <alignment horizontal="center" vertical="center" wrapText="1"/>
    </xf>
    <xf numFmtId="38" fontId="70" fillId="0" borderId="111" xfId="5" applyNumberFormat="1" applyFont="1" applyFill="1" applyBorder="1" applyAlignment="1">
      <alignment horizontal="center"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54" borderId="87" xfId="5" applyNumberFormat="1" applyFont="1" applyFill="1" applyBorder="1" applyAlignment="1">
      <alignment horizontal="center" vertical="center"/>
    </xf>
    <xf numFmtId="38" fontId="70" fillId="54" borderId="82" xfId="5" applyNumberFormat="1" applyFont="1" applyFill="1" applyBorder="1" applyAlignment="1">
      <alignment horizontal="center" vertical="center"/>
    </xf>
    <xf numFmtId="0" fontId="70" fillId="12" borderId="96" xfId="5" applyFont="1" applyFill="1" applyBorder="1" applyAlignment="1">
      <alignment horizontal="center" vertical="center" wrapText="1"/>
    </xf>
    <xf numFmtId="0" fontId="70" fillId="12" borderId="103" xfId="5" applyFont="1" applyFill="1" applyBorder="1" applyAlignment="1">
      <alignment horizontal="center" vertical="center" wrapText="1"/>
    </xf>
    <xf numFmtId="0" fontId="70" fillId="12" borderId="113" xfId="5" applyFont="1" applyFill="1" applyBorder="1" applyAlignment="1">
      <alignment horizontal="center" vertical="center" wrapText="1"/>
    </xf>
    <xf numFmtId="0" fontId="70" fillId="0" borderId="90" xfId="5" applyFont="1" applyFill="1" applyBorder="1" applyAlignment="1">
      <alignment horizontal="center" vertical="center"/>
    </xf>
    <xf numFmtId="0" fontId="70" fillId="0" borderId="40" xfId="5" applyFont="1" applyFill="1" applyBorder="1" applyAlignment="1">
      <alignment horizontal="center" vertical="center"/>
    </xf>
    <xf numFmtId="0" fontId="70" fillId="0" borderId="98" xfId="5" applyFont="1" applyFill="1" applyBorder="1" applyAlignment="1">
      <alignment horizontal="center" vertical="center"/>
    </xf>
    <xf numFmtId="0" fontId="70" fillId="0" borderId="82" xfId="9" applyFont="1" applyFill="1" applyBorder="1"/>
    <xf numFmtId="0" fontId="70" fillId="54" borderId="87" xfId="5" applyFont="1" applyFill="1" applyBorder="1" applyAlignment="1">
      <alignment horizontal="center" vertical="center"/>
    </xf>
    <xf numFmtId="0" fontId="70" fillId="54" borderId="82" xfId="9" applyFont="1" applyFill="1" applyBorder="1"/>
    <xf numFmtId="3" fontId="70" fillId="0" borderId="18" xfId="5" applyNumberFormat="1" applyFont="1" applyFill="1" applyBorder="1" applyAlignment="1">
      <alignment horizontal="center"/>
    </xf>
    <xf numFmtId="0" fontId="71" fillId="0" borderId="100" xfId="5" applyFont="1" applyFill="1" applyBorder="1" applyAlignment="1">
      <alignment horizontal="left"/>
    </xf>
    <xf numFmtId="0" fontId="71" fillId="0" borderId="10" xfId="5" applyFont="1" applyFill="1" applyBorder="1" applyAlignment="1">
      <alignment horizontal="left"/>
    </xf>
    <xf numFmtId="0" fontId="71" fillId="0" borderId="101" xfId="5" applyFont="1" applyFill="1" applyBorder="1" applyAlignment="1">
      <alignment horizontal="left"/>
    </xf>
    <xf numFmtId="0" fontId="71" fillId="0" borderId="67" xfId="5" applyFont="1" applyFill="1" applyBorder="1" applyAlignment="1">
      <alignment horizontal="left"/>
    </xf>
    <xf numFmtId="0" fontId="71" fillId="0" borderId="100" xfId="5" applyFont="1" applyFill="1" applyBorder="1" applyAlignment="1">
      <alignment horizontal="center"/>
    </xf>
    <xf numFmtId="0" fontId="71" fillId="0" borderId="10" xfId="5" applyFont="1" applyFill="1" applyBorder="1" applyAlignment="1">
      <alignment horizontal="center"/>
    </xf>
    <xf numFmtId="0" fontId="71" fillId="0" borderId="101" xfId="5" applyFont="1" applyFill="1" applyBorder="1" applyAlignment="1">
      <alignment horizontal="center"/>
    </xf>
    <xf numFmtId="0" fontId="70" fillId="54" borderId="105" xfId="5" applyFont="1" applyFill="1" applyBorder="1" applyAlignment="1">
      <alignment horizontal="center" vertical="center"/>
    </xf>
    <xf numFmtId="0" fontId="70" fillId="54" borderId="109" xfId="9" applyFont="1" applyFill="1" applyBorder="1"/>
    <xf numFmtId="0" fontId="70" fillId="0" borderId="105" xfId="5" applyFont="1" applyFill="1" applyBorder="1" applyAlignment="1">
      <alignment horizontal="center" vertical="center" wrapText="1"/>
    </xf>
    <xf numFmtId="0" fontId="70" fillId="0" borderId="107" xfId="5" applyFont="1" applyFill="1" applyBorder="1" applyAlignment="1">
      <alignment horizontal="center" vertical="center" wrapText="1"/>
    </xf>
    <xf numFmtId="0" fontId="70" fillId="0" borderId="109" xfId="5" applyFont="1" applyFill="1" applyBorder="1" applyAlignment="1">
      <alignment horizontal="center" vertical="center" wrapText="1"/>
    </xf>
    <xf numFmtId="0" fontId="70" fillId="54" borderId="87" xfId="5" applyFont="1" applyFill="1" applyBorder="1" applyAlignment="1">
      <alignment horizontal="center" vertical="center" wrapText="1"/>
    </xf>
    <xf numFmtId="0" fontId="70" fillId="54" borderId="67" xfId="5" applyFont="1" applyFill="1" applyBorder="1" applyAlignment="1">
      <alignment horizontal="center" vertical="center" wrapText="1"/>
    </xf>
    <xf numFmtId="0" fontId="70" fillId="54" borderId="82" xfId="5" applyFont="1" applyFill="1" applyBorder="1" applyAlignment="1">
      <alignment horizontal="center" vertical="center" wrapText="1"/>
    </xf>
    <xf numFmtId="0" fontId="70" fillId="0" borderId="87" xfId="5" applyFont="1" applyFill="1" applyBorder="1" applyAlignment="1">
      <alignment horizontal="center" vertical="center" wrapText="1"/>
    </xf>
    <xf numFmtId="0" fontId="70" fillId="0" borderId="67" xfId="5" applyFont="1" applyFill="1" applyBorder="1" applyAlignment="1">
      <alignment horizontal="center" vertical="center" wrapText="1"/>
    </xf>
    <xf numFmtId="0" fontId="70" fillId="0" borderId="82" xfId="5" applyFont="1" applyFill="1" applyBorder="1" applyAlignment="1">
      <alignment horizontal="center" vertical="center" wrapText="1"/>
    </xf>
    <xf numFmtId="0" fontId="70" fillId="54" borderId="106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54" borderId="87" xfId="5" applyFont="1" applyFill="1" applyBorder="1" applyAlignment="1">
      <alignment horizontal="center" vertical="top" wrapText="1"/>
    </xf>
    <xf numFmtId="0" fontId="70" fillId="54" borderId="67" xfId="5" applyFont="1" applyFill="1" applyBorder="1" applyAlignment="1">
      <alignment horizontal="center" vertical="top" wrapText="1"/>
    </xf>
    <xf numFmtId="0" fontId="70" fillId="54" borderId="82" xfId="5" applyFont="1" applyFill="1" applyBorder="1" applyAlignment="1">
      <alignment horizontal="center" vertical="top" wrapText="1"/>
    </xf>
    <xf numFmtId="0" fontId="70" fillId="0" borderId="18" xfId="9" applyFont="1" applyFill="1" applyBorder="1"/>
    <xf numFmtId="0" fontId="70" fillId="12" borderId="160" xfId="5" applyFont="1" applyFill="1" applyBorder="1" applyAlignment="1">
      <alignment horizontal="center" vertical="center" wrapText="1"/>
    </xf>
    <xf numFmtId="0" fontId="70" fillId="12" borderId="67" xfId="5" applyFont="1" applyFill="1" applyBorder="1" applyAlignment="1">
      <alignment horizontal="center" vertical="center" wrapText="1"/>
    </xf>
    <xf numFmtId="0" fontId="70" fillId="12" borderId="82" xfId="5" applyFont="1" applyFill="1" applyBorder="1" applyAlignment="1">
      <alignment horizontal="center" vertical="center" wrapText="1"/>
    </xf>
    <xf numFmtId="0" fontId="70" fillId="54" borderId="97" xfId="5" applyFont="1" applyFill="1" applyBorder="1" applyAlignment="1">
      <alignment horizontal="center" vertical="center" wrapText="1"/>
    </xf>
    <xf numFmtId="0" fontId="70" fillId="54" borderId="104" xfId="5" applyFont="1" applyFill="1" applyBorder="1" applyAlignment="1">
      <alignment horizontal="center" vertical="center" wrapText="1"/>
    </xf>
    <xf numFmtId="0" fontId="70" fillId="54" borderId="114" xfId="5" applyFont="1" applyFill="1" applyBorder="1" applyAlignment="1">
      <alignment horizontal="center" vertical="center" wrapText="1"/>
    </xf>
    <xf numFmtId="0" fontId="70" fillId="54" borderId="105" xfId="5" applyFont="1" applyFill="1" applyBorder="1" applyAlignment="1">
      <alignment horizontal="center" vertical="center" wrapText="1"/>
    </xf>
    <xf numFmtId="0" fontId="70" fillId="54" borderId="107" xfId="5" applyFont="1" applyFill="1" applyBorder="1" applyAlignment="1">
      <alignment horizontal="center" vertical="center" wrapText="1"/>
    </xf>
    <xf numFmtId="0" fontId="70" fillId="54" borderId="109" xfId="5" applyFont="1" applyFill="1" applyBorder="1" applyAlignment="1">
      <alignment horizontal="center" vertical="center" wrapText="1"/>
    </xf>
    <xf numFmtId="0" fontId="70" fillId="54" borderId="18" xfId="5" applyFont="1" applyFill="1" applyBorder="1" applyAlignment="1">
      <alignment horizontal="center" vertical="center" wrapText="1"/>
    </xf>
    <xf numFmtId="0" fontId="70" fillId="54" borderId="112" xfId="5" applyFont="1" applyFill="1" applyBorder="1" applyAlignment="1">
      <alignment horizontal="center" vertical="center" wrapText="1"/>
    </xf>
    <xf numFmtId="0" fontId="70" fillId="0" borderId="91" xfId="5" applyFont="1" applyFill="1" applyBorder="1" applyAlignment="1">
      <alignment horizontal="center" vertical="center"/>
    </xf>
    <xf numFmtId="0" fontId="72" fillId="9" borderId="45" xfId="5" applyFont="1" applyFill="1" applyBorder="1" applyAlignment="1">
      <alignment horizontal="center" vertical="center" wrapText="1"/>
    </xf>
    <xf numFmtId="0" fontId="72" fillId="9" borderId="158" xfId="5" applyFont="1" applyFill="1" applyBorder="1" applyAlignment="1">
      <alignment horizontal="center" vertical="center" wrapText="1"/>
    </xf>
    <xf numFmtId="0" fontId="72" fillId="9" borderId="159" xfId="5" applyFont="1" applyFill="1" applyBorder="1" applyAlignment="1">
      <alignment horizontal="center" vertical="center" wrapText="1"/>
    </xf>
    <xf numFmtId="0" fontId="70" fillId="0" borderId="87" xfId="9" applyFont="1" applyFill="1" applyBorder="1" applyAlignment="1">
      <alignment horizontal="center" vertical="top" wrapText="1"/>
    </xf>
    <xf numFmtId="0" fontId="70" fillId="0" borderId="67" xfId="9" applyFont="1" applyFill="1" applyBorder="1" applyAlignment="1">
      <alignment horizontal="center" vertical="top" wrapText="1"/>
    </xf>
    <xf numFmtId="0" fontId="70" fillId="0" borderId="82" xfId="9" applyFont="1" applyFill="1" applyBorder="1" applyAlignment="1">
      <alignment horizontal="center" vertical="top" wrapText="1"/>
    </xf>
    <xf numFmtId="0" fontId="70" fillId="0" borderId="89" xfId="5" applyFont="1" applyFill="1" applyBorder="1" applyAlignment="1">
      <alignment horizontal="center" vertical="top" wrapText="1"/>
    </xf>
    <xf numFmtId="0" fontId="70" fillId="0" borderId="68" xfId="5" applyFont="1" applyFill="1" applyBorder="1" applyAlignment="1">
      <alignment horizontal="center" vertical="top" wrapText="1"/>
    </xf>
    <xf numFmtId="0" fontId="70" fillId="0" borderId="84" xfId="5" applyFont="1" applyFill="1" applyBorder="1" applyAlignment="1">
      <alignment horizontal="center" vertical="top" wrapText="1"/>
    </xf>
    <xf numFmtId="0" fontId="70" fillId="0" borderId="160" xfId="5" applyFont="1" applyFill="1" applyBorder="1" applyAlignment="1">
      <alignment horizontal="center" vertical="center"/>
    </xf>
    <xf numFmtId="0" fontId="70" fillId="0" borderId="82" xfId="5" applyFont="1" applyFill="1" applyBorder="1" applyAlignment="1">
      <alignment horizontal="center" vertical="center"/>
    </xf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0" fontId="72" fillId="9" borderId="92" xfId="5" applyFont="1" applyFill="1" applyBorder="1" applyAlignment="1">
      <alignment horizontal="center" vertical="center" wrapText="1"/>
    </xf>
    <xf numFmtId="0" fontId="72" fillId="9" borderId="102" xfId="5" applyFont="1" applyFill="1" applyBorder="1" applyAlignment="1">
      <alignment horizontal="center" vertical="center" wrapText="1"/>
    </xf>
    <xf numFmtId="0" fontId="72" fillId="9" borderId="110" xfId="5" applyFont="1" applyFill="1" applyBorder="1" applyAlignment="1">
      <alignment horizontal="center" vertical="center" wrapText="1"/>
    </xf>
    <xf numFmtId="0" fontId="70" fillId="0" borderId="93" xfId="5" applyFont="1" applyFill="1" applyBorder="1" applyAlignment="1">
      <alignment horizontal="center" vertical="center"/>
    </xf>
    <xf numFmtId="0" fontId="70" fillId="0" borderId="94" xfId="5" applyFont="1" applyFill="1" applyBorder="1" applyAlignment="1">
      <alignment horizontal="center" vertical="center"/>
    </xf>
    <xf numFmtId="0" fontId="70" fillId="6" borderId="18" xfId="5" applyFont="1" applyFill="1" applyBorder="1" applyAlignment="1">
      <alignment horizontal="center"/>
    </xf>
    <xf numFmtId="0" fontId="74" fillId="6" borderId="18" xfId="5" applyFont="1" applyFill="1" applyBorder="1" applyAlignment="1">
      <alignment horizontal="center" vertical="center"/>
    </xf>
    <xf numFmtId="0" fontId="100" fillId="0" borderId="175" xfId="71" applyFont="1" applyFill="1" applyBorder="1" applyAlignment="1">
      <alignment horizontal="center" vertical="center"/>
    </xf>
    <xf numFmtId="0" fontId="100" fillId="0" borderId="175" xfId="71" applyFont="1" applyFill="1" applyBorder="1" applyAlignment="1">
      <alignment horizontal="center" vertical="center" wrapText="1"/>
    </xf>
    <xf numFmtId="0" fontId="100" fillId="0" borderId="171" xfId="71" applyFont="1" applyFill="1" applyBorder="1" applyAlignment="1">
      <alignment horizontal="center" vertical="center" wrapText="1"/>
    </xf>
    <xf numFmtId="0" fontId="100" fillId="0" borderId="171" xfId="71" applyFont="1" applyFill="1" applyBorder="1" applyAlignment="1">
      <alignment horizontal="center" vertical="center"/>
    </xf>
    <xf numFmtId="0" fontId="81" fillId="0" borderId="53" xfId="0" applyFont="1" applyBorder="1" applyAlignment="1">
      <alignment horizontal="center" vertical="center"/>
    </xf>
    <xf numFmtId="0" fontId="81" fillId="0" borderId="57" xfId="0" applyFont="1" applyBorder="1" applyAlignment="1">
      <alignment horizontal="center" vertical="center"/>
    </xf>
    <xf numFmtId="0" fontId="81" fillId="0" borderId="183" xfId="0" applyFont="1" applyBorder="1" applyAlignment="1">
      <alignment horizontal="center" vertical="center"/>
    </xf>
    <xf numFmtId="0" fontId="81" fillId="52" borderId="53" xfId="0" applyFont="1" applyFill="1" applyBorder="1" applyAlignment="1">
      <alignment horizontal="center" vertical="center"/>
    </xf>
    <xf numFmtId="0" fontId="81" fillId="52" borderId="57" xfId="0" applyFont="1" applyFill="1" applyBorder="1" applyAlignment="1">
      <alignment horizontal="center" vertical="center"/>
    </xf>
    <xf numFmtId="0" fontId="81" fillId="52" borderId="183" xfId="0" applyFont="1" applyFill="1" applyBorder="1" applyAlignment="1">
      <alignment horizontal="center" vertical="center"/>
    </xf>
    <xf numFmtId="41" fontId="81" fillId="0" borderId="53" xfId="2" applyFont="1" applyBorder="1" applyAlignment="1">
      <alignment horizontal="center" vertical="center"/>
    </xf>
    <xf numFmtId="41" fontId="81" fillId="0" borderId="57" xfId="2" applyFont="1" applyBorder="1" applyAlignment="1">
      <alignment horizontal="center" vertical="center"/>
    </xf>
    <xf numFmtId="41" fontId="81" fillId="0" borderId="183" xfId="2" applyFont="1" applyBorder="1" applyAlignment="1">
      <alignment horizontal="center" vertical="center"/>
    </xf>
    <xf numFmtId="0" fontId="81" fillId="0" borderId="49" xfId="0" applyFont="1" applyBorder="1" applyAlignment="1">
      <alignment horizontal="center" vertical="center"/>
    </xf>
    <xf numFmtId="41" fontId="81" fillId="52" borderId="53" xfId="2" applyFont="1" applyFill="1" applyBorder="1" applyAlignment="1">
      <alignment horizontal="center" vertical="center"/>
    </xf>
    <xf numFmtId="41" fontId="81" fillId="52" borderId="57" xfId="2" applyFont="1" applyFill="1" applyBorder="1" applyAlignment="1">
      <alignment horizontal="center" vertical="center"/>
    </xf>
    <xf numFmtId="41" fontId="81" fillId="52" borderId="183" xfId="2" applyFont="1" applyFill="1" applyBorder="1" applyAlignment="1">
      <alignment horizontal="center" vertical="center"/>
    </xf>
    <xf numFmtId="0" fontId="81" fillId="0" borderId="126" xfId="0" applyFont="1" applyBorder="1" applyAlignment="1">
      <alignment horizontal="center" vertical="center"/>
    </xf>
    <xf numFmtId="41" fontId="81" fillId="0" borderId="49" xfId="2" applyFont="1" applyBorder="1" applyAlignment="1">
      <alignment horizontal="center" vertical="center"/>
    </xf>
    <xf numFmtId="41" fontId="81" fillId="0" borderId="126" xfId="2" applyFont="1" applyBorder="1" applyAlignment="1">
      <alignment horizontal="center" vertical="center"/>
    </xf>
    <xf numFmtId="182" fontId="81" fillId="0" borderId="0" xfId="3" applyNumberFormat="1" applyFont="1"/>
  </cellXfs>
  <cellStyles count="74">
    <cellStyle name="20% - アクセント 1 2" xfId="11"/>
    <cellStyle name="20% - アクセント 2 2" xfId="12"/>
    <cellStyle name="20% - アクセント 3 2" xfId="13"/>
    <cellStyle name="20% - アクセント 4 2" xfId="14"/>
    <cellStyle name="20% - アクセント 5 2" xfId="15"/>
    <cellStyle name="20% - アクセント 6 2" xfId="16"/>
    <cellStyle name="40% - アクセント 1 2" xfId="17"/>
    <cellStyle name="40% - アクセント 2 2" xfId="18"/>
    <cellStyle name="40% - アクセント 3 2" xfId="19"/>
    <cellStyle name="40% - アクセント 4 2" xfId="20"/>
    <cellStyle name="40% - アクセント 5 2" xfId="21"/>
    <cellStyle name="40% - アクセント 6 2" xfId="22"/>
    <cellStyle name="60% - アクセント 1 2" xfId="23"/>
    <cellStyle name="60% - アクセント 2 2" xfId="24"/>
    <cellStyle name="60% - アクセント 3 2" xfId="25"/>
    <cellStyle name="60% - アクセント 4 2" xfId="26"/>
    <cellStyle name="60% - アクセント 5 2" xfId="27"/>
    <cellStyle name="60% - アクセント 6 2" xfId="28"/>
    <cellStyle name="Comma" xfId="1" builtinId="3"/>
    <cellStyle name="Comma [0]" xfId="2" builtinId="6"/>
    <cellStyle name="Comma [0] 2" xfId="10"/>
    <cellStyle name="Comma [0] 2 2" xfId="70"/>
    <cellStyle name="Comma 2" xfId="29"/>
    <cellStyle name="ms明朝9" xfId="30"/>
    <cellStyle name="Normal" xfId="0" builtinId="0"/>
    <cellStyle name="Normal 2" xfId="4"/>
    <cellStyle name="Normal 3" xfId="68"/>
    <cellStyle name="Normal_SIS CALCULATION GLS 23 July 2010 (rev)" xfId="5"/>
    <cellStyle name="Percent" xfId="3" builtinId="5"/>
    <cellStyle name="Percent 2" xfId="31"/>
    <cellStyle name="Percent 3" xfId="69"/>
    <cellStyle name="PSChar" xfId="32"/>
    <cellStyle name="PSHeading" xfId="33"/>
    <cellStyle name="PSInt" xfId="34"/>
    <cellStyle name="PSSpacer" xfId="35"/>
    <cellStyle name="アクセント 1 2" xfId="36"/>
    <cellStyle name="アクセント 2 2" xfId="37"/>
    <cellStyle name="アクセント 3 2" xfId="38"/>
    <cellStyle name="アクセント 4 2" xfId="39"/>
    <cellStyle name="アクセント 5 2" xfId="40"/>
    <cellStyle name="アクセント 6 2" xfId="41"/>
    <cellStyle name="タイトル 2" xfId="42"/>
    <cellStyle name="チェック セル 2" xfId="43"/>
    <cellStyle name="どちらでもない 2" xfId="44"/>
    <cellStyle name="パーセント 2" xfId="45"/>
    <cellStyle name="パーセント 3" xfId="46"/>
    <cellStyle name="パーセント 4" xfId="8"/>
    <cellStyle name="パーセント 5" xfId="72"/>
    <cellStyle name="メモ 2" xfId="47"/>
    <cellStyle name="リンク セル 2" xfId="48"/>
    <cellStyle name="入力 2" xfId="49"/>
    <cellStyle name="出力 2" xfId="50"/>
    <cellStyle name="悪い 2" xfId="51"/>
    <cellStyle name="桁区切り [0.00] 2" xfId="7"/>
    <cellStyle name="桁区切り 2" xfId="52"/>
    <cellStyle name="桁区切り 2 2" xfId="53"/>
    <cellStyle name="桁区切り 3" xfId="54"/>
    <cellStyle name="桁区切り 4" xfId="55"/>
    <cellStyle name="桁区切り 5" xfId="6"/>
    <cellStyle name="桁区切り 6" xfId="73"/>
    <cellStyle name="標準 2" xfId="56"/>
    <cellStyle name="標準 3" xfId="57"/>
    <cellStyle name="標準 4" xfId="9"/>
    <cellStyle name="標準 5" xfId="71"/>
    <cellStyle name="良い 2" xfId="58"/>
    <cellStyle name="見出し 1 2" xfId="59"/>
    <cellStyle name="見出し 2 2" xfId="60"/>
    <cellStyle name="見出し 3 2" xfId="61"/>
    <cellStyle name="見出し 4 2" xfId="62"/>
    <cellStyle name="計算 2" xfId="63"/>
    <cellStyle name="説明文 2" xfId="64"/>
    <cellStyle name="警告文 2" xfId="65"/>
    <cellStyle name="通貨 2" xfId="66"/>
    <cellStyle name="集計 2" xfId="6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800" b="1" i="0" baseline="0">
                <a:effectLst/>
              </a:rPr>
              <a:t>AVANZA RV(MT)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[8]Sheet3!$A$4</c:f>
              <c:strCache>
                <c:ptCount val="1"/>
                <c:pt idx="0">
                  <c:v>（1）　Auction price case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849439274636128E-2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45-44E9-83ED-97B845587E04}"/>
                </c:ext>
              </c:extLst>
            </c:dLbl>
            <c:dLbl>
              <c:idx val="1"/>
              <c:layout>
                <c:manualLayout>
                  <c:x val="-3.0357635995947638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45-44E9-83ED-97B845587E04}"/>
                </c:ext>
              </c:extLst>
            </c:dLbl>
            <c:dLbl>
              <c:idx val="2"/>
              <c:layout>
                <c:manualLayout>
                  <c:x val="-3.234471995024474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45-44E9-83ED-97B845587E04}"/>
                </c:ext>
              </c:extLst>
            </c:dLbl>
            <c:dLbl>
              <c:idx val="3"/>
              <c:layout>
                <c:manualLayout>
                  <c:x val="-3.234471995024466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45-44E9-83ED-97B845587E04}"/>
                </c:ext>
              </c:extLst>
            </c:dLbl>
            <c:dLbl>
              <c:idx val="4"/>
              <c:layout>
                <c:manualLayout>
                  <c:x val="-3.234471995024474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45-44E9-83ED-97B845587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[8]Sheet3!$B$4:$I$4</c:f>
              <c:numCache>
                <c:formatCode>General</c:formatCode>
                <c:ptCount val="8"/>
                <c:pt idx="0">
                  <c:v>1</c:v>
                </c:pt>
                <c:pt idx="1">
                  <c:v>0.68029842406342467</c:v>
                </c:pt>
                <c:pt idx="2">
                  <c:v>0.63044333170763478</c:v>
                </c:pt>
                <c:pt idx="3">
                  <c:v>0.55738641782368581</c:v>
                </c:pt>
                <c:pt idx="4">
                  <c:v>0.51323520125058442</c:v>
                </c:pt>
                <c:pt idx="5">
                  <c:v>0.4756989528115943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45-44E9-83ED-97B845587E04}"/>
            </c:ext>
          </c:extLst>
        </c:ser>
        <c:ser>
          <c:idx val="1"/>
          <c:order val="1"/>
          <c:tx>
            <c:strRef>
              <c:f>[8]Sheet3!$A$5</c:f>
              <c:strCache>
                <c:ptCount val="1"/>
                <c:pt idx="0">
                  <c:v>（3）　Rental company case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45-44E9-83ED-97B845587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[8]Sheet3!$B$5:$I$5</c:f>
              <c:numCache>
                <c:formatCode>General</c:formatCode>
                <c:ptCount val="8"/>
                <c:pt idx="0">
                  <c:v>0.9</c:v>
                </c:pt>
                <c:pt idx="1">
                  <c:v>0.81942665709499873</c:v>
                </c:pt>
                <c:pt idx="2">
                  <c:v>0.73456999282124902</c:v>
                </c:pt>
                <c:pt idx="3">
                  <c:v>0.6497133285474993</c:v>
                </c:pt>
                <c:pt idx="4">
                  <c:v>0.56485666427374959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45-44E9-83ED-97B845587E04}"/>
            </c:ext>
          </c:extLst>
        </c:ser>
        <c:ser>
          <c:idx val="2"/>
          <c:order val="2"/>
          <c:tx>
            <c:strRef>
              <c:f>[8]Sheet3!$A$6</c:f>
              <c:strCache>
                <c:ptCount val="1"/>
                <c:pt idx="0">
                  <c:v>（4）　Antara　RV　（3）-（1）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275211127670163E-2"/>
                  <c:y val="-1.1539442986293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45-44E9-83ED-97B845587E04}"/>
                </c:ext>
              </c:extLst>
            </c:dLbl>
            <c:dLbl>
              <c:idx val="1"/>
              <c:layout>
                <c:manualLayout>
                  <c:x val="-3.2344719950244669E-2"/>
                  <c:y val="-2.5428331875182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45-44E9-83ED-97B845587E04}"/>
                </c:ext>
              </c:extLst>
            </c:dLbl>
            <c:dLbl>
              <c:idx val="2"/>
              <c:layout>
                <c:manualLayout>
                  <c:x val="-3.2344719950244745E-2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45-44E9-83ED-97B845587E04}"/>
                </c:ext>
              </c:extLst>
            </c:dLbl>
            <c:dLbl>
              <c:idx val="3"/>
              <c:layout>
                <c:manualLayout>
                  <c:x val="-3.2344719950244669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45-44E9-83ED-97B845587E04}"/>
                </c:ext>
              </c:extLst>
            </c:dLbl>
            <c:dLbl>
              <c:idx val="4"/>
              <c:layout>
                <c:manualLayout>
                  <c:x val="-3.2344719950244745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745-44E9-83ED-97B845587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[8]Sheet3!$B$6:$I$6</c:f>
              <c:numCache>
                <c:formatCode>General</c:formatCode>
                <c:ptCount val="8"/>
                <c:pt idx="0">
                  <c:v>0.9</c:v>
                </c:pt>
                <c:pt idx="1">
                  <c:v>0.74986254050000001</c:v>
                </c:pt>
                <c:pt idx="2">
                  <c:v>0.6825066622</c:v>
                </c:pt>
                <c:pt idx="3">
                  <c:v>0.60354987318559261</c:v>
                </c:pt>
                <c:pt idx="4">
                  <c:v>0.53904593276216706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45-44E9-83ED-97B845587E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287360"/>
        <c:axId val="158288896"/>
      </c:lineChart>
      <c:catAx>
        <c:axId val="1582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896"/>
        <c:crosses val="autoZero"/>
        <c:auto val="1"/>
        <c:lblAlgn val="ctr"/>
        <c:lblOffset val="100"/>
        <c:noMultiLvlLbl val="0"/>
      </c:catAx>
      <c:valAx>
        <c:axId val="15828889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7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6</xdr:row>
      <xdr:rowOff>9525</xdr:rowOff>
    </xdr:from>
    <xdr:to>
      <xdr:col>3</xdr:col>
      <xdr:colOff>219075</xdr:colOff>
      <xdr:row>7</xdr:row>
      <xdr:rowOff>57150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71575" y="1409700"/>
          <a:ext cx="60007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1</a:t>
          </a:r>
        </a:p>
      </xdr:txBody>
    </xdr:sp>
    <xdr:clientData/>
  </xdr:twoCellAnchor>
  <xdr:twoCellAnchor>
    <xdr:from>
      <xdr:col>4</xdr:col>
      <xdr:colOff>476250</xdr:colOff>
      <xdr:row>7</xdr:row>
      <xdr:rowOff>171450</xdr:rowOff>
    </xdr:from>
    <xdr:to>
      <xdr:col>5</xdr:col>
      <xdr:colOff>19050</xdr:colOff>
      <xdr:row>9</xdr:row>
      <xdr:rowOff>19050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771775" y="177165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5</xdr:col>
      <xdr:colOff>142875</xdr:colOff>
      <xdr:row>9</xdr:row>
      <xdr:rowOff>9525</xdr:rowOff>
    </xdr:from>
    <xdr:to>
      <xdr:col>5</xdr:col>
      <xdr:colOff>828675</xdr:colOff>
      <xdr:row>10</xdr:row>
      <xdr:rowOff>57150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438525" y="2009775"/>
          <a:ext cx="685800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4</xdr:col>
      <xdr:colOff>523875</xdr:colOff>
      <xdr:row>11</xdr:row>
      <xdr:rowOff>0</xdr:rowOff>
    </xdr:from>
    <xdr:to>
      <xdr:col>5</xdr:col>
      <xdr:colOff>66675</xdr:colOff>
      <xdr:row>12</xdr:row>
      <xdr:rowOff>47625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19400" y="240030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3</xdr:col>
      <xdr:colOff>180975</xdr:colOff>
      <xdr:row>12</xdr:row>
      <xdr:rowOff>28575</xdr:rowOff>
    </xdr:from>
    <xdr:to>
      <xdr:col>4</xdr:col>
      <xdr:colOff>19050</xdr:colOff>
      <xdr:row>13</xdr:row>
      <xdr:rowOff>76200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733550" y="2628900"/>
          <a:ext cx="5810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58</xdr:row>
      <xdr:rowOff>57150</xdr:rowOff>
    </xdr:from>
    <xdr:to>
      <xdr:col>10</xdr:col>
      <xdr:colOff>619125</xdr:colOff>
      <xdr:row>79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39320096\01&#65365;&#65350;&#65354;&#65347;&#65356;\&#26481;&#35388;\wfalcon4\falcondg\Repor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21046;&#24230;&#20250;&#35336;&#12471;&#12511;&#12517;&#12524;&#12540;&#12471;&#12519;&#125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35215;&#23637;&#38283;&#12510;&#65293;&#12472;\&#26908;&#35388;\&#20462;&#27491;&#29256;\&#26032;&#35215;&#23637;&#38283;&#12510;&#65293;&#12472;\ope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12471;&#12511;&#12517;&#12524;&#12540;&#12471;&#12519;&#1253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&#32076;&#21942;&#31649;&#29702;&#35506;\&#32076;&#31649;&#20096;&#23713;\&#25613;&#30410;&#20104;&#28204;&#12471;&#12473;&#12486;&#12512;0709&#25913;&#23450;\&#65418;&#65438;&#65391;&#65400;&#65393;&#65391;&#65420;&#65439;\&#20107;&#26989;&#35336;&#30011;&#8546;20070712&#9320;\&#9320;&#12471;&#12511;&#12517;&#12524;&#12540;&#12471;&#12519;&#1253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24115;&#31080;_&#21336;&#20307;200801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dy%20asriel/AppData/Local/Microsoft/Windows/Temporary%20Internet%20Files/Content.Outlook/EOLKZN4I/REKAP%20HARGA%20SEWA%20UNIT%20LEASE%20BACK%20-%20PT%20AUTOR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i%20hembang/AppData/Local/Microsoft/Windows/Temporary%20Internet%20Files/Content.Outlook/K3B9DWRP/&#12487;&#12540;&#12479;/14.&#27531;&#20385;&#12395;&#12388;&#12356;&#12390;/&#27531;&#20385;&#26356;&#26032;&#12288;Nov2018/New%20RV%2014%20Jan%202019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FORM"/>
      <sheetName val="MOKUJI"/>
      <sheetName val="F1"/>
      <sheetName val="F2"/>
      <sheetName val="F3"/>
      <sheetName val="F4"/>
      <sheetName val="SF1"/>
      <sheetName val="SF2"/>
      <sheetName val="SF3"/>
      <sheetName val="SF4"/>
      <sheetName val="USA"/>
      <sheetName val="BCL"/>
      <sheetName val="CF1"/>
      <sheetName val="CF2"/>
      <sheetName val="T1"/>
      <sheetName val="T1(明細)"/>
      <sheetName val="ST1-A"/>
      <sheetName val="ST1-A(明細)"/>
      <sheetName val="ST1-B"/>
      <sheetName val="ST1-B(明細)"/>
      <sheetName val="ST1-C"/>
      <sheetName val="ST1-C(明細)"/>
      <sheetName val="ST1-D"/>
      <sheetName val="ST1-D(明細)"/>
      <sheetName val="ST1-E"/>
      <sheetName val="ST1-E(明細)"/>
      <sheetName val="ST1-F"/>
      <sheetName val="ST1-F(明細)"/>
      <sheetName val="債権合計"/>
      <sheetName val="債務合計"/>
      <sheetName val="T2"/>
      <sheetName val="T2(明細)"/>
      <sheetName val="ST2-A"/>
      <sheetName val="ST2-A(明細)"/>
      <sheetName val="ST2-B"/>
      <sheetName val="ST2-B(明細)"/>
      <sheetName val="ST2-C"/>
      <sheetName val="ST2-C(明細)"/>
      <sheetName val="ST2-D"/>
      <sheetName val="ST2-D(明細)"/>
      <sheetName val="ST2-E"/>
      <sheetName val="ST2-E(明細)"/>
      <sheetName val="ST2-F"/>
      <sheetName val="ST2-F(明細)"/>
      <sheetName val="収入合計"/>
      <sheetName val="費用合計"/>
      <sheetName val="ZEIKOUKA"/>
      <sheetName val="Matching"/>
      <sheetName val="COMPANY"/>
      <sheetName val="ACCOUNT"/>
      <sheetName val="DEFINITION"/>
      <sheetName val="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1030</v>
          </cell>
          <cell r="B1" t="str">
            <v>現金及び預金</v>
          </cell>
        </row>
        <row r="2">
          <cell r="A2" t="str">
            <v>1060</v>
          </cell>
          <cell r="B2" t="str">
            <v>割賦債権</v>
          </cell>
        </row>
        <row r="3">
          <cell r="A3" t="str">
            <v>1061</v>
          </cell>
          <cell r="B3" t="str">
            <v>(親子）割賦債権</v>
          </cell>
        </row>
        <row r="4">
          <cell r="A4" t="str">
            <v>1063</v>
          </cell>
          <cell r="B4" t="str">
            <v>（関連）割賦債権</v>
          </cell>
        </row>
        <row r="5">
          <cell r="A5" t="str">
            <v>1065</v>
          </cell>
          <cell r="B5" t="str">
            <v>(その他）割賦債権</v>
          </cell>
        </row>
        <row r="6">
          <cell r="A6" t="str">
            <v>1090</v>
          </cell>
          <cell r="B6" t="str">
            <v>受取手形</v>
          </cell>
        </row>
        <row r="7">
          <cell r="A7" t="str">
            <v>1120</v>
          </cell>
          <cell r="B7" t="str">
            <v>営業貸付金</v>
          </cell>
        </row>
        <row r="8">
          <cell r="A8" t="str">
            <v>1121</v>
          </cell>
          <cell r="B8" t="str">
            <v>（親子）営業貸付金</v>
          </cell>
        </row>
        <row r="9">
          <cell r="A9" t="str">
            <v>1123</v>
          </cell>
          <cell r="B9" t="str">
            <v>（関連）営業貸付金</v>
          </cell>
        </row>
        <row r="10">
          <cell r="A10" t="str">
            <v>1125</v>
          </cell>
          <cell r="B10" t="str">
            <v>（その他）営業貸付金</v>
          </cell>
        </row>
        <row r="11">
          <cell r="A11" t="str">
            <v>1150</v>
          </cell>
          <cell r="B11" t="str">
            <v>その他の営業貸付債権</v>
          </cell>
        </row>
        <row r="12">
          <cell r="A12" t="str">
            <v>1180</v>
          </cell>
          <cell r="B12" t="str">
            <v>賃貸料等未収入金</v>
          </cell>
        </row>
        <row r="13">
          <cell r="A13" t="str">
            <v>1181</v>
          </cell>
          <cell r="B13" t="str">
            <v>（親子）賃貸料等未収入金</v>
          </cell>
        </row>
        <row r="14">
          <cell r="A14" t="str">
            <v>1183</v>
          </cell>
          <cell r="B14" t="str">
            <v>（関連）賃貸料等未収入金</v>
          </cell>
        </row>
        <row r="15">
          <cell r="A15" t="str">
            <v>1185</v>
          </cell>
          <cell r="B15" t="str">
            <v>（その他）賃貸料等未収入金</v>
          </cell>
        </row>
        <row r="16">
          <cell r="A16" t="str">
            <v>1210</v>
          </cell>
          <cell r="B16" t="str">
            <v>営業有価証券</v>
          </cell>
        </row>
        <row r="17">
          <cell r="A17" t="str">
            <v>1240</v>
          </cell>
          <cell r="B17" t="str">
            <v>有価証券</v>
          </cell>
        </row>
        <row r="18">
          <cell r="A18" t="str">
            <v>1270</v>
          </cell>
          <cell r="B18" t="str">
            <v>販売用不動産</v>
          </cell>
        </row>
        <row r="19">
          <cell r="A19" t="str">
            <v>1300</v>
          </cell>
          <cell r="B19" t="str">
            <v>前払費用</v>
          </cell>
        </row>
        <row r="20">
          <cell r="A20" t="str">
            <v>1301</v>
          </cell>
          <cell r="B20" t="str">
            <v>（親子）前払費用</v>
          </cell>
        </row>
        <row r="21">
          <cell r="A21" t="str">
            <v>1303</v>
          </cell>
          <cell r="B21" t="str">
            <v>（関連）前払費用</v>
          </cell>
        </row>
        <row r="22">
          <cell r="A22" t="str">
            <v>1305</v>
          </cell>
          <cell r="B22" t="str">
            <v>（その他）前払費用</v>
          </cell>
        </row>
        <row r="23">
          <cell r="A23" t="str">
            <v>1330</v>
          </cell>
          <cell r="B23" t="str">
            <v>未収収益</v>
          </cell>
        </row>
        <row r="24">
          <cell r="A24" t="str">
            <v>1331</v>
          </cell>
          <cell r="B24" t="str">
            <v>（親子）未収収益</v>
          </cell>
        </row>
        <row r="25">
          <cell r="A25" t="str">
            <v>1333</v>
          </cell>
          <cell r="B25" t="str">
            <v>（関連）未収収益</v>
          </cell>
        </row>
        <row r="26">
          <cell r="A26" t="str">
            <v>1335</v>
          </cell>
          <cell r="B26" t="str">
            <v>（その他）未収収益</v>
          </cell>
        </row>
        <row r="27">
          <cell r="A27" t="str">
            <v>1360</v>
          </cell>
          <cell r="B27" t="str">
            <v>関係会社短期貸付金</v>
          </cell>
        </row>
        <row r="28">
          <cell r="A28" t="str">
            <v>1390</v>
          </cell>
          <cell r="B28" t="str">
            <v>その他流動資産</v>
          </cell>
        </row>
        <row r="29">
          <cell r="A29" t="str">
            <v>1391</v>
          </cell>
          <cell r="B29" t="str">
            <v>（親子）その他流動資産</v>
          </cell>
        </row>
        <row r="30">
          <cell r="A30" t="str">
            <v>1393</v>
          </cell>
          <cell r="B30" t="str">
            <v>（関連）その他流動資産</v>
          </cell>
        </row>
        <row r="31">
          <cell r="A31" t="str">
            <v>1395</v>
          </cell>
          <cell r="B31" t="str">
            <v>（その他）その他流動資産</v>
          </cell>
        </row>
        <row r="32">
          <cell r="A32" t="str">
            <v>1400</v>
          </cell>
          <cell r="B32" t="str">
            <v>貸倒引当金（流動資産）</v>
          </cell>
        </row>
        <row r="33">
          <cell r="A33" t="str">
            <v>1405</v>
          </cell>
          <cell r="B33" t="str">
            <v>流動繰延税金資産</v>
          </cell>
        </row>
        <row r="34">
          <cell r="A34" t="str">
            <v>1410</v>
          </cell>
          <cell r="B34" t="str">
            <v>流動資産合計</v>
          </cell>
        </row>
        <row r="35">
          <cell r="A35" t="str">
            <v>1420</v>
          </cell>
          <cell r="B35" t="str">
            <v>リース資産（有形）</v>
          </cell>
        </row>
        <row r="36">
          <cell r="A36" t="str">
            <v>1430</v>
          </cell>
          <cell r="B36" t="str">
            <v>リース資産減価償却累計額</v>
          </cell>
        </row>
        <row r="37">
          <cell r="A37" t="str">
            <v>1450</v>
          </cell>
          <cell r="B37" t="str">
            <v>リース資産前渡金</v>
          </cell>
        </row>
        <row r="38">
          <cell r="A38" t="str">
            <v>1480</v>
          </cell>
          <cell r="B38" t="str">
            <v>社用資産</v>
          </cell>
        </row>
        <row r="39">
          <cell r="A39" t="str">
            <v>1490</v>
          </cell>
          <cell r="B39" t="str">
            <v>社用資産減価償却累計額</v>
          </cell>
        </row>
        <row r="40">
          <cell r="A40" t="str">
            <v>1499</v>
          </cell>
          <cell r="B40" t="str">
            <v>有形固定資産合計</v>
          </cell>
        </row>
        <row r="41">
          <cell r="A41" t="str">
            <v>1510</v>
          </cell>
          <cell r="B41" t="str">
            <v>リース資産（無形）</v>
          </cell>
        </row>
        <row r="42">
          <cell r="A42" t="str">
            <v>1540</v>
          </cell>
          <cell r="B42" t="str">
            <v>連結調整勘定・資産</v>
          </cell>
        </row>
        <row r="43">
          <cell r="A43" t="str">
            <v>1570</v>
          </cell>
          <cell r="B43" t="str">
            <v>その他（無形）</v>
          </cell>
        </row>
        <row r="44">
          <cell r="A44" t="str">
            <v>1599</v>
          </cell>
          <cell r="B44" t="str">
            <v>無形固定資産合計</v>
          </cell>
        </row>
        <row r="45">
          <cell r="A45" t="str">
            <v>1610</v>
          </cell>
          <cell r="B45" t="str">
            <v>投資有価証券</v>
          </cell>
        </row>
        <row r="46">
          <cell r="A46" t="str">
            <v>1615</v>
          </cell>
          <cell r="B46" t="str">
            <v>（その他）投資有価証券</v>
          </cell>
        </row>
        <row r="47">
          <cell r="A47" t="str">
            <v>1630</v>
          </cell>
          <cell r="B47" t="str">
            <v>関係会社株式</v>
          </cell>
        </row>
        <row r="48">
          <cell r="A48" t="str">
            <v>1631</v>
          </cell>
          <cell r="B48" t="str">
            <v>（親子）関係会社株式</v>
          </cell>
        </row>
        <row r="49">
          <cell r="A49" t="str">
            <v>1633</v>
          </cell>
          <cell r="B49" t="str">
            <v>（関連）関係会社株式</v>
          </cell>
        </row>
        <row r="50">
          <cell r="A50" t="str">
            <v>1635</v>
          </cell>
          <cell r="B50" t="str">
            <v>（その他）関係会社株式</v>
          </cell>
        </row>
        <row r="51">
          <cell r="A51" t="str">
            <v>1660</v>
          </cell>
          <cell r="B51" t="str">
            <v>出資金</v>
          </cell>
        </row>
        <row r="52">
          <cell r="A52" t="str">
            <v>1661</v>
          </cell>
          <cell r="B52" t="str">
            <v>（親子）出資金</v>
          </cell>
        </row>
        <row r="53">
          <cell r="A53" t="str">
            <v>1663</v>
          </cell>
          <cell r="B53" t="str">
            <v>（関連）出資金</v>
          </cell>
        </row>
        <row r="54">
          <cell r="A54" t="str">
            <v>1665</v>
          </cell>
          <cell r="B54" t="str">
            <v>（その他）出資金</v>
          </cell>
        </row>
        <row r="55">
          <cell r="A55" t="str">
            <v>1690</v>
          </cell>
          <cell r="B55" t="str">
            <v>関係会社長期貸付金</v>
          </cell>
        </row>
        <row r="56">
          <cell r="A56" t="str">
            <v>1720</v>
          </cell>
          <cell r="B56" t="str">
            <v>固定化営業債権</v>
          </cell>
        </row>
        <row r="57">
          <cell r="A57" t="str">
            <v>1750</v>
          </cell>
          <cell r="B57" t="str">
            <v>長期前払費用</v>
          </cell>
        </row>
        <row r="58">
          <cell r="A58" t="str">
            <v>1780</v>
          </cell>
          <cell r="B58" t="str">
            <v>長期差入保証金</v>
          </cell>
        </row>
        <row r="59">
          <cell r="A59" t="str">
            <v>1781</v>
          </cell>
          <cell r="B59" t="str">
            <v>（親子）長期差入保証金</v>
          </cell>
        </row>
        <row r="60">
          <cell r="A60" t="str">
            <v>1783</v>
          </cell>
          <cell r="B60" t="str">
            <v>（関連）長期差入保証金</v>
          </cell>
        </row>
        <row r="61">
          <cell r="A61" t="str">
            <v>1785</v>
          </cell>
          <cell r="B61" t="str">
            <v>（その他）長期差入保証金</v>
          </cell>
        </row>
        <row r="62">
          <cell r="A62" t="str">
            <v>1810</v>
          </cell>
          <cell r="B62" t="str">
            <v>その他投資</v>
          </cell>
        </row>
        <row r="63">
          <cell r="A63" t="str">
            <v>1811</v>
          </cell>
          <cell r="B63" t="str">
            <v>（親子）その他投資</v>
          </cell>
        </row>
        <row r="64">
          <cell r="A64" t="str">
            <v>1813</v>
          </cell>
          <cell r="B64" t="str">
            <v>（関連）その他投資</v>
          </cell>
        </row>
        <row r="65">
          <cell r="A65" t="str">
            <v>1815</v>
          </cell>
          <cell r="B65" t="str">
            <v>（その他）その他投資</v>
          </cell>
        </row>
        <row r="66">
          <cell r="A66" t="str">
            <v>1820</v>
          </cell>
          <cell r="B66" t="str">
            <v>貸倒引当金（固定資産）</v>
          </cell>
        </row>
        <row r="67">
          <cell r="A67" t="str">
            <v>1825</v>
          </cell>
          <cell r="B67" t="str">
            <v>固定繰延税金資産</v>
          </cell>
        </row>
        <row r="68">
          <cell r="A68" t="str">
            <v>1829</v>
          </cell>
          <cell r="B68" t="str">
            <v>投資その他の資産合計</v>
          </cell>
        </row>
        <row r="69">
          <cell r="A69" t="str">
            <v>1840</v>
          </cell>
          <cell r="B69" t="str">
            <v>固定資産合計</v>
          </cell>
        </row>
        <row r="70">
          <cell r="A70" t="str">
            <v>1850</v>
          </cell>
          <cell r="B70" t="str">
            <v>新株発行費</v>
          </cell>
        </row>
        <row r="71">
          <cell r="A71" t="str">
            <v>1870</v>
          </cell>
          <cell r="B71" t="str">
            <v>繰延資産合計</v>
          </cell>
        </row>
        <row r="72">
          <cell r="A72" t="str">
            <v>1900</v>
          </cell>
          <cell r="B72" t="str">
            <v>為替換算調整勘定（ＢＳ）</v>
          </cell>
        </row>
        <row r="73">
          <cell r="A73" t="str">
            <v>1910</v>
          </cell>
          <cell r="B73" t="str">
            <v>修正仕訳振替勘定</v>
          </cell>
        </row>
        <row r="74">
          <cell r="A74" t="str">
            <v>1920</v>
          </cell>
          <cell r="B74" t="str">
            <v>端数調整勘定</v>
          </cell>
        </row>
        <row r="75">
          <cell r="A75" t="str">
            <v>1930</v>
          </cell>
          <cell r="B75" t="str">
            <v>不突合調整勘定  借方</v>
          </cell>
        </row>
        <row r="76">
          <cell r="A76" t="str">
            <v>1950</v>
          </cell>
          <cell r="B76" t="str">
            <v>資産合計</v>
          </cell>
        </row>
        <row r="77">
          <cell r="A77" t="str">
            <v>2030</v>
          </cell>
          <cell r="B77" t="str">
            <v>支払手形</v>
          </cell>
        </row>
        <row r="78">
          <cell r="A78" t="str">
            <v>2031</v>
          </cell>
          <cell r="B78" t="str">
            <v>（親子）支払手形</v>
          </cell>
        </row>
        <row r="79">
          <cell r="A79" t="str">
            <v>2033</v>
          </cell>
          <cell r="B79" t="str">
            <v>（関連）支払手形</v>
          </cell>
        </row>
        <row r="80">
          <cell r="A80" t="str">
            <v>2035</v>
          </cell>
          <cell r="B80" t="str">
            <v>（その他）支払手形</v>
          </cell>
        </row>
        <row r="81">
          <cell r="A81" t="str">
            <v>2060</v>
          </cell>
          <cell r="B81" t="str">
            <v>買掛金</v>
          </cell>
        </row>
        <row r="82">
          <cell r="A82" t="str">
            <v>2061</v>
          </cell>
          <cell r="B82" t="str">
            <v>（親子）買掛金</v>
          </cell>
        </row>
        <row r="83">
          <cell r="A83" t="str">
            <v>2063</v>
          </cell>
          <cell r="B83" t="str">
            <v>（関連）買掛金</v>
          </cell>
        </row>
        <row r="84">
          <cell r="A84" t="str">
            <v>2065</v>
          </cell>
          <cell r="B84" t="str">
            <v>（その他）買掛金</v>
          </cell>
        </row>
        <row r="85">
          <cell r="A85" t="str">
            <v>2090</v>
          </cell>
          <cell r="B85" t="str">
            <v>一年内償還予定社債</v>
          </cell>
        </row>
        <row r="86">
          <cell r="A86" t="str">
            <v>2120</v>
          </cell>
          <cell r="B86" t="str">
            <v>短期借入金</v>
          </cell>
        </row>
        <row r="87">
          <cell r="A87" t="str">
            <v>2121</v>
          </cell>
          <cell r="B87" t="str">
            <v>（親子）短期借入金</v>
          </cell>
        </row>
        <row r="88">
          <cell r="A88" t="str">
            <v>2123</v>
          </cell>
          <cell r="B88" t="str">
            <v>（関連）短期借入金</v>
          </cell>
        </row>
        <row r="89">
          <cell r="A89" t="str">
            <v>2125</v>
          </cell>
          <cell r="B89" t="str">
            <v>（その他）短期借入金</v>
          </cell>
        </row>
        <row r="90">
          <cell r="A90" t="str">
            <v>2150</v>
          </cell>
          <cell r="B90" t="str">
            <v>一年内返済長期借入</v>
          </cell>
        </row>
        <row r="91">
          <cell r="A91" t="str">
            <v>2151</v>
          </cell>
          <cell r="B91" t="str">
            <v>（親子）一年内長期借入</v>
          </cell>
        </row>
        <row r="92">
          <cell r="A92" t="str">
            <v>2153</v>
          </cell>
          <cell r="B92" t="str">
            <v>（関連）一年内長期借入</v>
          </cell>
        </row>
        <row r="93">
          <cell r="A93" t="str">
            <v>2155</v>
          </cell>
          <cell r="B93" t="str">
            <v>（その他）一年内長期借入</v>
          </cell>
        </row>
        <row r="94">
          <cell r="A94" t="str">
            <v>2180</v>
          </cell>
          <cell r="B94" t="str">
            <v>コマーシャルペーパー</v>
          </cell>
        </row>
        <row r="95">
          <cell r="A95" t="str">
            <v>2210</v>
          </cell>
          <cell r="B95" t="str">
            <v>一年内返済予定長期未払金</v>
          </cell>
        </row>
        <row r="96">
          <cell r="A96" t="str">
            <v>2240</v>
          </cell>
          <cell r="B96" t="str">
            <v>未払法人税等</v>
          </cell>
        </row>
        <row r="97">
          <cell r="A97" t="str">
            <v>2270</v>
          </cell>
          <cell r="B97" t="str">
            <v>未払事業税等</v>
          </cell>
        </row>
        <row r="98">
          <cell r="A98" t="str">
            <v>2300</v>
          </cell>
          <cell r="B98" t="str">
            <v>未払費用</v>
          </cell>
        </row>
        <row r="99">
          <cell r="A99" t="str">
            <v>2301</v>
          </cell>
          <cell r="B99" t="str">
            <v>（親子）未払費用</v>
          </cell>
        </row>
        <row r="100">
          <cell r="A100" t="str">
            <v>2303</v>
          </cell>
          <cell r="B100" t="str">
            <v>（関連）未払費用</v>
          </cell>
        </row>
        <row r="101">
          <cell r="A101" t="str">
            <v>2305</v>
          </cell>
          <cell r="B101" t="str">
            <v>（その他）未払費用</v>
          </cell>
        </row>
        <row r="102">
          <cell r="A102" t="str">
            <v>2330</v>
          </cell>
          <cell r="B102" t="str">
            <v>賃貸料等前受金</v>
          </cell>
        </row>
        <row r="103">
          <cell r="A103" t="str">
            <v>2331</v>
          </cell>
          <cell r="B103" t="str">
            <v>（親子）賃貸料等前受金</v>
          </cell>
        </row>
        <row r="104">
          <cell r="A104" t="str">
            <v>2333</v>
          </cell>
          <cell r="B104" t="str">
            <v>（関連）賃貸料等前受金</v>
          </cell>
        </row>
        <row r="105">
          <cell r="A105" t="str">
            <v>2335</v>
          </cell>
          <cell r="B105" t="str">
            <v>（その他）賃貸料等前受金</v>
          </cell>
        </row>
        <row r="106">
          <cell r="A106" t="str">
            <v>2360</v>
          </cell>
          <cell r="B106" t="str">
            <v>前受収益</v>
          </cell>
        </row>
        <row r="107">
          <cell r="A107" t="str">
            <v>2361</v>
          </cell>
          <cell r="B107" t="str">
            <v>（親子）前受収益</v>
          </cell>
        </row>
        <row r="108">
          <cell r="A108" t="str">
            <v>2363</v>
          </cell>
          <cell r="B108" t="str">
            <v>（関連）前受収益</v>
          </cell>
        </row>
        <row r="109">
          <cell r="A109" t="str">
            <v>2365</v>
          </cell>
          <cell r="B109" t="str">
            <v>（その他）前受収益</v>
          </cell>
        </row>
        <row r="110">
          <cell r="A110" t="str">
            <v>2390</v>
          </cell>
          <cell r="B110" t="str">
            <v>割賦未実現利益</v>
          </cell>
        </row>
        <row r="111">
          <cell r="A111" t="str">
            <v>2391</v>
          </cell>
          <cell r="B111" t="str">
            <v>（親子）割賦未実現利益</v>
          </cell>
        </row>
        <row r="112">
          <cell r="A112" t="str">
            <v>2393</v>
          </cell>
          <cell r="B112" t="str">
            <v>（関連）割賦未実現利益</v>
          </cell>
        </row>
        <row r="113">
          <cell r="A113" t="str">
            <v>2395</v>
          </cell>
          <cell r="B113" t="str">
            <v>（その他）割賦未実現利益</v>
          </cell>
        </row>
        <row r="114">
          <cell r="A114" t="str">
            <v>2420</v>
          </cell>
          <cell r="B114" t="str">
            <v>賞与引当金</v>
          </cell>
        </row>
        <row r="115">
          <cell r="A115" t="str">
            <v>2450</v>
          </cell>
          <cell r="B115" t="str">
            <v>災害損失引当金</v>
          </cell>
        </row>
        <row r="116">
          <cell r="A116" t="str">
            <v>2480</v>
          </cell>
          <cell r="B116" t="str">
            <v>税金引当金</v>
          </cell>
        </row>
        <row r="117">
          <cell r="A117" t="str">
            <v>2490</v>
          </cell>
          <cell r="B117" t="str">
            <v>未払配当金（親子・関連）</v>
          </cell>
        </row>
        <row r="118">
          <cell r="A118" t="str">
            <v>2510</v>
          </cell>
          <cell r="B118" t="str">
            <v>その他流動負債</v>
          </cell>
        </row>
        <row r="119">
          <cell r="A119" t="str">
            <v>2511</v>
          </cell>
          <cell r="B119" t="str">
            <v>（親子）その他流動負債</v>
          </cell>
        </row>
        <row r="120">
          <cell r="A120" t="str">
            <v>2513</v>
          </cell>
          <cell r="B120" t="str">
            <v>（関連）その他流動負債</v>
          </cell>
        </row>
        <row r="121">
          <cell r="A121" t="str">
            <v>2515</v>
          </cell>
          <cell r="B121" t="str">
            <v>（その他）その他流動負債</v>
          </cell>
        </row>
        <row r="122">
          <cell r="A122" t="str">
            <v>2520</v>
          </cell>
          <cell r="B122" t="str">
            <v>流動繰延税金負債</v>
          </cell>
        </row>
        <row r="123">
          <cell r="A123" t="str">
            <v>2530</v>
          </cell>
          <cell r="B123" t="str">
            <v>流動負債合計</v>
          </cell>
        </row>
        <row r="124">
          <cell r="A124" t="str">
            <v>2540</v>
          </cell>
          <cell r="B124" t="str">
            <v>社債</v>
          </cell>
        </row>
        <row r="125">
          <cell r="A125" t="str">
            <v>2570</v>
          </cell>
          <cell r="B125" t="str">
            <v>長期借入金</v>
          </cell>
        </row>
        <row r="126">
          <cell r="A126" t="str">
            <v>2571</v>
          </cell>
          <cell r="B126" t="str">
            <v>（親子）長期借入金</v>
          </cell>
        </row>
        <row r="127">
          <cell r="A127" t="str">
            <v>2573</v>
          </cell>
          <cell r="B127" t="str">
            <v>（関連）長期借入金</v>
          </cell>
        </row>
        <row r="128">
          <cell r="A128" t="str">
            <v>2575</v>
          </cell>
          <cell r="B128" t="str">
            <v>（その他）長期借入金</v>
          </cell>
        </row>
        <row r="129">
          <cell r="A129" t="str">
            <v>2600</v>
          </cell>
          <cell r="B129" t="str">
            <v>長期未払金</v>
          </cell>
        </row>
        <row r="130">
          <cell r="A130" t="str">
            <v>2630</v>
          </cell>
          <cell r="B130" t="str">
            <v>長期前受収益</v>
          </cell>
        </row>
        <row r="131">
          <cell r="A131" t="str">
            <v>2660</v>
          </cell>
          <cell r="B131" t="str">
            <v>退職給付引当金</v>
          </cell>
        </row>
        <row r="132">
          <cell r="A132" t="str">
            <v>2690</v>
          </cell>
          <cell r="B132" t="str">
            <v>役員退職慰労引当金</v>
          </cell>
        </row>
        <row r="133">
          <cell r="A133" t="str">
            <v>2720</v>
          </cell>
          <cell r="B133" t="str">
            <v>連結調整勘定・負債</v>
          </cell>
        </row>
        <row r="134">
          <cell r="A134" t="str">
            <v>2750</v>
          </cell>
          <cell r="B134" t="str">
            <v>その他固定負債</v>
          </cell>
        </row>
        <row r="135">
          <cell r="A135" t="str">
            <v>2751</v>
          </cell>
          <cell r="B135" t="str">
            <v>（親子）その他固定負債</v>
          </cell>
        </row>
        <row r="136">
          <cell r="A136" t="str">
            <v>2753</v>
          </cell>
          <cell r="B136" t="str">
            <v>（関連）その他固定負債</v>
          </cell>
        </row>
        <row r="137">
          <cell r="A137" t="str">
            <v>2755</v>
          </cell>
          <cell r="B137" t="str">
            <v>（その他）その他固定負債</v>
          </cell>
        </row>
        <row r="138">
          <cell r="A138" t="str">
            <v>2760</v>
          </cell>
          <cell r="B138" t="str">
            <v>固定繰延税金負債</v>
          </cell>
        </row>
        <row r="139">
          <cell r="A139" t="str">
            <v>2800</v>
          </cell>
          <cell r="B139" t="str">
            <v>固定負債合計</v>
          </cell>
        </row>
        <row r="140">
          <cell r="A140" t="str">
            <v>2805</v>
          </cell>
          <cell r="B140" t="str">
            <v>セグメント調整勘定</v>
          </cell>
        </row>
        <row r="141">
          <cell r="A141" t="str">
            <v>2810</v>
          </cell>
          <cell r="B141" t="str">
            <v>負債合計</v>
          </cell>
        </row>
        <row r="142">
          <cell r="A142" t="str">
            <v>2900</v>
          </cell>
          <cell r="B142" t="str">
            <v>為替換算調整</v>
          </cell>
        </row>
        <row r="143">
          <cell r="A143" t="str">
            <v>2950</v>
          </cell>
          <cell r="B143" t="str">
            <v>少数株主持分</v>
          </cell>
        </row>
        <row r="144">
          <cell r="A144" t="str">
            <v>3030</v>
          </cell>
          <cell r="B144" t="str">
            <v>資本金</v>
          </cell>
        </row>
        <row r="145">
          <cell r="A145" t="str">
            <v>3060</v>
          </cell>
          <cell r="B145" t="str">
            <v>資本準備金</v>
          </cell>
        </row>
        <row r="146">
          <cell r="A146" t="str">
            <v>3090</v>
          </cell>
          <cell r="B146" t="str">
            <v>利益準備金</v>
          </cell>
        </row>
        <row r="147">
          <cell r="A147" t="str">
            <v>3120</v>
          </cell>
          <cell r="B147" t="str">
            <v>未実現利益</v>
          </cell>
        </row>
        <row r="148">
          <cell r="A148" t="str">
            <v>3150</v>
          </cell>
          <cell r="B148" t="str">
            <v>その他剰余金</v>
          </cell>
        </row>
        <row r="149">
          <cell r="A149" t="str">
            <v>3180</v>
          </cell>
          <cell r="B149" t="str">
            <v>評価差額</v>
          </cell>
        </row>
        <row r="150">
          <cell r="A150">
            <v>3190</v>
          </cell>
          <cell r="B150" t="str">
            <v>その他有価証券換算差額金</v>
          </cell>
        </row>
        <row r="151">
          <cell r="A151">
            <v>3200</v>
          </cell>
          <cell r="B151" t="str">
            <v>為替換算調整勘定合計</v>
          </cell>
        </row>
        <row r="152">
          <cell r="A152">
            <v>3210</v>
          </cell>
          <cell r="B152" t="str">
            <v>為替換算調整勘定</v>
          </cell>
        </row>
        <row r="153">
          <cell r="A153">
            <v>3220</v>
          </cell>
          <cell r="B153" t="str">
            <v>評価差額・為替換算差額</v>
          </cell>
        </row>
        <row r="154">
          <cell r="A154" t="str">
            <v>3300</v>
          </cell>
          <cell r="B154" t="str">
            <v>自己株式</v>
          </cell>
        </row>
        <row r="155">
          <cell r="A155" t="str">
            <v>3330</v>
          </cell>
          <cell r="B155" t="str">
            <v>資本合計</v>
          </cell>
        </row>
        <row r="156">
          <cell r="A156" t="str">
            <v>3340</v>
          </cell>
          <cell r="B156" t="str">
            <v>不突合調整勘定   貸方</v>
          </cell>
        </row>
        <row r="157">
          <cell r="A157" t="str">
            <v>3350</v>
          </cell>
          <cell r="B157" t="str">
            <v>負債・資本合計</v>
          </cell>
        </row>
        <row r="158">
          <cell r="A158" t="str">
            <v>4000</v>
          </cell>
          <cell r="B158" t="str">
            <v>売上高</v>
          </cell>
        </row>
        <row r="159">
          <cell r="A159" t="str">
            <v>4030</v>
          </cell>
          <cell r="B159" t="str">
            <v>賃貸料収入</v>
          </cell>
        </row>
        <row r="160">
          <cell r="A160" t="str">
            <v>4031</v>
          </cell>
          <cell r="B160" t="str">
            <v>（親子）賃貸料収入</v>
          </cell>
        </row>
        <row r="161">
          <cell r="A161" t="str">
            <v>4033</v>
          </cell>
          <cell r="B161" t="str">
            <v>（関連）賃貸料収入</v>
          </cell>
        </row>
        <row r="162">
          <cell r="A162" t="str">
            <v>4035</v>
          </cell>
          <cell r="B162" t="str">
            <v>（その他）賃貸料収入</v>
          </cell>
        </row>
        <row r="163">
          <cell r="A163" t="str">
            <v>4060</v>
          </cell>
          <cell r="B163" t="str">
            <v>割賦売上高</v>
          </cell>
        </row>
        <row r="164">
          <cell r="A164" t="str">
            <v>4061</v>
          </cell>
          <cell r="B164" t="str">
            <v>（親子）割賦売上高</v>
          </cell>
        </row>
        <row r="165">
          <cell r="A165" t="str">
            <v>4063</v>
          </cell>
          <cell r="B165" t="str">
            <v>（関連）割賦売上高</v>
          </cell>
        </row>
        <row r="166">
          <cell r="A166" t="str">
            <v>4065</v>
          </cell>
          <cell r="B166" t="str">
            <v>（その他）割賦売上高</v>
          </cell>
        </row>
        <row r="167">
          <cell r="A167" t="str">
            <v>4090</v>
          </cell>
          <cell r="B167" t="str">
            <v>営業貸付金収入</v>
          </cell>
        </row>
        <row r="168">
          <cell r="A168" t="str">
            <v>4091</v>
          </cell>
          <cell r="B168" t="str">
            <v>（親子）営業貸付金収入</v>
          </cell>
        </row>
        <row r="169">
          <cell r="A169" t="str">
            <v>4093</v>
          </cell>
          <cell r="B169" t="str">
            <v>（関連）営業貸付金収入</v>
          </cell>
        </row>
        <row r="170">
          <cell r="A170" t="str">
            <v>4095</v>
          </cell>
          <cell r="B170" t="str">
            <v>（その他）営業貸付金収入</v>
          </cell>
        </row>
        <row r="171">
          <cell r="A171" t="str">
            <v>4120</v>
          </cell>
          <cell r="B171" t="str">
            <v>その他の売上高</v>
          </cell>
        </row>
        <row r="172">
          <cell r="A172" t="str">
            <v>4121</v>
          </cell>
          <cell r="B172" t="str">
            <v>（親子）その他の売上高</v>
          </cell>
        </row>
        <row r="173">
          <cell r="A173" t="str">
            <v>4123</v>
          </cell>
          <cell r="B173" t="str">
            <v>（関連）その他の売上高</v>
          </cell>
        </row>
        <row r="174">
          <cell r="A174" t="str">
            <v>4125</v>
          </cell>
          <cell r="B174" t="str">
            <v>（その他）その他の売上高</v>
          </cell>
        </row>
        <row r="175">
          <cell r="A175" t="str">
            <v>4200</v>
          </cell>
          <cell r="B175" t="str">
            <v>不突合調整勘定  売上高</v>
          </cell>
        </row>
        <row r="176">
          <cell r="A176" t="str">
            <v>4300</v>
          </cell>
          <cell r="B176" t="str">
            <v>営業外収益</v>
          </cell>
        </row>
        <row r="177">
          <cell r="A177" t="str">
            <v>4330</v>
          </cell>
          <cell r="B177" t="str">
            <v>受取利息</v>
          </cell>
        </row>
        <row r="178">
          <cell r="A178" t="str">
            <v>4331</v>
          </cell>
          <cell r="B178" t="str">
            <v>（親子）受取利息</v>
          </cell>
        </row>
        <row r="179">
          <cell r="A179" t="str">
            <v>4333</v>
          </cell>
          <cell r="B179" t="str">
            <v>（関連）受取利息</v>
          </cell>
        </row>
        <row r="180">
          <cell r="A180" t="str">
            <v>4335</v>
          </cell>
          <cell r="B180" t="str">
            <v>（その他）受取利息</v>
          </cell>
        </row>
        <row r="181">
          <cell r="A181" t="str">
            <v>4360</v>
          </cell>
          <cell r="B181" t="str">
            <v>受取配当金</v>
          </cell>
        </row>
        <row r="182">
          <cell r="A182" t="str">
            <v>4361</v>
          </cell>
          <cell r="B182" t="str">
            <v>（親子）受取配当金</v>
          </cell>
        </row>
        <row r="183">
          <cell r="A183" t="str">
            <v>4363</v>
          </cell>
          <cell r="B183" t="str">
            <v>（関連）受取配当金</v>
          </cell>
        </row>
        <row r="184">
          <cell r="A184" t="str">
            <v>4365</v>
          </cell>
          <cell r="B184" t="str">
            <v>（その他）受取配当金</v>
          </cell>
        </row>
        <row r="185">
          <cell r="A185" t="str">
            <v>4390</v>
          </cell>
          <cell r="B185" t="str">
            <v>受取家賃</v>
          </cell>
        </row>
        <row r="186">
          <cell r="A186" t="str">
            <v>4391</v>
          </cell>
          <cell r="B186" t="str">
            <v>（親子）受取家賃</v>
          </cell>
        </row>
        <row r="187">
          <cell r="A187" t="str">
            <v>4393</v>
          </cell>
          <cell r="B187" t="str">
            <v>（関連）受取家賃</v>
          </cell>
        </row>
        <row r="188">
          <cell r="A188" t="str">
            <v>4395</v>
          </cell>
          <cell r="B188" t="str">
            <v>（その他）受取家賃</v>
          </cell>
        </row>
        <row r="189">
          <cell r="A189" t="str">
            <v>4420</v>
          </cell>
          <cell r="B189" t="str">
            <v>為替差益</v>
          </cell>
        </row>
        <row r="190">
          <cell r="A190" t="str">
            <v>4450</v>
          </cell>
          <cell r="B190" t="str">
            <v>有価証券利息</v>
          </cell>
        </row>
        <row r="191">
          <cell r="A191" t="str">
            <v>4480</v>
          </cell>
          <cell r="B191" t="str">
            <v>受取オプション料</v>
          </cell>
        </row>
        <row r="192">
          <cell r="A192" t="str">
            <v>4510</v>
          </cell>
          <cell r="B192" t="str">
            <v>有価証券売却益</v>
          </cell>
        </row>
        <row r="193">
          <cell r="A193" t="str">
            <v>4540</v>
          </cell>
          <cell r="B193" t="str">
            <v>連結調整勘定償却（営業外）</v>
          </cell>
        </row>
        <row r="194">
          <cell r="A194" t="str">
            <v>4570</v>
          </cell>
          <cell r="B194" t="str">
            <v>持分法投資利益</v>
          </cell>
        </row>
        <row r="195">
          <cell r="A195" t="str">
            <v>4600</v>
          </cell>
          <cell r="B195" t="str">
            <v>その他（営外収）</v>
          </cell>
        </row>
        <row r="196">
          <cell r="A196" t="str">
            <v>4601</v>
          </cell>
          <cell r="B196" t="str">
            <v>（親子）その他（営外収）</v>
          </cell>
        </row>
        <row r="197">
          <cell r="A197" t="str">
            <v>4603</v>
          </cell>
          <cell r="B197" t="str">
            <v>（関連）その他（営外収）</v>
          </cell>
        </row>
        <row r="198">
          <cell r="A198" t="str">
            <v>4605</v>
          </cell>
          <cell r="B198" t="str">
            <v>（その他）その他（営外収）</v>
          </cell>
        </row>
        <row r="199">
          <cell r="A199" t="str">
            <v>4700</v>
          </cell>
          <cell r="B199" t="str">
            <v>不突合調整勘定   営業外収益</v>
          </cell>
        </row>
        <row r="200">
          <cell r="A200" t="str">
            <v>4800</v>
          </cell>
          <cell r="B200" t="str">
            <v>特別利益</v>
          </cell>
        </row>
        <row r="201">
          <cell r="A201">
            <v>4810</v>
          </cell>
          <cell r="B201" t="str">
            <v>投資有価証券売却益</v>
          </cell>
        </row>
        <row r="202">
          <cell r="A202">
            <v>4820</v>
          </cell>
          <cell r="B202" t="str">
            <v>その他利益</v>
          </cell>
        </row>
        <row r="203">
          <cell r="A203" t="str">
            <v>5000</v>
          </cell>
          <cell r="B203" t="str">
            <v>売上原価</v>
          </cell>
        </row>
        <row r="204">
          <cell r="A204" t="str">
            <v>5030</v>
          </cell>
          <cell r="B204" t="str">
            <v>賃貸原価</v>
          </cell>
        </row>
        <row r="205">
          <cell r="A205" t="str">
            <v>5031</v>
          </cell>
          <cell r="B205" t="str">
            <v>（親子）賃貸原価</v>
          </cell>
        </row>
        <row r="206">
          <cell r="A206" t="str">
            <v>5033</v>
          </cell>
          <cell r="B206" t="str">
            <v>（関連）賃貸原価</v>
          </cell>
        </row>
        <row r="207">
          <cell r="A207" t="str">
            <v>5035</v>
          </cell>
          <cell r="B207" t="str">
            <v>（その他）賃貸原価</v>
          </cell>
        </row>
        <row r="208">
          <cell r="A208" t="str">
            <v>5060</v>
          </cell>
          <cell r="B208" t="str">
            <v>リース減価償却費</v>
          </cell>
        </row>
        <row r="209">
          <cell r="A209" t="str">
            <v>5061</v>
          </cell>
          <cell r="B209" t="str">
            <v>（親子）リース減価償却費</v>
          </cell>
        </row>
        <row r="210">
          <cell r="A210" t="str">
            <v>5063</v>
          </cell>
          <cell r="B210" t="str">
            <v>（関連）リース減価償却費</v>
          </cell>
        </row>
        <row r="211">
          <cell r="A211" t="str">
            <v>5065</v>
          </cell>
          <cell r="B211" t="str">
            <v>（その他）リース減価償却費</v>
          </cell>
        </row>
        <row r="212">
          <cell r="A212" t="str">
            <v>5090</v>
          </cell>
          <cell r="B212" t="str">
            <v>割賦原価</v>
          </cell>
        </row>
        <row r="213">
          <cell r="A213" t="str">
            <v>5091</v>
          </cell>
          <cell r="B213" t="str">
            <v>（親子）割賦原価</v>
          </cell>
        </row>
        <row r="214">
          <cell r="A214" t="str">
            <v>5093</v>
          </cell>
          <cell r="B214" t="str">
            <v>（関連）割賦原価</v>
          </cell>
        </row>
        <row r="215">
          <cell r="A215" t="str">
            <v>5095</v>
          </cell>
          <cell r="B215" t="str">
            <v>（その他）割賦原価</v>
          </cell>
        </row>
        <row r="216">
          <cell r="A216" t="str">
            <v>5120</v>
          </cell>
          <cell r="B216" t="str">
            <v>資金原価</v>
          </cell>
        </row>
        <row r="217">
          <cell r="A217" t="str">
            <v>5121</v>
          </cell>
          <cell r="B217" t="str">
            <v>（親子）資金原価</v>
          </cell>
        </row>
        <row r="218">
          <cell r="A218" t="str">
            <v>5123</v>
          </cell>
          <cell r="B218" t="str">
            <v>（関連）資金原価</v>
          </cell>
        </row>
        <row r="219">
          <cell r="A219" t="str">
            <v>5125</v>
          </cell>
          <cell r="B219" t="str">
            <v>（その他）資金原価</v>
          </cell>
        </row>
        <row r="220">
          <cell r="A220" t="str">
            <v>5150</v>
          </cell>
          <cell r="B220" t="str">
            <v>その他売上原価</v>
          </cell>
        </row>
        <row r="221">
          <cell r="A221" t="str">
            <v>5151</v>
          </cell>
          <cell r="B221" t="str">
            <v>（親子）その他売上原価</v>
          </cell>
        </row>
        <row r="222">
          <cell r="A222" t="str">
            <v>5153</v>
          </cell>
          <cell r="B222" t="str">
            <v>（関連）その他売上原価</v>
          </cell>
        </row>
        <row r="223">
          <cell r="A223" t="str">
            <v>5155</v>
          </cell>
          <cell r="B223" t="str">
            <v>（その他）その他売上原価</v>
          </cell>
        </row>
        <row r="224">
          <cell r="A224" t="str">
            <v>5180</v>
          </cell>
          <cell r="B224" t="str">
            <v>不突合調整勘定   売上原価</v>
          </cell>
        </row>
        <row r="225">
          <cell r="A225" t="str">
            <v>5200</v>
          </cell>
          <cell r="B225" t="str">
            <v>販管費・一般管理費</v>
          </cell>
        </row>
        <row r="226">
          <cell r="A226" t="str">
            <v>5230</v>
          </cell>
          <cell r="B226" t="str">
            <v>従業員給与・賞与</v>
          </cell>
        </row>
        <row r="227">
          <cell r="A227" t="str">
            <v>5231</v>
          </cell>
          <cell r="B227" t="str">
            <v>（親子）従業員給与・賞与</v>
          </cell>
        </row>
        <row r="228">
          <cell r="A228" t="str">
            <v>5233</v>
          </cell>
          <cell r="B228" t="str">
            <v>（関連）従業員給与・賞与</v>
          </cell>
        </row>
        <row r="229">
          <cell r="A229" t="str">
            <v>5235</v>
          </cell>
          <cell r="B229" t="str">
            <v>（その他）従業員給与・賞与</v>
          </cell>
        </row>
        <row r="230">
          <cell r="A230" t="str">
            <v>5260</v>
          </cell>
          <cell r="B230" t="str">
            <v>役員報酬</v>
          </cell>
        </row>
        <row r="231">
          <cell r="A231" t="str">
            <v>5261</v>
          </cell>
          <cell r="B231" t="str">
            <v>（親子）役員報酬</v>
          </cell>
        </row>
        <row r="232">
          <cell r="A232" t="str">
            <v>5263</v>
          </cell>
          <cell r="B232" t="str">
            <v>（関連）役員報酬</v>
          </cell>
        </row>
        <row r="233">
          <cell r="A233" t="str">
            <v>5265</v>
          </cell>
          <cell r="B233" t="str">
            <v>（その他）役員報酬</v>
          </cell>
        </row>
        <row r="234">
          <cell r="A234" t="str">
            <v>5290</v>
          </cell>
          <cell r="B234" t="str">
            <v>退職給付費用</v>
          </cell>
        </row>
        <row r="235">
          <cell r="A235" t="str">
            <v>5291</v>
          </cell>
          <cell r="B235" t="str">
            <v>（親子）退職給付費用</v>
          </cell>
        </row>
        <row r="236">
          <cell r="A236" t="str">
            <v>5293</v>
          </cell>
          <cell r="B236" t="str">
            <v>（関連）退職給付費用</v>
          </cell>
        </row>
        <row r="237">
          <cell r="A237" t="str">
            <v>5295</v>
          </cell>
          <cell r="B237" t="str">
            <v>（その他）退職給付費用</v>
          </cell>
        </row>
        <row r="238">
          <cell r="A238">
            <v>5300</v>
          </cell>
          <cell r="B238" t="str">
            <v>役員退職慰労引当金繰入</v>
          </cell>
        </row>
        <row r="239">
          <cell r="A239" t="str">
            <v>5320</v>
          </cell>
          <cell r="B239" t="str">
            <v>賞与引当金繰入額</v>
          </cell>
        </row>
        <row r="240">
          <cell r="A240" t="str">
            <v>5321</v>
          </cell>
          <cell r="B240" t="str">
            <v>（親子）賞与引当金繰入額</v>
          </cell>
        </row>
        <row r="241">
          <cell r="A241" t="str">
            <v>5323</v>
          </cell>
          <cell r="B241" t="str">
            <v>（関連）賞与引当金繰入額</v>
          </cell>
        </row>
        <row r="242">
          <cell r="A242" t="str">
            <v>5325</v>
          </cell>
          <cell r="B242" t="str">
            <v>（その他）賞与引当金繰入金</v>
          </cell>
        </row>
        <row r="243">
          <cell r="A243" t="str">
            <v>5350</v>
          </cell>
          <cell r="B243" t="str">
            <v>厚生福利費</v>
          </cell>
        </row>
        <row r="244">
          <cell r="A244" t="str">
            <v>5351</v>
          </cell>
          <cell r="B244" t="str">
            <v>（親子）厚生福利費</v>
          </cell>
        </row>
        <row r="245">
          <cell r="A245" t="str">
            <v>5353</v>
          </cell>
          <cell r="B245" t="str">
            <v>（関連）厚生福利費</v>
          </cell>
        </row>
        <row r="246">
          <cell r="A246" t="str">
            <v>5355</v>
          </cell>
          <cell r="B246" t="str">
            <v>（その他）厚生福利費</v>
          </cell>
        </row>
        <row r="247">
          <cell r="A247" t="str">
            <v>5380</v>
          </cell>
          <cell r="B247" t="str">
            <v>貸倒引当金繰入額</v>
          </cell>
        </row>
        <row r="248">
          <cell r="A248" t="str">
            <v>5381</v>
          </cell>
          <cell r="B248" t="str">
            <v>（親子）貸倒引当金繰入額</v>
          </cell>
        </row>
        <row r="249">
          <cell r="A249" t="str">
            <v>5383</v>
          </cell>
          <cell r="B249" t="str">
            <v>（関連）貸倒引当金繰入額</v>
          </cell>
        </row>
        <row r="250">
          <cell r="A250" t="str">
            <v>5385</v>
          </cell>
          <cell r="B250" t="str">
            <v>（その他）貸倒引当金繰入額</v>
          </cell>
        </row>
        <row r="251">
          <cell r="A251" t="str">
            <v>5410</v>
          </cell>
          <cell r="B251" t="str">
            <v>賃借料</v>
          </cell>
        </row>
        <row r="252">
          <cell r="A252" t="str">
            <v>5411</v>
          </cell>
          <cell r="B252" t="str">
            <v>（親子）賃借料</v>
          </cell>
        </row>
        <row r="253">
          <cell r="A253" t="str">
            <v>5413</v>
          </cell>
          <cell r="B253" t="str">
            <v>（関連）賃借料</v>
          </cell>
        </row>
        <row r="254">
          <cell r="A254" t="str">
            <v>5415</v>
          </cell>
          <cell r="B254" t="str">
            <v>（その他）賃借料</v>
          </cell>
        </row>
        <row r="255">
          <cell r="A255" t="str">
            <v>5440</v>
          </cell>
          <cell r="B255" t="str">
            <v>業務委託費</v>
          </cell>
        </row>
        <row r="256">
          <cell r="A256" t="str">
            <v>5441</v>
          </cell>
          <cell r="B256" t="str">
            <v>（親子）業務委託費</v>
          </cell>
        </row>
        <row r="257">
          <cell r="A257" t="str">
            <v>5443</v>
          </cell>
          <cell r="B257" t="str">
            <v>（関連）業務委託費</v>
          </cell>
        </row>
        <row r="258">
          <cell r="A258" t="str">
            <v>5445</v>
          </cell>
          <cell r="B258" t="str">
            <v>（その他）業務委託費</v>
          </cell>
        </row>
        <row r="259">
          <cell r="A259" t="str">
            <v>5450</v>
          </cell>
          <cell r="B259" t="str">
            <v>水道光熱費</v>
          </cell>
        </row>
        <row r="260">
          <cell r="A260" t="str">
            <v>5451</v>
          </cell>
          <cell r="B260" t="str">
            <v>（親子）水道光熱費</v>
          </cell>
        </row>
        <row r="261">
          <cell r="A261" t="str">
            <v>5453</v>
          </cell>
          <cell r="B261" t="str">
            <v>（関連）水道光熱費</v>
          </cell>
        </row>
        <row r="262">
          <cell r="A262">
            <v>5455</v>
          </cell>
          <cell r="B262" t="str">
            <v>（その他）水道光熱費</v>
          </cell>
        </row>
        <row r="263">
          <cell r="A263" t="str">
            <v>5470</v>
          </cell>
          <cell r="B263" t="str">
            <v>社用減価償却費</v>
          </cell>
        </row>
        <row r="264">
          <cell r="A264" t="str">
            <v>5471</v>
          </cell>
          <cell r="B264" t="str">
            <v>（親子）社用減価償却費</v>
          </cell>
        </row>
        <row r="265">
          <cell r="A265" t="str">
            <v>5473</v>
          </cell>
          <cell r="B265" t="str">
            <v>（関連）社用減価償却費</v>
          </cell>
        </row>
        <row r="266">
          <cell r="A266" t="str">
            <v>5475</v>
          </cell>
          <cell r="B266" t="str">
            <v>（その他）社用減価償却費</v>
          </cell>
        </row>
        <row r="267">
          <cell r="A267" t="str">
            <v>5500</v>
          </cell>
          <cell r="B267" t="str">
            <v>手数料</v>
          </cell>
        </row>
        <row r="268">
          <cell r="A268" t="str">
            <v>5501</v>
          </cell>
          <cell r="B268" t="str">
            <v>（親子）手数料</v>
          </cell>
        </row>
        <row r="269">
          <cell r="A269" t="str">
            <v>5503</v>
          </cell>
          <cell r="B269" t="str">
            <v>（関連）手数料</v>
          </cell>
        </row>
        <row r="270">
          <cell r="A270" t="str">
            <v>5505</v>
          </cell>
          <cell r="B270" t="str">
            <v>（その他）手数料</v>
          </cell>
        </row>
        <row r="271">
          <cell r="A271" t="str">
            <v>5530</v>
          </cell>
          <cell r="B271" t="str">
            <v>その他（販管費）</v>
          </cell>
        </row>
        <row r="272">
          <cell r="A272" t="str">
            <v>5570</v>
          </cell>
          <cell r="B272" t="str">
            <v>連結調整勘定償却（販管費）</v>
          </cell>
        </row>
        <row r="273">
          <cell r="A273" t="str">
            <v>5700</v>
          </cell>
          <cell r="B273" t="str">
            <v>営業外費用</v>
          </cell>
        </row>
        <row r="274">
          <cell r="A274" t="str">
            <v>5730</v>
          </cell>
          <cell r="B274" t="str">
            <v>支払利息</v>
          </cell>
        </row>
        <row r="275">
          <cell r="A275" t="str">
            <v>5731</v>
          </cell>
          <cell r="B275" t="str">
            <v>（親子）支払利息</v>
          </cell>
        </row>
        <row r="276">
          <cell r="A276" t="str">
            <v>5733</v>
          </cell>
          <cell r="B276" t="str">
            <v>（関連）支払利息</v>
          </cell>
        </row>
        <row r="277">
          <cell r="A277" t="str">
            <v>5735</v>
          </cell>
          <cell r="B277" t="str">
            <v>（その他）支払利息</v>
          </cell>
        </row>
        <row r="278">
          <cell r="A278" t="str">
            <v>5760</v>
          </cell>
          <cell r="B278" t="str">
            <v>有価証券評価損</v>
          </cell>
        </row>
        <row r="279">
          <cell r="A279">
            <v>5770</v>
          </cell>
          <cell r="B279" t="str">
            <v>有価証券売却損</v>
          </cell>
        </row>
        <row r="280">
          <cell r="A280" t="str">
            <v>5790</v>
          </cell>
          <cell r="B280" t="str">
            <v>為替差損</v>
          </cell>
        </row>
        <row r="281">
          <cell r="A281" t="str">
            <v>5820</v>
          </cell>
          <cell r="B281" t="str">
            <v>持分法投資損失</v>
          </cell>
        </row>
        <row r="282">
          <cell r="A282" t="str">
            <v>5850</v>
          </cell>
          <cell r="B282" t="str">
            <v>その他（営外費）</v>
          </cell>
        </row>
        <row r="283">
          <cell r="A283" t="str">
            <v>5851</v>
          </cell>
          <cell r="B283" t="str">
            <v>（親子）その他（営外費）</v>
          </cell>
        </row>
        <row r="284">
          <cell r="A284" t="str">
            <v>5853</v>
          </cell>
          <cell r="B284" t="str">
            <v>（関連）その他（営外費）</v>
          </cell>
        </row>
        <row r="285">
          <cell r="A285" t="str">
            <v>5855</v>
          </cell>
          <cell r="B285" t="str">
            <v>（その他）その他（営外費）</v>
          </cell>
        </row>
        <row r="286">
          <cell r="A286">
            <v>5860</v>
          </cell>
          <cell r="B286" t="str">
            <v>不突合調整勘定  営業外費用</v>
          </cell>
        </row>
        <row r="287">
          <cell r="A287">
            <v>5870</v>
          </cell>
          <cell r="B287" t="str">
            <v>特別損失</v>
          </cell>
        </row>
        <row r="288">
          <cell r="A288">
            <v>5871</v>
          </cell>
          <cell r="B288" t="str">
            <v>投資有価証券評価損</v>
          </cell>
        </row>
        <row r="289">
          <cell r="A289">
            <v>5873</v>
          </cell>
          <cell r="B289" t="str">
            <v>投資有価証券売却損</v>
          </cell>
        </row>
        <row r="290">
          <cell r="A290">
            <v>5875</v>
          </cell>
          <cell r="B290" t="str">
            <v>ｺﾞﾙﾌ会員権評価損</v>
          </cell>
        </row>
        <row r="291">
          <cell r="A291">
            <v>5877</v>
          </cell>
          <cell r="B291" t="str">
            <v>退職給付引当金繰入額</v>
          </cell>
        </row>
        <row r="292">
          <cell r="A292">
            <v>5900</v>
          </cell>
          <cell r="B292" t="str">
            <v>その他損失</v>
          </cell>
        </row>
        <row r="293">
          <cell r="A293" t="str">
            <v>5930</v>
          </cell>
          <cell r="B293" t="str">
            <v>法人税・住民税額</v>
          </cell>
        </row>
        <row r="294">
          <cell r="A294" t="str">
            <v>5931</v>
          </cell>
          <cell r="B294" t="str">
            <v>法人税・住民税等</v>
          </cell>
        </row>
        <row r="295">
          <cell r="A295" t="str">
            <v>5933</v>
          </cell>
          <cell r="B295" t="str">
            <v>法人税等調整額</v>
          </cell>
        </row>
        <row r="296">
          <cell r="A296" t="str">
            <v>5960</v>
          </cell>
          <cell r="B296" t="str">
            <v>為替換算調整勘定  （ＰＬ）</v>
          </cell>
        </row>
        <row r="297">
          <cell r="A297" t="str">
            <v>5990</v>
          </cell>
          <cell r="B297" t="str">
            <v>少数株主持分損益</v>
          </cell>
        </row>
        <row r="298">
          <cell r="A298" t="str">
            <v>6000</v>
          </cell>
          <cell r="B298" t="str">
            <v>売上総利益</v>
          </cell>
        </row>
        <row r="299">
          <cell r="A299" t="str">
            <v>6100</v>
          </cell>
          <cell r="B299" t="str">
            <v>営業利益</v>
          </cell>
        </row>
        <row r="300">
          <cell r="A300" t="str">
            <v>6200</v>
          </cell>
          <cell r="B300" t="str">
            <v>経常利益</v>
          </cell>
        </row>
        <row r="301">
          <cell r="A301" t="str">
            <v>6300</v>
          </cell>
          <cell r="B301" t="str">
            <v>税引前当期利益</v>
          </cell>
        </row>
        <row r="302">
          <cell r="A302" t="str">
            <v>6400</v>
          </cell>
          <cell r="B302" t="str">
            <v>PLｾｸﾞﾒﾝﾄ調整勘定</v>
          </cell>
        </row>
        <row r="303">
          <cell r="A303" t="str">
            <v>6500</v>
          </cell>
          <cell r="B303" t="str">
            <v>当期利益</v>
          </cell>
        </row>
        <row r="304">
          <cell r="A304" t="str">
            <v>7000</v>
          </cell>
          <cell r="B304" t="str">
            <v>その他剰余金期首残高</v>
          </cell>
        </row>
        <row r="305">
          <cell r="A305" t="str">
            <v>7100</v>
          </cell>
          <cell r="B305" t="str">
            <v>その他の剰余金増加高</v>
          </cell>
        </row>
        <row r="306">
          <cell r="A306" t="str">
            <v>7130</v>
          </cell>
          <cell r="B306" t="str">
            <v>他剰余増－その他</v>
          </cell>
        </row>
        <row r="307">
          <cell r="A307" t="str">
            <v>7200</v>
          </cell>
          <cell r="B307" t="str">
            <v>その他の剰余金減少高</v>
          </cell>
        </row>
        <row r="308">
          <cell r="A308" t="str">
            <v>7210</v>
          </cell>
          <cell r="B308" t="str">
            <v>他剰余減－現金配当</v>
          </cell>
        </row>
        <row r="309">
          <cell r="A309" t="str">
            <v>7220</v>
          </cell>
          <cell r="B309" t="str">
            <v>他剰余減－株式配当</v>
          </cell>
        </row>
        <row r="310">
          <cell r="A310" t="str">
            <v>7230</v>
          </cell>
          <cell r="B310" t="str">
            <v>他剰余減－利益準備金繰入</v>
          </cell>
        </row>
        <row r="311">
          <cell r="A311" t="str">
            <v>7240</v>
          </cell>
          <cell r="B311" t="str">
            <v>他剰余減－役員賞与</v>
          </cell>
        </row>
        <row r="312">
          <cell r="A312" t="str">
            <v>7250</v>
          </cell>
          <cell r="B312" t="str">
            <v>他剰余減－連結除外</v>
          </cell>
        </row>
        <row r="313">
          <cell r="A313" t="str">
            <v>7260</v>
          </cell>
          <cell r="B313" t="str">
            <v>他剰余減－その他</v>
          </cell>
        </row>
        <row r="314">
          <cell r="A314" t="str">
            <v>7300</v>
          </cell>
          <cell r="B314" t="str">
            <v>当期利益</v>
          </cell>
        </row>
        <row r="315">
          <cell r="A315" t="str">
            <v>7400</v>
          </cell>
          <cell r="B315" t="str">
            <v>その他の剰余金期末残高</v>
          </cell>
        </row>
        <row r="316">
          <cell r="B316" t="str">
            <v>その他の剰余金期末残高計</v>
          </cell>
        </row>
        <row r="318">
          <cell r="A318" t="str">
            <v>9500</v>
          </cell>
          <cell r="B318" t="str">
            <v>持分比率</v>
          </cell>
        </row>
        <row r="320">
          <cell r="A320" t="str">
            <v>8050</v>
          </cell>
          <cell r="B320" t="str">
            <v>換算資本金</v>
          </cell>
        </row>
        <row r="321">
          <cell r="A321" t="str">
            <v>8060</v>
          </cell>
          <cell r="B321" t="str">
            <v>換算資本準備金</v>
          </cell>
        </row>
        <row r="322">
          <cell r="A322" t="str">
            <v>8070</v>
          </cell>
          <cell r="B322" t="str">
            <v>換算利益準備金</v>
          </cell>
        </row>
      </sheetData>
      <sheetData sheetId="53">
        <row r="3">
          <cell r="B3" t="str">
            <v>t010</v>
          </cell>
        </row>
      </sheetData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設定シート"/>
      <sheetName val="ユーザー定義"/>
      <sheetName val="既存データコードテーブル"/>
      <sheetName val="基準月末残高"/>
      <sheetName val="実績"/>
      <sheetName val="基準月実績ラダー"/>
      <sheetName val="月次PEOPLEデータ"/>
      <sheetName val="検収実績率"/>
      <sheetName val="その他収益費用入力"/>
      <sheetName val="商品別目標入力"/>
      <sheetName val="旧菱信リース入力"/>
      <sheetName val="その他資産入力"/>
      <sheetName val="その他負債・資本金入力"/>
      <sheetName val="外貨金利・為替レート入力"/>
      <sheetName val="旧菱信リース結果シート"/>
      <sheetName val="その他負債・資本金結果シート"/>
      <sheetName val="商品別目標展開"/>
      <sheetName val="約定明細商品別結果"/>
      <sheetName val="シミュレーション結果"/>
      <sheetName val="商品別目標結果シート"/>
      <sheetName val="保険料展開"/>
      <sheetName val="その他資産結果シート"/>
      <sheetName val="その他収益費用結果シート"/>
      <sheetName val="収束計算"/>
      <sheetName val="既存ラダーデータ_検収済み"/>
      <sheetName val="既存ラダーデータ_成約後未検収"/>
      <sheetName val="新規取組運用"/>
      <sheetName val="新規取組金利"/>
      <sheetName val="新規取組運用_解約"/>
      <sheetName val="取得ALM_調達"/>
      <sheetName val="リース金融_固定"/>
      <sheetName val="合計マトリックス"/>
      <sheetName val="金利展開表（1年単位）"/>
      <sheetName val="金利展開表（1ヶ月単位）"/>
      <sheetName val="金利シナリオ"/>
      <sheetName val="金利マトリックス"/>
      <sheetName val="外貨線形補間"/>
      <sheetName val="国内・国際金融"/>
      <sheetName val="固定_期日一括"/>
      <sheetName val="約定明細展開結果_国内"/>
      <sheetName val="既存約定データ"/>
      <sheetName val="約定明細展開結果_国際"/>
      <sheetName val="国内・国際金融_変動"/>
      <sheetName val="再(再)リース展開シート"/>
      <sheetName val="変動_期日一括"/>
      <sheetName val="固定資産税"/>
      <sheetName val="解約展開"/>
      <sheetName val="検収マトリックス"/>
      <sheetName val="原価マトリックス(割賦)"/>
      <sheetName val="残高マトリックス"/>
      <sheetName val="貸倒引当金_流動資産"/>
      <sheetName val="融資計画入力"/>
      <sheetName val="オペレーティングリース計画入力"/>
      <sheetName val="不動産計画入力"/>
      <sheetName val="新不動産割賦2"/>
      <sheetName val="新不動産割賦1"/>
      <sheetName val="新不動産リース2"/>
      <sheetName val="新不動産リース1"/>
      <sheetName val="新リースみなし割賦均等2"/>
      <sheetName val="新リースみなし割賦均等1"/>
      <sheetName val="新ソフトリース2"/>
      <sheetName val="新ソフトリース1"/>
      <sheetName val="新ファイナンスリース2"/>
      <sheetName val="新ファイナンスリース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>
        <row r="3">
          <cell r="C3">
            <v>16701899429.000002</v>
          </cell>
          <cell r="D3">
            <v>24384773166</v>
          </cell>
          <cell r="E3">
            <v>38191676693</v>
          </cell>
          <cell r="F3">
            <v>31312341868</v>
          </cell>
          <cell r="G3">
            <v>28294824563</v>
          </cell>
          <cell r="H3">
            <v>42218780536</v>
          </cell>
          <cell r="I3">
            <v>34881120195</v>
          </cell>
          <cell r="J3">
            <v>31245934993</v>
          </cell>
          <cell r="K3">
            <v>44831029590</v>
          </cell>
          <cell r="L3">
            <v>40271322137</v>
          </cell>
          <cell r="M3">
            <v>36017474715</v>
          </cell>
          <cell r="N3">
            <v>35226050103</v>
          </cell>
          <cell r="O3">
            <v>35968237483</v>
          </cell>
          <cell r="P3">
            <v>34457859369</v>
          </cell>
          <cell r="Q3">
            <v>45946059970</v>
          </cell>
          <cell r="R3">
            <v>38228591130</v>
          </cell>
          <cell r="S3">
            <v>32823210514</v>
          </cell>
          <cell r="T3">
            <v>46428504765</v>
          </cell>
          <cell r="U3">
            <v>38294389643</v>
          </cell>
          <cell r="V3">
            <v>32972878535.999996</v>
          </cell>
          <cell r="W3">
            <v>46521728389</v>
          </cell>
          <cell r="X3">
            <v>41483242866</v>
          </cell>
          <cell r="Y3">
            <v>36776222592</v>
          </cell>
          <cell r="Z3">
            <v>35961444310</v>
          </cell>
          <cell r="AA3">
            <v>36717524898</v>
          </cell>
          <cell r="AB3">
            <v>35170411050</v>
          </cell>
          <cell r="AC3">
            <v>46892240736</v>
          </cell>
          <cell r="AD3">
            <v>39016772519</v>
          </cell>
          <cell r="AE3">
            <v>33496069579.000004</v>
          </cell>
          <cell r="AF3">
            <v>47378552252</v>
          </cell>
          <cell r="AG3">
            <v>39077712364</v>
          </cell>
          <cell r="AH3">
            <v>33646311107</v>
          </cell>
          <cell r="AI3">
            <v>47471837957</v>
          </cell>
          <cell r="AJ3">
            <v>42330607724</v>
          </cell>
          <cell r="AK3">
            <v>37527497044</v>
          </cell>
          <cell r="AL3">
            <v>36696098196</v>
          </cell>
          <cell r="AM3">
            <v>37467625396</v>
          </cell>
          <cell r="AN3">
            <v>35888919271</v>
          </cell>
          <cell r="AO3">
            <v>47850235551</v>
          </cell>
          <cell r="AP3">
            <v>39813607969</v>
          </cell>
          <cell r="AQ3">
            <v>34180015971</v>
          </cell>
          <cell r="AR3">
            <v>48345823297</v>
          </cell>
          <cell r="AS3">
            <v>39875516611</v>
          </cell>
          <cell r="AT3">
            <v>34333212329</v>
          </cell>
          <cell r="AU3">
            <v>48440949716</v>
          </cell>
          <cell r="AV3">
            <v>43572895989</v>
          </cell>
          <cell r="AW3">
            <v>38845642106</v>
          </cell>
          <cell r="AX3">
            <v>38057766459</v>
          </cell>
          <cell r="AY3">
            <v>38875287291</v>
          </cell>
          <cell r="AZ3">
            <v>37294595133</v>
          </cell>
          <cell r="BA3">
            <v>49767290857</v>
          </cell>
          <cell r="BB3">
            <v>40752372165</v>
          </cell>
          <cell r="BC3">
            <v>34639516341</v>
          </cell>
          <cell r="BD3">
            <v>48655862525</v>
          </cell>
          <cell r="BE3">
            <v>40134911981</v>
          </cell>
          <cell r="BF3">
            <v>34516024304</v>
          </cell>
          <cell r="BG3">
            <v>48594116506</v>
          </cell>
          <cell r="BH3">
            <v>48594116506</v>
          </cell>
          <cell r="BI3">
            <v>48594116506</v>
          </cell>
          <cell r="BJ3">
            <v>48594116506</v>
          </cell>
        </row>
        <row r="4">
          <cell r="C4">
            <v>65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C6">
            <v>60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C8">
            <v>40</v>
          </cell>
        </row>
        <row r="9">
          <cell r="C9">
            <v>0.32500000000000001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C11">
            <v>120</v>
          </cell>
        </row>
        <row r="12">
          <cell r="C12">
            <v>0.47499999999999998</v>
          </cell>
        </row>
        <row r="13">
          <cell r="C13">
            <v>1222776642</v>
          </cell>
          <cell r="D13">
            <v>1345054306</v>
          </cell>
          <cell r="E13">
            <v>2282516398</v>
          </cell>
          <cell r="F13">
            <v>1508923012</v>
          </cell>
          <cell r="G13">
            <v>1614980170</v>
          </cell>
          <cell r="H13">
            <v>2781608905</v>
          </cell>
          <cell r="I13">
            <v>1933151643</v>
          </cell>
          <cell r="J13">
            <v>2039208801</v>
          </cell>
          <cell r="K13">
            <v>3205837535</v>
          </cell>
          <cell r="L13">
            <v>2546486425</v>
          </cell>
          <cell r="M13">
            <v>2671454197</v>
          </cell>
          <cell r="N13">
            <v>2674144306</v>
          </cell>
          <cell r="O13">
            <v>2676834415</v>
          </cell>
          <cell r="P13">
            <v>2598006080</v>
          </cell>
          <cell r="Q13">
            <v>3450035181</v>
          </cell>
          <cell r="R13">
            <v>2553365583</v>
          </cell>
          <cell r="S13">
            <v>2449641683</v>
          </cell>
          <cell r="T13">
            <v>3535879092</v>
          </cell>
          <cell r="U13">
            <v>2562698613</v>
          </cell>
          <cell r="V13">
            <v>2458974713</v>
          </cell>
          <cell r="W13">
            <v>3526301507</v>
          </cell>
          <cell r="X13">
            <v>2724977543</v>
          </cell>
          <cell r="Y13">
            <v>2727476899</v>
          </cell>
          <cell r="Z13">
            <v>2729976254</v>
          </cell>
          <cell r="AA13">
            <v>2732475610</v>
          </cell>
          <cell r="AB13">
            <v>2651663117</v>
          </cell>
          <cell r="AC13">
            <v>3520520685</v>
          </cell>
          <cell r="AD13">
            <v>2605705581</v>
          </cell>
          <cell r="AE13">
            <v>2499482974</v>
          </cell>
          <cell r="AF13">
            <v>3607233017</v>
          </cell>
          <cell r="AG13">
            <v>2614376814</v>
          </cell>
          <cell r="AH13">
            <v>2508154207</v>
          </cell>
          <cell r="AI13">
            <v>3596827537</v>
          </cell>
          <cell r="AJ13">
            <v>2779477094</v>
          </cell>
          <cell r="AK13">
            <v>2782026437</v>
          </cell>
          <cell r="AL13">
            <v>2784575779</v>
          </cell>
          <cell r="AM13">
            <v>2787125122</v>
          </cell>
          <cell r="AN13">
            <v>2704696379</v>
          </cell>
          <cell r="AO13">
            <v>3590931098</v>
          </cell>
          <cell r="AP13">
            <v>2657819692</v>
          </cell>
          <cell r="AQ13">
            <v>2549472633</v>
          </cell>
          <cell r="AR13">
            <v>3679377677</v>
          </cell>
          <cell r="AS13">
            <v>2666664350</v>
          </cell>
          <cell r="AT13">
            <v>2558317291</v>
          </cell>
          <cell r="AU13">
            <v>3668764088</v>
          </cell>
          <cell r="AV13">
            <v>2862131289</v>
          </cell>
          <cell r="AW13">
            <v>2867438084</v>
          </cell>
          <cell r="AX13">
            <v>2872744879</v>
          </cell>
          <cell r="AY13">
            <v>2878051673</v>
          </cell>
          <cell r="AZ13">
            <v>2796680821</v>
          </cell>
          <cell r="BA13">
            <v>3721389802</v>
          </cell>
          <cell r="BB13">
            <v>2706465310</v>
          </cell>
          <cell r="BC13">
            <v>2593695923</v>
          </cell>
          <cell r="BD13">
            <v>3721389802</v>
          </cell>
          <cell r="BE13">
            <v>2706465310</v>
          </cell>
          <cell r="BF13">
            <v>2593695923</v>
          </cell>
          <cell r="BG13">
            <v>3698835924</v>
          </cell>
          <cell r="BH13">
            <v>3698835924</v>
          </cell>
          <cell r="BI13">
            <v>3698835924</v>
          </cell>
          <cell r="BJ13">
            <v>3698835924</v>
          </cell>
        </row>
        <row r="14">
          <cell r="C14">
            <v>61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C16">
            <v>60</v>
          </cell>
        </row>
        <row r="17">
          <cell r="C17">
            <v>483621659</v>
          </cell>
          <cell r="D17">
            <v>519712826.99999994</v>
          </cell>
          <cell r="E17">
            <v>878218435</v>
          </cell>
          <cell r="F17">
            <v>551802050</v>
          </cell>
          <cell r="G17">
            <v>583105615</v>
          </cell>
          <cell r="H17">
            <v>1033876944.0000001</v>
          </cell>
          <cell r="I17">
            <v>677016308</v>
          </cell>
          <cell r="J17">
            <v>679446938</v>
          </cell>
          <cell r="K17">
            <v>1101345333</v>
          </cell>
          <cell r="L17">
            <v>771156709</v>
          </cell>
          <cell r="M17">
            <v>775780798</v>
          </cell>
          <cell r="N17">
            <v>780404887</v>
          </cell>
          <cell r="O17">
            <v>755173968</v>
          </cell>
          <cell r="P17">
            <v>760755578</v>
          </cell>
          <cell r="Q17">
            <v>1095844744</v>
          </cell>
          <cell r="R17">
            <v>699640070</v>
          </cell>
          <cell r="S17">
            <v>695863460</v>
          </cell>
          <cell r="T17">
            <v>1120782907</v>
          </cell>
          <cell r="U17">
            <v>714041772</v>
          </cell>
          <cell r="V17">
            <v>709148840</v>
          </cell>
          <cell r="W17">
            <v>1132951965</v>
          </cell>
          <cell r="X17">
            <v>787133634</v>
          </cell>
          <cell r="Y17">
            <v>791785682</v>
          </cell>
          <cell r="Z17">
            <v>796437731</v>
          </cell>
          <cell r="AA17">
            <v>770577962</v>
          </cell>
          <cell r="AB17">
            <v>776208596</v>
          </cell>
          <cell r="AC17">
            <v>1117936939</v>
          </cell>
          <cell r="AD17">
            <v>713682957</v>
          </cell>
          <cell r="AE17">
            <v>709818294</v>
          </cell>
          <cell r="AF17">
            <v>1143223608</v>
          </cell>
          <cell r="AG17">
            <v>728322607</v>
          </cell>
          <cell r="AH17">
            <v>723331817</v>
          </cell>
          <cell r="AI17">
            <v>1155611005</v>
          </cell>
          <cell r="AJ17">
            <v>802876306</v>
          </cell>
          <cell r="AK17">
            <v>807621396</v>
          </cell>
          <cell r="AL17">
            <v>812366485</v>
          </cell>
          <cell r="AM17">
            <v>785989521</v>
          </cell>
          <cell r="AN17">
            <v>791732768</v>
          </cell>
          <cell r="AO17">
            <v>1140295678</v>
          </cell>
          <cell r="AP17">
            <v>727956616</v>
          </cell>
          <cell r="AQ17">
            <v>724014660</v>
          </cell>
          <cell r="AR17">
            <v>1166088080</v>
          </cell>
          <cell r="AS17">
            <v>742889059</v>
          </cell>
          <cell r="AT17">
            <v>737798454</v>
          </cell>
          <cell r="AU17">
            <v>1178723225</v>
          </cell>
          <cell r="AV17">
            <v>829638202</v>
          </cell>
          <cell r="AW17">
            <v>835277026</v>
          </cell>
          <cell r="AX17">
            <v>840915851</v>
          </cell>
          <cell r="AY17">
            <v>814810181</v>
          </cell>
          <cell r="AZ17">
            <v>821467127</v>
          </cell>
          <cell r="BA17">
            <v>1184936374</v>
          </cell>
          <cell r="BB17">
            <v>738920997</v>
          </cell>
          <cell r="BC17">
            <v>733595441</v>
          </cell>
          <cell r="BD17">
            <v>1174285261</v>
          </cell>
          <cell r="BE17">
            <v>749572111</v>
          </cell>
          <cell r="BF17">
            <v>742915165</v>
          </cell>
          <cell r="BG17">
            <v>1182273596</v>
          </cell>
          <cell r="BH17">
            <v>1182273596</v>
          </cell>
          <cell r="BI17">
            <v>1182273596</v>
          </cell>
          <cell r="BJ17">
            <v>1182273596</v>
          </cell>
        </row>
        <row r="18">
          <cell r="C18">
            <v>68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</row>
        <row r="20">
          <cell r="C20">
            <v>60</v>
          </cell>
        </row>
        <row r="21">
          <cell r="C21">
            <v>1615501609</v>
          </cell>
          <cell r="D21">
            <v>1736061431</v>
          </cell>
          <cell r="E21">
            <v>2933622325</v>
          </cell>
          <cell r="F21">
            <v>1843253054</v>
          </cell>
          <cell r="G21">
            <v>1947820247</v>
          </cell>
          <cell r="H21">
            <v>3453587814</v>
          </cell>
          <cell r="I21">
            <v>2261521823</v>
          </cell>
          <cell r="J21">
            <v>2269641158</v>
          </cell>
          <cell r="K21">
            <v>3678960868</v>
          </cell>
          <cell r="L21">
            <v>2575990718</v>
          </cell>
          <cell r="M21">
            <v>2591437137</v>
          </cell>
          <cell r="N21">
            <v>2606883557</v>
          </cell>
          <cell r="O21">
            <v>2522601580</v>
          </cell>
          <cell r="P21">
            <v>2541246526</v>
          </cell>
          <cell r="Q21">
            <v>3660586567</v>
          </cell>
          <cell r="R21">
            <v>2337094788</v>
          </cell>
          <cell r="S21">
            <v>2324479310</v>
          </cell>
          <cell r="T21">
            <v>3743890616</v>
          </cell>
          <cell r="U21">
            <v>2385202586</v>
          </cell>
          <cell r="V21">
            <v>2368858119</v>
          </cell>
          <cell r="W21">
            <v>3784540435</v>
          </cell>
          <cell r="X21">
            <v>2629360428</v>
          </cell>
          <cell r="Y21">
            <v>2644900245</v>
          </cell>
          <cell r="Z21">
            <v>2660440061</v>
          </cell>
          <cell r="AA21">
            <v>2574057457</v>
          </cell>
          <cell r="AB21">
            <v>2592866167</v>
          </cell>
          <cell r="AC21">
            <v>3734383875</v>
          </cell>
          <cell r="AD21">
            <v>2384003992</v>
          </cell>
          <cell r="AE21">
            <v>2371094377</v>
          </cell>
          <cell r="AF21">
            <v>3818852082</v>
          </cell>
          <cell r="AG21">
            <v>2432906638</v>
          </cell>
          <cell r="AH21">
            <v>2416235281</v>
          </cell>
          <cell r="AI21">
            <v>3860231244</v>
          </cell>
          <cell r="AJ21">
            <v>2681947637</v>
          </cell>
          <cell r="AK21">
            <v>2697798250</v>
          </cell>
          <cell r="AL21">
            <v>2713648863</v>
          </cell>
          <cell r="AM21">
            <v>2625538606</v>
          </cell>
          <cell r="AN21">
            <v>2644723490</v>
          </cell>
          <cell r="AO21">
            <v>3809071552</v>
          </cell>
          <cell r="AP21">
            <v>2431684071</v>
          </cell>
          <cell r="AQ21">
            <v>2418516265</v>
          </cell>
          <cell r="AR21">
            <v>3895229123</v>
          </cell>
          <cell r="AS21">
            <v>2481564770</v>
          </cell>
          <cell r="AT21">
            <v>2464559987</v>
          </cell>
          <cell r="AU21">
            <v>3937435869</v>
          </cell>
          <cell r="AV21">
            <v>2771343726</v>
          </cell>
          <cell r="AW21">
            <v>2790179794</v>
          </cell>
          <cell r="AX21">
            <v>2809015862</v>
          </cell>
          <cell r="AY21">
            <v>2721811843</v>
          </cell>
          <cell r="AZ21">
            <v>2744048868</v>
          </cell>
          <cell r="BA21">
            <v>3958190425</v>
          </cell>
          <cell r="BB21">
            <v>2468309759</v>
          </cell>
          <cell r="BC21">
            <v>2450520140</v>
          </cell>
          <cell r="BD21">
            <v>3922611185</v>
          </cell>
          <cell r="BE21">
            <v>2503888999</v>
          </cell>
          <cell r="BF21">
            <v>2481651974</v>
          </cell>
          <cell r="BG21">
            <v>3949295615</v>
          </cell>
          <cell r="BH21">
            <v>3949295615</v>
          </cell>
          <cell r="BI21">
            <v>3949295615</v>
          </cell>
          <cell r="BJ21">
            <v>3949295615</v>
          </cell>
        </row>
        <row r="22">
          <cell r="C22">
            <v>68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  <row r="24">
          <cell r="C24">
            <v>60</v>
          </cell>
        </row>
        <row r="25">
          <cell r="C25">
            <v>1314197217</v>
          </cell>
          <cell r="D25">
            <v>1711512655</v>
          </cell>
          <cell r="E25">
            <v>2893271393</v>
          </cell>
          <cell r="F25">
            <v>2413311849</v>
          </cell>
          <cell r="G25">
            <v>2605108548</v>
          </cell>
          <cell r="H25">
            <v>3857244720</v>
          </cell>
          <cell r="I25">
            <v>3143698628</v>
          </cell>
          <cell r="J25">
            <v>3013443200</v>
          </cell>
          <cell r="K25">
            <v>4173787239</v>
          </cell>
          <cell r="L25">
            <v>3545185150</v>
          </cell>
          <cell r="M25">
            <v>3362025436</v>
          </cell>
          <cell r="N25">
            <v>3333924361</v>
          </cell>
          <cell r="O25">
            <v>3354682065</v>
          </cell>
          <cell r="P25">
            <v>3242897336</v>
          </cell>
          <cell r="Q25">
            <v>4082411342</v>
          </cell>
          <cell r="R25">
            <v>3271939618</v>
          </cell>
          <cell r="S25">
            <v>3143276155</v>
          </cell>
          <cell r="T25">
            <v>4223220057.0000005</v>
          </cell>
          <cell r="U25">
            <v>3369035527</v>
          </cell>
          <cell r="V25">
            <v>3142209163</v>
          </cell>
          <cell r="W25">
            <v>4265610558.0000005</v>
          </cell>
          <cell r="X25">
            <v>3620493004</v>
          </cell>
          <cell r="Y25">
            <v>3432491664</v>
          </cell>
          <cell r="Z25">
            <v>3403147663</v>
          </cell>
          <cell r="AA25">
            <v>3423737335</v>
          </cell>
          <cell r="AB25">
            <v>3308868639</v>
          </cell>
          <cell r="AC25">
            <v>4164748789</v>
          </cell>
          <cell r="AD25">
            <v>3337802546</v>
          </cell>
          <cell r="AE25">
            <v>3206353746</v>
          </cell>
          <cell r="AF25">
            <v>4307684459</v>
          </cell>
          <cell r="AG25">
            <v>3436416238</v>
          </cell>
          <cell r="AH25">
            <v>3205053346</v>
          </cell>
          <cell r="AI25">
            <v>4350922770</v>
          </cell>
          <cell r="AJ25">
            <v>3692902864</v>
          </cell>
          <cell r="AK25">
            <v>3501141497</v>
          </cell>
          <cell r="AL25">
            <v>3471210616</v>
          </cell>
          <cell r="AM25">
            <v>3492212081</v>
          </cell>
          <cell r="AN25">
            <v>3375046012</v>
          </cell>
          <cell r="AO25">
            <v>4248043765.0000005</v>
          </cell>
          <cell r="AP25">
            <v>3404558597</v>
          </cell>
          <cell r="AQ25">
            <v>3270480821</v>
          </cell>
          <cell r="AR25">
            <v>4393838148</v>
          </cell>
          <cell r="AS25">
            <v>3505144563</v>
          </cell>
          <cell r="AT25">
            <v>3269154413</v>
          </cell>
          <cell r="AU25">
            <v>4437941225</v>
          </cell>
          <cell r="AV25">
            <v>3795849056</v>
          </cell>
          <cell r="AW25">
            <v>3609046549</v>
          </cell>
          <cell r="AX25">
            <v>3585281733</v>
          </cell>
          <cell r="AY25">
            <v>3613467910</v>
          </cell>
          <cell r="AZ25">
            <v>3500723201</v>
          </cell>
          <cell r="BA25">
            <v>4413955341</v>
          </cell>
          <cell r="BB25">
            <v>3489448731</v>
          </cell>
          <cell r="BC25">
            <v>3337243374</v>
          </cell>
          <cell r="BD25">
            <v>4447778753</v>
          </cell>
          <cell r="BE25">
            <v>3545821085</v>
          </cell>
          <cell r="BF25">
            <v>3292145491</v>
          </cell>
          <cell r="BG25">
            <v>4453415989</v>
          </cell>
          <cell r="BH25">
            <v>4453415989</v>
          </cell>
          <cell r="BI25">
            <v>4453415989</v>
          </cell>
          <cell r="BJ25">
            <v>4453415989</v>
          </cell>
        </row>
        <row r="26">
          <cell r="C26">
            <v>68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</row>
        <row r="28">
          <cell r="C28">
            <v>60</v>
          </cell>
        </row>
        <row r="29">
          <cell r="C29">
            <v>1314197217</v>
          </cell>
          <cell r="D29">
            <v>1711512655</v>
          </cell>
          <cell r="E29">
            <v>2893271393</v>
          </cell>
          <cell r="F29">
            <v>2413311849</v>
          </cell>
          <cell r="G29">
            <v>2605108548</v>
          </cell>
          <cell r="H29">
            <v>3857244720</v>
          </cell>
          <cell r="I29">
            <v>3143698628</v>
          </cell>
          <cell r="J29">
            <v>3013443200</v>
          </cell>
          <cell r="K29">
            <v>4173787239</v>
          </cell>
          <cell r="L29">
            <v>3545185150</v>
          </cell>
          <cell r="M29">
            <v>3362025436</v>
          </cell>
          <cell r="N29">
            <v>3333924361</v>
          </cell>
          <cell r="O29">
            <v>3354682065</v>
          </cell>
          <cell r="P29">
            <v>3242897336</v>
          </cell>
          <cell r="Q29">
            <v>4082411342</v>
          </cell>
          <cell r="R29">
            <v>3271939618</v>
          </cell>
          <cell r="S29">
            <v>3143276155</v>
          </cell>
          <cell r="T29">
            <v>4223220057.0000005</v>
          </cell>
          <cell r="U29">
            <v>3369035527</v>
          </cell>
          <cell r="V29">
            <v>3142209163</v>
          </cell>
          <cell r="W29">
            <v>4265610558.0000005</v>
          </cell>
          <cell r="X29">
            <v>3620493004</v>
          </cell>
          <cell r="Y29">
            <v>3432491664</v>
          </cell>
          <cell r="Z29">
            <v>3403147663</v>
          </cell>
          <cell r="AA29">
            <v>3423737335</v>
          </cell>
          <cell r="AB29">
            <v>3308868639</v>
          </cell>
          <cell r="AC29">
            <v>4164748789</v>
          </cell>
          <cell r="AD29">
            <v>3337802546</v>
          </cell>
          <cell r="AE29">
            <v>3206353746</v>
          </cell>
          <cell r="AF29">
            <v>4307684459</v>
          </cell>
          <cell r="AG29">
            <v>3436416238</v>
          </cell>
          <cell r="AH29">
            <v>3205053346</v>
          </cell>
          <cell r="AI29">
            <v>4350922770</v>
          </cell>
          <cell r="AJ29">
            <v>3692902864</v>
          </cell>
          <cell r="AK29">
            <v>3501141497</v>
          </cell>
          <cell r="AL29">
            <v>3471210616</v>
          </cell>
          <cell r="AM29">
            <v>3492212081</v>
          </cell>
          <cell r="AN29">
            <v>3375046012</v>
          </cell>
          <cell r="AO29">
            <v>4248043765.0000005</v>
          </cell>
          <cell r="AP29">
            <v>3404558597</v>
          </cell>
          <cell r="AQ29">
            <v>3270480821</v>
          </cell>
          <cell r="AR29">
            <v>4393838148</v>
          </cell>
          <cell r="AS29">
            <v>3505144563</v>
          </cell>
          <cell r="AT29">
            <v>3269154413</v>
          </cell>
          <cell r="AU29">
            <v>4437941225</v>
          </cell>
          <cell r="AV29">
            <v>3795849056</v>
          </cell>
          <cell r="AW29">
            <v>3609046549</v>
          </cell>
          <cell r="AX29">
            <v>3585281733</v>
          </cell>
          <cell r="AY29">
            <v>3613467910</v>
          </cell>
          <cell r="AZ29">
            <v>3500723201</v>
          </cell>
          <cell r="BA29">
            <v>4413955341</v>
          </cell>
          <cell r="BB29">
            <v>3489448731</v>
          </cell>
          <cell r="BC29">
            <v>3337243374</v>
          </cell>
          <cell r="BD29">
            <v>4447778753</v>
          </cell>
          <cell r="BE29">
            <v>3545821085</v>
          </cell>
          <cell r="BF29">
            <v>3292145491</v>
          </cell>
          <cell r="BG29">
            <v>4453415989</v>
          </cell>
          <cell r="BH29">
            <v>4453415989</v>
          </cell>
          <cell r="BI29">
            <v>4453415989</v>
          </cell>
          <cell r="BJ29">
            <v>4453415989</v>
          </cell>
        </row>
        <row r="30">
          <cell r="C30">
            <v>68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</row>
        <row r="32">
          <cell r="C32">
            <v>60</v>
          </cell>
        </row>
        <row r="33">
          <cell r="C33">
            <v>1140040662</v>
          </cell>
          <cell r="D33">
            <v>1302903614</v>
          </cell>
          <cell r="E33">
            <v>2768670180</v>
          </cell>
          <cell r="F33">
            <v>1709811713</v>
          </cell>
          <cell r="G33">
            <v>1746004799</v>
          </cell>
          <cell r="H33">
            <v>1739238627</v>
          </cell>
          <cell r="I33">
            <v>1681726164</v>
          </cell>
          <cell r="J33">
            <v>1715022853</v>
          </cell>
          <cell r="K33">
            <v>3080911221</v>
          </cell>
          <cell r="L33">
            <v>2088535661</v>
          </cell>
          <cell r="M33">
            <v>2078808133</v>
          </cell>
          <cell r="N33">
            <v>1948179792</v>
          </cell>
          <cell r="O33">
            <v>1953534630</v>
          </cell>
          <cell r="P33">
            <v>1955862496</v>
          </cell>
          <cell r="Q33">
            <v>3507278436</v>
          </cell>
          <cell r="R33">
            <v>2217511299</v>
          </cell>
          <cell r="S33">
            <v>2187811683</v>
          </cell>
          <cell r="T33">
            <v>2141131230</v>
          </cell>
          <cell r="U33">
            <v>2034233839</v>
          </cell>
          <cell r="V33">
            <v>2035093074</v>
          </cell>
          <cell r="W33">
            <v>3655893610</v>
          </cell>
          <cell r="X33">
            <v>2462085078</v>
          </cell>
          <cell r="Y33">
            <v>2448223767</v>
          </cell>
          <cell r="Z33">
            <v>2290898240</v>
          </cell>
          <cell r="AA33">
            <v>2296788765</v>
          </cell>
          <cell r="AB33">
            <v>2299087403</v>
          </cell>
          <cell r="AC33">
            <v>4121029480.9999995</v>
          </cell>
          <cell r="AD33">
            <v>2605629372</v>
          </cell>
          <cell r="AE33">
            <v>2569871785</v>
          </cell>
          <cell r="AF33">
            <v>2515039471</v>
          </cell>
          <cell r="AG33">
            <v>2389474463</v>
          </cell>
          <cell r="AH33">
            <v>2390483748</v>
          </cell>
          <cell r="AI33">
            <v>4294326569</v>
          </cell>
          <cell r="AJ33">
            <v>2872864070</v>
          </cell>
          <cell r="AK33">
            <v>2853842456</v>
          </cell>
          <cell r="AL33">
            <v>2666303304</v>
          </cell>
          <cell r="AM33">
            <v>2672674562</v>
          </cell>
          <cell r="AN33">
            <v>2674826677</v>
          </cell>
          <cell r="AO33">
            <v>4792471207</v>
          </cell>
          <cell r="AP33">
            <v>3030247157</v>
          </cell>
          <cell r="AQ33">
            <v>2987636339</v>
          </cell>
          <cell r="AR33">
            <v>2923890352</v>
          </cell>
          <cell r="AS33">
            <v>2777913194</v>
          </cell>
          <cell r="AT33">
            <v>2779086551</v>
          </cell>
          <cell r="AU33">
            <v>4992422650</v>
          </cell>
          <cell r="AV33">
            <v>3114974432</v>
          </cell>
          <cell r="AW33">
            <v>3060730713</v>
          </cell>
          <cell r="AX33">
            <v>2810574837</v>
          </cell>
          <cell r="AY33">
            <v>2811555841</v>
          </cell>
          <cell r="AZ33">
            <v>2807631827</v>
          </cell>
          <cell r="BA33">
            <v>5006060522</v>
          </cell>
          <cell r="BB33">
            <v>3089179812</v>
          </cell>
          <cell r="BC33">
            <v>3021490575</v>
          </cell>
          <cell r="BD33">
            <v>2937124280</v>
          </cell>
          <cell r="BE33">
            <v>2788992762</v>
          </cell>
          <cell r="BF33">
            <v>2788011758</v>
          </cell>
          <cell r="BG33">
            <v>4999193498</v>
          </cell>
          <cell r="BH33">
            <v>4999193498</v>
          </cell>
          <cell r="BI33">
            <v>4999193498</v>
          </cell>
          <cell r="BJ33">
            <v>4999193498</v>
          </cell>
        </row>
        <row r="34">
          <cell r="C34">
            <v>60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C36">
            <v>60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</row>
        <row r="38">
          <cell r="C38">
            <v>60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</row>
        <row r="40">
          <cell r="C40">
            <v>60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</row>
        <row r="42">
          <cell r="C42">
            <v>60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</row>
        <row r="44">
          <cell r="C44">
            <v>60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</row>
        <row r="46">
          <cell r="C46">
            <v>60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</row>
        <row r="48">
          <cell r="C48">
            <v>60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</row>
        <row r="50">
          <cell r="C50">
            <v>60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</row>
        <row r="52">
          <cell r="C52">
            <v>60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C54">
            <v>60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</row>
        <row r="56">
          <cell r="C56">
            <v>60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</row>
        <row r="58">
          <cell r="C58">
            <v>60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</row>
        <row r="60">
          <cell r="C60">
            <v>60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</row>
        <row r="62">
          <cell r="C62">
            <v>60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</row>
        <row r="64">
          <cell r="C64">
            <v>60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C66">
            <v>60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</row>
        <row r="68">
          <cell r="C68">
            <v>60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3">
          <cell r="C83">
            <v>16040504211.200001</v>
          </cell>
          <cell r="D83">
            <v>31766745482.779999</v>
          </cell>
          <cell r="E83">
            <v>51976689597.700005</v>
          </cell>
          <cell r="F83">
            <v>55828839891.580009</v>
          </cell>
          <cell r="G83">
            <v>54351597192.759995</v>
          </cell>
          <cell r="H83">
            <v>67951128483.840004</v>
          </cell>
          <cell r="I83">
            <v>68135930824.5</v>
          </cell>
          <cell r="J83">
            <v>63338020308.639999</v>
          </cell>
          <cell r="K83">
            <v>74740291258.5</v>
          </cell>
          <cell r="L83">
            <v>76377805595.559998</v>
          </cell>
          <cell r="M83">
            <v>71991293929.800003</v>
          </cell>
          <cell r="N83">
            <v>69687135047.460007</v>
          </cell>
          <cell r="O83">
            <v>69410158680.37999</v>
          </cell>
          <cell r="P83">
            <v>67745038381.299995</v>
          </cell>
          <cell r="Q83">
            <v>77814812735.240005</v>
          </cell>
          <cell r="R83">
            <v>75639911815.300003</v>
          </cell>
          <cell r="S83">
            <v>68481862361.219986</v>
          </cell>
          <cell r="T83">
            <v>78768549965.139999</v>
          </cell>
          <cell r="U83">
            <v>76622799446.059982</v>
          </cell>
          <cell r="V83">
            <v>69106934235.360001</v>
          </cell>
          <cell r="W83">
            <v>79177162747.759995</v>
          </cell>
          <cell r="X83">
            <v>79786266533.259979</v>
          </cell>
          <cell r="Y83">
            <v>74381911974.440002</v>
          </cell>
          <cell r="Z83">
            <v>71565387630.099991</v>
          </cell>
          <cell r="AA83">
            <v>71060148946.639999</v>
          </cell>
          <cell r="AB83">
            <v>69232599817.639999</v>
          </cell>
          <cell r="AC83">
            <v>79452995434.259995</v>
          </cell>
          <cell r="AD83">
            <v>77209070176.279999</v>
          </cell>
          <cell r="AE83">
            <v>69891410253.699997</v>
          </cell>
          <cell r="AF83">
            <v>80384223181.360001</v>
          </cell>
          <cell r="AG83">
            <v>78192435618.779999</v>
          </cell>
          <cell r="AH83">
            <v>70520674378.699997</v>
          </cell>
          <cell r="AI83">
            <v>80795314320.279999</v>
          </cell>
          <cell r="AJ83">
            <v>81416437117.819992</v>
          </cell>
          <cell r="AK83">
            <v>75901497025.62001</v>
          </cell>
          <cell r="AL83">
            <v>73027383783.900009</v>
          </cell>
          <cell r="AM83">
            <v>72511807335.240005</v>
          </cell>
          <cell r="AN83">
            <v>70646937239.62001</v>
          </cell>
          <cell r="AO83">
            <v>81076166448.199997</v>
          </cell>
          <cell r="AP83">
            <v>78786160959.100006</v>
          </cell>
          <cell r="AQ83">
            <v>71318778598.479996</v>
          </cell>
          <cell r="AR83">
            <v>82025580200.339996</v>
          </cell>
          <cell r="AS83">
            <v>79788930825.940002</v>
          </cell>
          <cell r="AT83">
            <v>71960465570.979996</v>
          </cell>
          <cell r="AU83">
            <v>82444778011.960007</v>
          </cell>
          <cell r="AV83">
            <v>83441696816.240005</v>
          </cell>
          <cell r="AW83">
            <v>78170169270.060013</v>
          </cell>
          <cell r="AX83">
            <v>75452803293.560013</v>
          </cell>
          <cell r="AY83">
            <v>75066535606.580002</v>
          </cell>
          <cell r="AZ83">
            <v>73270819909.699997</v>
          </cell>
          <cell r="BA83">
            <v>84226481205.299988</v>
          </cell>
          <cell r="BB83">
            <v>81269742234.940002</v>
          </cell>
          <cell r="BC83">
            <v>72954889633.360001</v>
          </cell>
          <cell r="BD83">
            <v>83164104930.76001</v>
          </cell>
          <cell r="BE83">
            <v>80631159076.300003</v>
          </cell>
          <cell r="BF83">
            <v>72558252577.160004</v>
          </cell>
          <cell r="BG83">
            <v>82881445907.259995</v>
          </cell>
          <cell r="BH83">
            <v>82881445907.259995</v>
          </cell>
          <cell r="BI83">
            <v>82881445907.259995</v>
          </cell>
          <cell r="BJ83">
            <v>82881445907.259995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</row>
        <row r="111">
          <cell r="C111">
            <v>883456123.25000012</v>
          </cell>
          <cell r="D111">
            <v>1335577787.25</v>
          </cell>
          <cell r="E111">
            <v>2122026963.5</v>
          </cell>
          <cell r="F111">
            <v>1890850641.95</v>
          </cell>
          <cell r="G111">
            <v>1818056544.2000003</v>
          </cell>
          <cell r="H111">
            <v>2680421433.8499994</v>
          </cell>
          <cell r="I111">
            <v>2410428192.0499997</v>
          </cell>
          <cell r="J111">
            <v>2294507719.0999999</v>
          </cell>
          <cell r="K111">
            <v>3159934126</v>
          </cell>
          <cell r="L111">
            <v>3027920539.3000002</v>
          </cell>
          <cell r="M111">
            <v>2980649379.6500001</v>
          </cell>
          <cell r="N111">
            <v>3022007852.5999999</v>
          </cell>
          <cell r="O111">
            <v>3029602096.8499999</v>
          </cell>
          <cell r="P111">
            <v>2966648929.3500004</v>
          </cell>
          <cell r="Q111">
            <v>3561164502.4500003</v>
          </cell>
          <cell r="R111">
            <v>3162246284.9499998</v>
          </cell>
          <cell r="S111">
            <v>2868607862.1500001</v>
          </cell>
          <cell r="T111">
            <v>3596833596.4500003</v>
          </cell>
          <cell r="U111">
            <v>3194692485.8000002</v>
          </cell>
          <cell r="V111">
            <v>2876091905.6000004</v>
          </cell>
          <cell r="W111">
            <v>3593642180.5</v>
          </cell>
          <cell r="X111">
            <v>3311421665.75</v>
          </cell>
          <cell r="Y111">
            <v>3118268834.5</v>
          </cell>
          <cell r="Z111">
            <v>3107665206.0500002</v>
          </cell>
          <cell r="AA111">
            <v>3101262801.1999998</v>
          </cell>
          <cell r="AB111">
            <v>3030230515.4499998</v>
          </cell>
          <cell r="AC111">
            <v>3634214570.0500002</v>
          </cell>
          <cell r="AD111">
            <v>3227064908.3499999</v>
          </cell>
          <cell r="AE111">
            <v>2927153471.0999999</v>
          </cell>
          <cell r="AF111">
            <v>3669637497.25</v>
          </cell>
          <cell r="AG111">
            <v>3259201149.0499997</v>
          </cell>
          <cell r="AH111">
            <v>2933828296.6999998</v>
          </cell>
          <cell r="AI111">
            <v>3665576325.5999999</v>
          </cell>
          <cell r="AJ111">
            <v>3377675340.75</v>
          </cell>
          <cell r="AK111">
            <v>3180641423.0999999</v>
          </cell>
          <cell r="AL111">
            <v>3169818509.9499998</v>
          </cell>
          <cell r="AM111">
            <v>3163288056.8500004</v>
          </cell>
          <cell r="AN111">
            <v>3090835126.1500001</v>
          </cell>
          <cell r="AO111">
            <v>3706898862.25</v>
          </cell>
          <cell r="AP111">
            <v>3291606206.5</v>
          </cell>
          <cell r="AQ111">
            <v>2985696540.25</v>
          </cell>
          <cell r="AR111">
            <v>3743030247.4500003</v>
          </cell>
          <cell r="AS111">
            <v>3324385171.2999997</v>
          </cell>
          <cell r="AT111">
            <v>2992504862.6000004</v>
          </cell>
          <cell r="AU111">
            <v>3738887852.3499999</v>
          </cell>
          <cell r="AV111">
            <v>3464783059.4000001</v>
          </cell>
          <cell r="AW111">
            <v>3273815618.9499998</v>
          </cell>
          <cell r="AX111">
            <v>3267147189.6000004</v>
          </cell>
          <cell r="AY111">
            <v>3264327954.6499996</v>
          </cell>
          <cell r="AZ111">
            <v>3193899712.9000001</v>
          </cell>
          <cell r="BA111">
            <v>3838380524.0500002</v>
          </cell>
          <cell r="BB111">
            <v>3375627581.9500003</v>
          </cell>
          <cell r="BC111">
            <v>3044555453.25</v>
          </cell>
          <cell r="BD111">
            <v>3795434182.25</v>
          </cell>
          <cell r="BE111">
            <v>3372143007.8000002</v>
          </cell>
          <cell r="BF111">
            <v>3034736998.7000003</v>
          </cell>
          <cell r="BG111">
            <v>3775688262.3499999</v>
          </cell>
          <cell r="BH111">
            <v>3775688262.3499999</v>
          </cell>
          <cell r="BI111">
            <v>3775688262.3499999</v>
          </cell>
          <cell r="BJ111">
            <v>3775688262.3499999</v>
          </cell>
        </row>
        <row r="125">
          <cell r="C125">
            <v>391733543.70000005</v>
          </cell>
          <cell r="D125">
            <v>660360111.30000007</v>
          </cell>
          <cell r="E125">
            <v>1112250414.5999999</v>
          </cell>
          <cell r="F125">
            <v>1162257748.2</v>
          </cell>
          <cell r="G125">
            <v>1250748359.0999999</v>
          </cell>
          <cell r="H125">
            <v>1683991755</v>
          </cell>
          <cell r="I125">
            <v>1661226477.3000002</v>
          </cell>
          <cell r="J125">
            <v>1610655900.3</v>
          </cell>
          <cell r="K125">
            <v>1971452830.5</v>
          </cell>
          <cell r="L125">
            <v>1914672665.6999998</v>
          </cell>
          <cell r="M125">
            <v>1838975162.4000001</v>
          </cell>
          <cell r="N125">
            <v>1852921463.4000001</v>
          </cell>
          <cell r="O125">
            <v>1835950772.7</v>
          </cell>
          <cell r="P125">
            <v>1789423278.3</v>
          </cell>
          <cell r="Q125">
            <v>2052925892.1000001</v>
          </cell>
          <cell r="R125">
            <v>1885876552.8</v>
          </cell>
          <cell r="S125">
            <v>1774698525.9000001</v>
          </cell>
          <cell r="T125">
            <v>2083085045.1000001</v>
          </cell>
          <cell r="U125">
            <v>1933767878.3999999</v>
          </cell>
          <cell r="V125">
            <v>1797246078.3</v>
          </cell>
          <cell r="W125">
            <v>2112232746.6000001</v>
          </cell>
          <cell r="X125">
            <v>2013109506.8999999</v>
          </cell>
          <cell r="Y125">
            <v>1909320853.5</v>
          </cell>
          <cell r="Z125">
            <v>1908820466.1000001</v>
          </cell>
          <cell r="AA125">
            <v>1882148942.6999996</v>
          </cell>
          <cell r="AB125">
            <v>1829481701.4000001</v>
          </cell>
          <cell r="AC125">
            <v>2096090361.9000001</v>
          </cell>
          <cell r="AD125">
            <v>1924544285.1000001</v>
          </cell>
          <cell r="AE125">
            <v>1810612920.6000001</v>
          </cell>
          <cell r="AF125">
            <v>2124982713.5999999</v>
          </cell>
          <cell r="AG125">
            <v>1972584188.1000001</v>
          </cell>
          <cell r="AH125">
            <v>1833268635.9000001</v>
          </cell>
          <cell r="AI125">
            <v>2154521238.2999997</v>
          </cell>
          <cell r="AJ125">
            <v>2053393108.1999998</v>
          </cell>
          <cell r="AK125">
            <v>1947515834.7</v>
          </cell>
          <cell r="AL125">
            <v>1947000481.2000003</v>
          </cell>
          <cell r="AM125">
            <v>1919793160.8000002</v>
          </cell>
          <cell r="AN125">
            <v>1866071561.4000001</v>
          </cell>
          <cell r="AO125">
            <v>2138012169.3000002</v>
          </cell>
          <cell r="AP125">
            <v>1963035170.0999999</v>
          </cell>
          <cell r="AQ125">
            <v>1846825178.3999999</v>
          </cell>
          <cell r="AR125">
            <v>2167482367.7999997</v>
          </cell>
          <cell r="AS125">
            <v>2012035871.6999998</v>
          </cell>
          <cell r="AT125">
            <v>1869934008.6000001</v>
          </cell>
          <cell r="AU125">
            <v>2197611663.2999997</v>
          </cell>
          <cell r="AV125">
            <v>2103131509.2</v>
          </cell>
          <cell r="AW125">
            <v>2001082408.2</v>
          </cell>
          <cell r="AX125">
            <v>2004778422.9000001</v>
          </cell>
          <cell r="AY125">
            <v>1981100528.0999999</v>
          </cell>
          <cell r="AZ125">
            <v>1930201206.3000002</v>
          </cell>
          <cell r="BA125">
            <v>2216088682.1999998</v>
          </cell>
          <cell r="BB125">
            <v>2022417371.6999998</v>
          </cell>
          <cell r="BC125">
            <v>1893505614.2999997</v>
          </cell>
          <cell r="BD125">
            <v>2206607703.3000002</v>
          </cell>
          <cell r="BE125">
            <v>2043553566.5999999</v>
          </cell>
          <cell r="BF125">
            <v>1892643578.9999998</v>
          </cell>
          <cell r="BG125">
            <v>2214929669.4000006</v>
          </cell>
          <cell r="BH125">
            <v>2214929669.4000006</v>
          </cell>
          <cell r="BI125">
            <v>2214929669.4000006</v>
          </cell>
          <cell r="BJ125">
            <v>2214929669.4000006</v>
          </cell>
        </row>
        <row r="139">
          <cell r="C139">
            <v>1308556303.2</v>
          </cell>
          <cell r="D139">
            <v>2205883055.7000003</v>
          </cell>
          <cell r="E139">
            <v>3715388469.9000001</v>
          </cell>
          <cell r="F139">
            <v>3882434190.3000002</v>
          </cell>
          <cell r="G139">
            <v>4178030387.4000001</v>
          </cell>
          <cell r="H139">
            <v>5625247216.5</v>
          </cell>
          <cell r="I139">
            <v>5549201525.6999998</v>
          </cell>
          <cell r="J139">
            <v>5380274333.6999998</v>
          </cell>
          <cell r="K139">
            <v>6585489218.7000008</v>
          </cell>
          <cell r="L139">
            <v>6395819370.3000002</v>
          </cell>
          <cell r="M139">
            <v>6142957578.8999996</v>
          </cell>
          <cell r="N139">
            <v>6189544143.8999996</v>
          </cell>
          <cell r="O139">
            <v>6132854832.2999992</v>
          </cell>
          <cell r="P139">
            <v>5977433253.6000004</v>
          </cell>
          <cell r="Q139">
            <v>6857643825</v>
          </cell>
          <cell r="R139">
            <v>6299628129.9000006</v>
          </cell>
          <cell r="S139">
            <v>5928246330.3000002</v>
          </cell>
          <cell r="T139">
            <v>6958388197.8000002</v>
          </cell>
          <cell r="U139">
            <v>6459605484.3000002</v>
          </cell>
          <cell r="V139">
            <v>6003564724.8000002</v>
          </cell>
          <cell r="W139">
            <v>7055753890.5</v>
          </cell>
          <cell r="X139">
            <v>6724640198.6999998</v>
          </cell>
          <cell r="Y139">
            <v>6377942043</v>
          </cell>
          <cell r="Z139">
            <v>6376270536.8999996</v>
          </cell>
          <cell r="AA139">
            <v>6287176328.4000006</v>
          </cell>
          <cell r="AB139">
            <v>6111245391.3000011</v>
          </cell>
          <cell r="AC139">
            <v>7001831475.9000006</v>
          </cell>
          <cell r="AD139">
            <v>6428794766.3999996</v>
          </cell>
          <cell r="AE139">
            <v>6048215652.5999994</v>
          </cell>
          <cell r="AF139">
            <v>7098344192.7000008</v>
          </cell>
          <cell r="AG139">
            <v>6589268432.0999994</v>
          </cell>
          <cell r="AH139">
            <v>6123895358.3999996</v>
          </cell>
          <cell r="AI139">
            <v>7197015404.7000008</v>
          </cell>
          <cell r="AJ139">
            <v>6859204526.6999998</v>
          </cell>
          <cell r="AK139">
            <v>6505529493.6000004</v>
          </cell>
          <cell r="AL139">
            <v>6503807994.3000002</v>
          </cell>
          <cell r="AM139">
            <v>6412923996.3000002</v>
          </cell>
          <cell r="AN139">
            <v>6233471051.3999996</v>
          </cell>
          <cell r="AO139">
            <v>7141868105.3999996</v>
          </cell>
          <cell r="AP139">
            <v>6557370661.7999992</v>
          </cell>
          <cell r="AQ139">
            <v>6169179965.4000006</v>
          </cell>
          <cell r="AR139">
            <v>7240311076.5</v>
          </cell>
          <cell r="AS139">
            <v>6721053801.2999992</v>
          </cell>
          <cell r="AT139">
            <v>6246373266.000001</v>
          </cell>
          <cell r="AU139">
            <v>7340955712.1999998</v>
          </cell>
          <cell r="AV139">
            <v>7025351896.8000011</v>
          </cell>
          <cell r="AW139">
            <v>6684464584.8000002</v>
          </cell>
          <cell r="AX139">
            <v>6696810842.4000006</v>
          </cell>
          <cell r="AY139">
            <v>6617716623</v>
          </cell>
          <cell r="AZ139">
            <v>6447691284.2999992</v>
          </cell>
          <cell r="BA139">
            <v>7402676798.7000008</v>
          </cell>
          <cell r="BB139">
            <v>6755732418.6000004</v>
          </cell>
          <cell r="BC139">
            <v>6325112431.8000002</v>
          </cell>
          <cell r="BD139">
            <v>7371006304.500001</v>
          </cell>
          <cell r="BE139">
            <v>6826336280.1000004</v>
          </cell>
          <cell r="BF139">
            <v>6322232867.3999996</v>
          </cell>
          <cell r="BG139">
            <v>7398805202.0999994</v>
          </cell>
          <cell r="BH139">
            <v>7398805202.0999994</v>
          </cell>
          <cell r="BI139">
            <v>7398805202.0999994</v>
          </cell>
          <cell r="BJ139">
            <v>7398805202.0999994</v>
          </cell>
        </row>
        <row r="153">
          <cell r="C153">
            <v>1288044692.55</v>
          </cell>
          <cell r="D153">
            <v>2523139462.7999997</v>
          </cell>
          <cell r="E153">
            <v>4366401917.1300001</v>
          </cell>
          <cell r="F153">
            <v>5059479870.7199993</v>
          </cell>
          <cell r="G153">
            <v>5615457147.6300001</v>
          </cell>
          <cell r="H153">
            <v>7248022134.2099991</v>
          </cell>
          <cell r="I153">
            <v>7647910860.1500006</v>
          </cell>
          <cell r="J153">
            <v>7660527246.9000006</v>
          </cell>
          <cell r="K153">
            <v>8867246209.4700012</v>
          </cell>
          <cell r="L153">
            <v>9077321324.6100006</v>
          </cell>
          <cell r="M153">
            <v>8870254066.079998</v>
          </cell>
          <cell r="N153">
            <v>8782204747.1399994</v>
          </cell>
          <cell r="O153">
            <v>8781754901.039999</v>
          </cell>
          <cell r="P153">
            <v>8627586449.1299992</v>
          </cell>
          <cell r="Q153">
            <v>9370585886.3099995</v>
          </cell>
          <cell r="R153">
            <v>9071177233.1400013</v>
          </cell>
          <cell r="S153">
            <v>8644910883.8400002</v>
          </cell>
          <cell r="T153">
            <v>9500606917.5600014</v>
          </cell>
          <cell r="U153">
            <v>9259870550.0400009</v>
          </cell>
          <cell r="V153">
            <v>8758701963.9899998</v>
          </cell>
          <cell r="W153">
            <v>9618608462.7600002</v>
          </cell>
          <cell r="X153">
            <v>9599543774.3699989</v>
          </cell>
          <cell r="Y153">
            <v>9248803708.3200016</v>
          </cell>
          <cell r="Z153">
            <v>9071519266.2600002</v>
          </cell>
          <cell r="AA153">
            <v>9018693379.0799999</v>
          </cell>
          <cell r="AB153">
            <v>8831123890.3800011</v>
          </cell>
          <cell r="AC153">
            <v>9572312492.8199997</v>
          </cell>
          <cell r="AD153">
            <v>9258763267.710001</v>
          </cell>
          <cell r="AE153">
            <v>8820669660.6599998</v>
          </cell>
          <cell r="AF153">
            <v>9691970932.710001</v>
          </cell>
          <cell r="AG153">
            <v>9445858808.7600002</v>
          </cell>
          <cell r="AH153">
            <v>8934342527.8799992</v>
          </cell>
          <cell r="AI153">
            <v>9811240965.8999996</v>
          </cell>
          <cell r="AJ153">
            <v>9791671640.8500004</v>
          </cell>
          <cell r="AK153">
            <v>9433846440.8099995</v>
          </cell>
          <cell r="AL153">
            <v>9252977470.1099987</v>
          </cell>
          <cell r="AM153">
            <v>9199075644.9899998</v>
          </cell>
          <cell r="AN153">
            <v>9007748467.7399998</v>
          </cell>
          <cell r="AO153">
            <v>9763758742.3199997</v>
          </cell>
          <cell r="AP153">
            <v>9443938533.4799995</v>
          </cell>
          <cell r="AQ153">
            <v>8997083054.1900005</v>
          </cell>
          <cell r="AR153">
            <v>9885810351.7799988</v>
          </cell>
          <cell r="AS153">
            <v>9634775985.4500008</v>
          </cell>
          <cell r="AT153">
            <v>9113029379.1899986</v>
          </cell>
          <cell r="AU153">
            <v>10007465785.02</v>
          </cell>
          <cell r="AV153">
            <v>10016014354.83</v>
          </cell>
          <cell r="AW153">
            <v>9678369950.3699989</v>
          </cell>
          <cell r="AX153">
            <v>9515675754.0900021</v>
          </cell>
          <cell r="AY153">
            <v>9480599482.8599987</v>
          </cell>
          <cell r="AZ153">
            <v>9305074772.7299995</v>
          </cell>
          <cell r="BA153">
            <v>10110768655.68</v>
          </cell>
          <cell r="BB153">
            <v>9744194588.039999</v>
          </cell>
          <cell r="BC153">
            <v>9244994046.75</v>
          </cell>
          <cell r="BD153">
            <v>10094121269.1</v>
          </cell>
          <cell r="BE153">
            <v>9807071218.5600014</v>
          </cell>
          <cell r="BF153">
            <v>9243595548.0000019</v>
          </cell>
          <cell r="BG153">
            <v>10105045534.98</v>
          </cell>
          <cell r="BH153">
            <v>10105045534.98</v>
          </cell>
          <cell r="BI153">
            <v>10105045534.98</v>
          </cell>
          <cell r="BJ153">
            <v>10105045534.98</v>
          </cell>
        </row>
        <row r="167">
          <cell r="C167">
            <v>1288044692.55</v>
          </cell>
          <cell r="D167">
            <v>2523139462.7999997</v>
          </cell>
          <cell r="E167">
            <v>4366401917.1300001</v>
          </cell>
          <cell r="F167">
            <v>5059479870.7199993</v>
          </cell>
          <cell r="G167">
            <v>5615457147.6300001</v>
          </cell>
          <cell r="H167">
            <v>7248022134.2099991</v>
          </cell>
          <cell r="I167">
            <v>7647910860.1500006</v>
          </cell>
          <cell r="J167">
            <v>7660527246.9000006</v>
          </cell>
          <cell r="K167">
            <v>8867246209.4700012</v>
          </cell>
          <cell r="L167">
            <v>9077321324.6100006</v>
          </cell>
          <cell r="M167">
            <v>8870254066.079998</v>
          </cell>
          <cell r="N167">
            <v>8782204747.1399994</v>
          </cell>
          <cell r="O167">
            <v>8781754901.039999</v>
          </cell>
          <cell r="P167">
            <v>8627586449.1299992</v>
          </cell>
          <cell r="Q167">
            <v>9370585886.3099995</v>
          </cell>
          <cell r="R167">
            <v>9071177233.1400013</v>
          </cell>
          <cell r="S167">
            <v>8644910883.8400002</v>
          </cell>
          <cell r="T167">
            <v>9500606917.5600014</v>
          </cell>
          <cell r="U167">
            <v>9259870550.0400009</v>
          </cell>
          <cell r="V167">
            <v>8758701963.9899998</v>
          </cell>
          <cell r="W167">
            <v>9618608462.7600002</v>
          </cell>
          <cell r="X167">
            <v>9599543774.3699989</v>
          </cell>
          <cell r="Y167">
            <v>9248803708.3200016</v>
          </cell>
          <cell r="Z167">
            <v>9071519266.2600002</v>
          </cell>
          <cell r="AA167">
            <v>9018693379.0799999</v>
          </cell>
          <cell r="AB167">
            <v>8831123890.3800011</v>
          </cell>
          <cell r="AC167">
            <v>9572312492.8199997</v>
          </cell>
          <cell r="AD167">
            <v>9258763267.710001</v>
          </cell>
          <cell r="AE167">
            <v>8820669660.6599998</v>
          </cell>
          <cell r="AF167">
            <v>9691970932.710001</v>
          </cell>
          <cell r="AG167">
            <v>9445858808.7600002</v>
          </cell>
          <cell r="AH167">
            <v>8934342527.8799992</v>
          </cell>
          <cell r="AI167">
            <v>9811240965.8999996</v>
          </cell>
          <cell r="AJ167">
            <v>9791671640.8500004</v>
          </cell>
          <cell r="AK167">
            <v>9433846440.8099995</v>
          </cell>
          <cell r="AL167">
            <v>9252977470.1099987</v>
          </cell>
          <cell r="AM167">
            <v>9199075644.9899998</v>
          </cell>
          <cell r="AN167">
            <v>9007748467.7399998</v>
          </cell>
          <cell r="AO167">
            <v>9763758742.3199997</v>
          </cell>
          <cell r="AP167">
            <v>9443938533.4799995</v>
          </cell>
          <cell r="AQ167">
            <v>8997083054.1900005</v>
          </cell>
          <cell r="AR167">
            <v>9885810351.7799988</v>
          </cell>
          <cell r="AS167">
            <v>9634775985.4500008</v>
          </cell>
          <cell r="AT167">
            <v>9113029379.1899986</v>
          </cell>
          <cell r="AU167">
            <v>10007465785.02</v>
          </cell>
          <cell r="AV167">
            <v>10016014354.83</v>
          </cell>
          <cell r="AW167">
            <v>9678369950.3699989</v>
          </cell>
          <cell r="AX167">
            <v>9515675754.0900021</v>
          </cell>
          <cell r="AY167">
            <v>9480599482.8599987</v>
          </cell>
          <cell r="AZ167">
            <v>9305074772.7299995</v>
          </cell>
          <cell r="BA167">
            <v>10110768655.68</v>
          </cell>
          <cell r="BB167">
            <v>9744194588.039999</v>
          </cell>
          <cell r="BC167">
            <v>9244994046.75</v>
          </cell>
          <cell r="BD167">
            <v>10094121269.1</v>
          </cell>
          <cell r="BE167">
            <v>9807071218.5600014</v>
          </cell>
          <cell r="BF167">
            <v>9243595548.0000019</v>
          </cell>
          <cell r="BG167">
            <v>10105045534.98</v>
          </cell>
          <cell r="BH167">
            <v>10105045534.98</v>
          </cell>
          <cell r="BI167">
            <v>10105045534.98</v>
          </cell>
          <cell r="BJ167">
            <v>10105045534.98</v>
          </cell>
        </row>
        <row r="181">
          <cell r="C181">
            <v>1117353853.4400001</v>
          </cell>
          <cell r="D181">
            <v>2010591997.9200001</v>
          </cell>
          <cell r="E181">
            <v>3721288156.7399998</v>
          </cell>
          <cell r="F181">
            <v>3797630140.5899997</v>
          </cell>
          <cell r="G181">
            <v>3446786371.0500002</v>
          </cell>
          <cell r="H181">
            <v>3548056097.5199995</v>
          </cell>
          <cell r="I181">
            <v>3469297714.7399998</v>
          </cell>
          <cell r="J181">
            <v>3501616499.3699999</v>
          </cell>
          <cell r="K181">
            <v>4870243819.9799995</v>
          </cell>
          <cell r="L181">
            <v>4774393148.5799999</v>
          </cell>
          <cell r="M181">
            <v>4324891050.8099995</v>
          </cell>
          <cell r="N181">
            <v>4208428272.5100002</v>
          </cell>
          <cell r="O181">
            <v>4067900184.1500001</v>
          </cell>
          <cell r="P181">
            <v>4057727090.6699996</v>
          </cell>
          <cell r="Q181">
            <v>5564628362.6999998</v>
          </cell>
          <cell r="R181">
            <v>5290947964.1700001</v>
          </cell>
          <cell r="S181">
            <v>4651235615.0699997</v>
          </cell>
          <cell r="T181">
            <v>4580939707.7399998</v>
          </cell>
          <cell r="U181">
            <v>4350090847.4099998</v>
          </cell>
          <cell r="V181">
            <v>4267864665.8999996</v>
          </cell>
          <cell r="W181">
            <v>5828713400.0699997</v>
          </cell>
          <cell r="X181">
            <v>5676964915.0500002</v>
          </cell>
          <cell r="Y181">
            <v>5117762700.2700005</v>
          </cell>
          <cell r="Z181">
            <v>4967030898.7199993</v>
          </cell>
          <cell r="AA181">
            <v>4791734163.8100004</v>
          </cell>
          <cell r="AB181">
            <v>4775167813.6799994</v>
          </cell>
          <cell r="AC181">
            <v>6542094917.1600008</v>
          </cell>
          <cell r="AD181">
            <v>6218678178.9000006</v>
          </cell>
          <cell r="AE181">
            <v>5465384756.3699999</v>
          </cell>
          <cell r="AF181">
            <v>5381661947.3100004</v>
          </cell>
          <cell r="AG181">
            <v>5110168929.0299997</v>
          </cell>
          <cell r="AH181">
            <v>5013376427.0700006</v>
          </cell>
          <cell r="AI181">
            <v>6846714591.749999</v>
          </cell>
          <cell r="AJ181">
            <v>6649611339.6899996</v>
          </cell>
          <cell r="AK181">
            <v>5977691169.1199999</v>
          </cell>
          <cell r="AL181">
            <v>5793319631.8800001</v>
          </cell>
          <cell r="AM181">
            <v>5582226951.1799994</v>
          </cell>
          <cell r="AN181">
            <v>5560169227.4700003</v>
          </cell>
          <cell r="AO181">
            <v>7611956897.4900007</v>
          </cell>
          <cell r="AP181">
            <v>7234097129.8200006</v>
          </cell>
          <cell r="AQ181">
            <v>6356117253.4200001</v>
          </cell>
          <cell r="AR181">
            <v>6257410140.96</v>
          </cell>
          <cell r="AS181">
            <v>5941387708.7399998</v>
          </cell>
          <cell r="AT181">
            <v>5828613187.3199997</v>
          </cell>
          <cell r="AU181">
            <v>7959883659.75</v>
          </cell>
          <cell r="AV181">
            <v>7510235223.1499996</v>
          </cell>
          <cell r="AW181">
            <v>6552821340.4499998</v>
          </cell>
          <cell r="AX181">
            <v>6252887446.7399998</v>
          </cell>
          <cell r="AY181">
            <v>5946777906.3000002</v>
          </cell>
          <cell r="AZ181">
            <v>5890661780.8499994</v>
          </cell>
          <cell r="BA181">
            <v>7998049386.3599997</v>
          </cell>
          <cell r="BB181">
            <v>7507091699.9099998</v>
          </cell>
          <cell r="BC181">
            <v>6506468284.1400003</v>
          </cell>
          <cell r="BD181">
            <v>6351258058.1999998</v>
          </cell>
          <cell r="BE181">
            <v>5998236112.4400005</v>
          </cell>
          <cell r="BF181">
            <v>5870310518.1600008</v>
          </cell>
          <cell r="BG181">
            <v>7989969247.9200001</v>
          </cell>
          <cell r="BH181">
            <v>7989969247.9200001</v>
          </cell>
          <cell r="BI181">
            <v>7989969247.9200001</v>
          </cell>
          <cell r="BJ181">
            <v>7989969247.9200001</v>
          </cell>
        </row>
        <row r="202">
          <cell r="C202">
            <v>47347455064.815849</v>
          </cell>
          <cell r="D202">
            <v>104071547432.73981</v>
          </cell>
          <cell r="E202">
            <v>205827767522.88956</v>
          </cell>
          <cell r="F202">
            <v>265228946882.38745</v>
          </cell>
          <cell r="G202">
            <v>304606627361.80463</v>
          </cell>
          <cell r="H202">
            <v>367158868771.74634</v>
          </cell>
          <cell r="I202">
            <v>432854359272.79492</v>
          </cell>
          <cell r="J202">
            <v>497613555791.73248</v>
          </cell>
          <cell r="K202">
            <v>615994118539.55005</v>
          </cell>
          <cell r="L202">
            <v>687982209783.57166</v>
          </cell>
          <cell r="M202">
            <v>738177461555.93542</v>
          </cell>
          <cell r="N202">
            <v>805400072146.75854</v>
          </cell>
          <cell r="O202">
            <v>869480725698.72693</v>
          </cell>
          <cell r="P202">
            <v>932113577253.68237</v>
          </cell>
          <cell r="Q202">
            <v>1053001300539.1951</v>
          </cell>
          <cell r="R202">
            <v>1117755123819.1226</v>
          </cell>
          <cell r="S202">
            <v>1157275371204.9155</v>
          </cell>
          <cell r="T202">
            <v>1216771813159.1545</v>
          </cell>
          <cell r="U202">
            <v>1275505360705.3591</v>
          </cell>
          <cell r="V202">
            <v>1330813483828.1609</v>
          </cell>
          <cell r="W202">
            <v>1444966012612.8875</v>
          </cell>
          <cell r="X202">
            <v>1504612938094.7273</v>
          </cell>
          <cell r="Y202">
            <v>1541089567382.4055</v>
          </cell>
          <cell r="Z202">
            <v>1594930947113.8687</v>
          </cell>
          <cell r="AA202">
            <v>1645344816902.418</v>
          </cell>
          <cell r="AB202">
            <v>1680281380305.5063</v>
          </cell>
          <cell r="AC202">
            <v>1781543350257.3098</v>
          </cell>
          <cell r="AD202">
            <v>1803368443144.8262</v>
          </cell>
          <cell r="AE202">
            <v>1815909801606.3352</v>
          </cell>
          <cell r="AF202">
            <v>1850455300448.3486</v>
          </cell>
          <cell r="AG202">
            <v>1882916488841.9907</v>
          </cell>
          <cell r="AH202">
            <v>1913743217252.458</v>
          </cell>
          <cell r="AI202">
            <v>2011536777617.3311</v>
          </cell>
          <cell r="AJ202">
            <v>2030057173128.8083</v>
          </cell>
          <cell r="AK202">
            <v>2039428712693.2729</v>
          </cell>
          <cell r="AL202">
            <v>2067673928329.1907</v>
          </cell>
          <cell r="AM202">
            <v>2092932826064.5676</v>
          </cell>
          <cell r="AN202">
            <v>2117736545079.0017</v>
          </cell>
          <cell r="AO202">
            <v>2217482997685.186</v>
          </cell>
          <cell r="AP202">
            <v>2226753032338.147</v>
          </cell>
          <cell r="AQ202">
            <v>2228695877646.0693</v>
          </cell>
          <cell r="AR202">
            <v>2254460365769.7061</v>
          </cell>
          <cell r="AS202">
            <v>2277359318535.0952</v>
          </cell>
          <cell r="AT202">
            <v>2299665636663.5293</v>
          </cell>
          <cell r="AU202">
            <v>2398012849207.7896</v>
          </cell>
          <cell r="AV202">
            <v>2400043776289.8052</v>
          </cell>
          <cell r="AW202">
            <v>2395412534532.2256</v>
          </cell>
          <cell r="AX202">
            <v>2410696716326.3291</v>
          </cell>
          <cell r="AY202">
            <v>2422728018726.4614</v>
          </cell>
          <cell r="AZ202">
            <v>2434534243069.3623</v>
          </cell>
          <cell r="BA202">
            <v>2524377039368.291</v>
          </cell>
          <cell r="BB202">
            <v>2514698156521.2964</v>
          </cell>
          <cell r="BC202">
            <v>2500050740493.1509</v>
          </cell>
          <cell r="BD202">
            <v>2510262481452.3174</v>
          </cell>
          <cell r="BE202">
            <v>2517050915360.7837</v>
          </cell>
          <cell r="BF202">
            <v>2523490875117.3062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</row>
      </sheetData>
      <sheetData sheetId="28">
        <row r="5">
          <cell r="D5">
            <v>1.7121000000000001E-2</v>
          </cell>
          <cell r="E5">
            <v>1.7121000000000001E-2</v>
          </cell>
          <cell r="F5">
            <v>1.7430000000000001E-2</v>
          </cell>
          <cell r="G5">
            <v>1.7669000000000001E-2</v>
          </cell>
          <cell r="H5">
            <v>1.7906999999999999E-2</v>
          </cell>
          <cell r="I5">
            <v>1.8154E-2</v>
          </cell>
          <cell r="J5">
            <v>1.84E-2</v>
          </cell>
          <cell r="K5">
            <v>1.8617999999999999E-2</v>
          </cell>
          <cell r="L5">
            <v>1.8824999999999998E-2</v>
          </cell>
          <cell r="M5">
            <v>1.9044999999999999E-2</v>
          </cell>
          <cell r="N5">
            <v>1.9272999999999998E-2</v>
          </cell>
          <cell r="O5">
            <v>1.9486999999999997E-2</v>
          </cell>
          <cell r="P5">
            <v>1.9689999999999999E-2</v>
          </cell>
          <cell r="Q5">
            <v>1.9910000000000001E-2</v>
          </cell>
          <cell r="R5">
            <v>2.0108999999999998E-2</v>
          </cell>
          <cell r="S5">
            <v>2.0315999999999997E-2</v>
          </cell>
          <cell r="T5">
            <v>2.0541999999999998E-2</v>
          </cell>
          <cell r="U5">
            <v>2.0729999999999998E-2</v>
          </cell>
          <cell r="V5">
            <v>2.0958999999999998E-2</v>
          </cell>
          <cell r="W5">
            <v>2.1144E-2</v>
          </cell>
          <cell r="X5">
            <v>2.1328999999999997E-2</v>
          </cell>
          <cell r="Y5">
            <v>2.1529E-2</v>
          </cell>
          <cell r="Z5">
            <v>2.1753999999999999E-2</v>
          </cell>
          <cell r="AA5">
            <v>2.1919999999999999E-2</v>
          </cell>
          <cell r="AB5">
            <v>2.2107999999999999E-2</v>
          </cell>
          <cell r="AC5">
            <v>2.2308999999999999E-2</v>
          </cell>
          <cell r="AD5">
            <v>2.2484999999999998E-2</v>
          </cell>
          <cell r="AE5">
            <v>2.266E-2</v>
          </cell>
          <cell r="AF5">
            <v>2.2841999999999998E-2</v>
          </cell>
          <cell r="AG5">
            <v>2.3011E-2</v>
          </cell>
          <cell r="AH5">
            <v>2.3198E-2</v>
          </cell>
          <cell r="AI5">
            <v>2.3358999999999998E-2</v>
          </cell>
          <cell r="AJ5">
            <v>2.3512999999999999E-2</v>
          </cell>
          <cell r="AK5">
            <v>2.368E-2</v>
          </cell>
          <cell r="AL5">
            <v>2.3862999999999999E-2</v>
          </cell>
          <cell r="AM5">
            <v>2.4003999999999998E-2</v>
          </cell>
          <cell r="AN5">
            <v>2.4159999999999997E-2</v>
          </cell>
          <cell r="AO5">
            <v>2.4320999999999999E-2</v>
          </cell>
          <cell r="AP5">
            <v>2.4475999999999998E-2</v>
          </cell>
          <cell r="AQ5">
            <v>2.4636999999999999E-2</v>
          </cell>
          <cell r="AR5">
            <v>2.478E-2</v>
          </cell>
          <cell r="AS5">
            <v>2.4923999999999998E-2</v>
          </cell>
          <cell r="AT5">
            <v>2.5083999999999999E-2</v>
          </cell>
          <cell r="AU5">
            <v>2.5221E-2</v>
          </cell>
          <cell r="AV5">
            <v>2.5352E-2</v>
          </cell>
          <cell r="AW5">
            <v>2.5503999999999999E-2</v>
          </cell>
          <cell r="AX5">
            <v>2.5631999999999999E-2</v>
          </cell>
          <cell r="AY5">
            <v>2.5769E-2</v>
          </cell>
          <cell r="AZ5">
            <v>2.5911E-2</v>
          </cell>
          <cell r="BA5">
            <v>2.6036999999999998E-2</v>
          </cell>
          <cell r="BB5">
            <v>2.6171E-2</v>
          </cell>
          <cell r="BC5">
            <v>2.6304999999999999E-2</v>
          </cell>
          <cell r="BD5">
            <v>2.6432000000000001E-2</v>
          </cell>
          <cell r="BE5">
            <v>2.6556E-2</v>
          </cell>
          <cell r="BF5">
            <v>2.6692999999999998E-2</v>
          </cell>
          <cell r="BG5">
            <v>2.6810999999999998E-2</v>
          </cell>
          <cell r="BH5">
            <v>2.6925999999999999E-2</v>
          </cell>
          <cell r="BI5">
            <v>2.7049E-2</v>
          </cell>
          <cell r="BJ5">
            <v>2.7049E-2</v>
          </cell>
          <cell r="BK5">
            <v>2.7049E-2</v>
          </cell>
          <cell r="BL5">
            <v>2.7049E-2</v>
          </cell>
        </row>
        <row r="6">
          <cell r="D6">
            <v>1.6767000000000001E-2</v>
          </cell>
          <cell r="E6">
            <v>1.6767000000000001E-2</v>
          </cell>
          <cell r="F6">
            <v>1.7083000000000001E-2</v>
          </cell>
          <cell r="G6">
            <v>1.7326000000000001E-2</v>
          </cell>
          <cell r="H6">
            <v>1.7566999999999999E-2</v>
          </cell>
          <cell r="I6">
            <v>1.7817E-2</v>
          </cell>
          <cell r="J6">
            <v>1.8065999999999999E-2</v>
          </cell>
          <cell r="K6">
            <v>1.8286999999999998E-2</v>
          </cell>
          <cell r="L6">
            <v>1.8495999999999999E-2</v>
          </cell>
          <cell r="M6">
            <v>1.8720000000000001E-2</v>
          </cell>
          <cell r="N6">
            <v>1.8951999999999997E-2</v>
          </cell>
          <cell r="O6">
            <v>1.9167999999999998E-2</v>
          </cell>
          <cell r="P6">
            <v>1.9374000000000002E-2</v>
          </cell>
          <cell r="Q6">
            <v>1.9596000000000002E-2</v>
          </cell>
          <cell r="R6">
            <v>1.9798000000000003E-2</v>
          </cell>
          <cell r="S6">
            <v>2.0008999999999999E-2</v>
          </cell>
          <cell r="T6">
            <v>2.0237999999999999E-2</v>
          </cell>
          <cell r="U6">
            <v>2.0429000000000003E-2</v>
          </cell>
          <cell r="V6">
            <v>2.0662E-2</v>
          </cell>
          <cell r="W6">
            <v>2.0851000000000001E-2</v>
          </cell>
          <cell r="X6">
            <v>2.1038000000000001E-2</v>
          </cell>
          <cell r="Y6">
            <v>2.1241999999999997E-2</v>
          </cell>
          <cell r="Z6">
            <v>2.1470999999999997E-2</v>
          </cell>
          <cell r="AA6">
            <v>2.164E-2</v>
          </cell>
          <cell r="AB6">
            <v>2.1831999999999997E-2</v>
          </cell>
          <cell r="AC6">
            <v>2.2036E-2</v>
          </cell>
          <cell r="AD6">
            <v>2.2213999999999998E-2</v>
          </cell>
          <cell r="AE6">
            <v>2.2393000000000003E-2</v>
          </cell>
          <cell r="AF6">
            <v>2.2577E-2</v>
          </cell>
          <cell r="AG6">
            <v>2.2747999999999997E-2</v>
          </cell>
          <cell r="AH6">
            <v>2.2938E-2</v>
          </cell>
          <cell r="AI6">
            <v>2.3100999999999997E-2</v>
          </cell>
          <cell r="AJ6">
            <v>2.3258000000000001E-2</v>
          </cell>
          <cell r="AK6">
            <v>2.3427000000000003E-2</v>
          </cell>
          <cell r="AL6">
            <v>2.3613000000000002E-2</v>
          </cell>
          <cell r="AM6">
            <v>2.3755999999999999E-2</v>
          </cell>
          <cell r="AN6">
            <v>2.3913999999999998E-2</v>
          </cell>
          <cell r="AO6">
            <v>2.4077000000000001E-2</v>
          </cell>
          <cell r="AP6">
            <v>2.4233999999999999E-2</v>
          </cell>
          <cell r="AQ6">
            <v>2.4397000000000002E-2</v>
          </cell>
          <cell r="AR6">
            <v>2.4542000000000001E-2</v>
          </cell>
          <cell r="AS6">
            <v>2.4688000000000002E-2</v>
          </cell>
          <cell r="AT6">
            <v>2.4849000000000003E-2</v>
          </cell>
          <cell r="AU6">
            <v>2.4987000000000002E-2</v>
          </cell>
          <cell r="AV6">
            <v>2.5119999999999996E-2</v>
          </cell>
          <cell r="AW6">
            <v>2.5272999999999997E-2</v>
          </cell>
          <cell r="AX6">
            <v>2.5403000000000002E-2</v>
          </cell>
          <cell r="AY6">
            <v>2.5541000000000001E-2</v>
          </cell>
          <cell r="AZ6">
            <v>2.5683999999999998E-2</v>
          </cell>
          <cell r="BA6">
            <v>2.5812000000000002E-2</v>
          </cell>
          <cell r="BB6">
            <v>2.5946999999999998E-2</v>
          </cell>
          <cell r="BC6">
            <v>2.6083000000000002E-2</v>
          </cell>
          <cell r="BD6">
            <v>2.6211999999999999E-2</v>
          </cell>
          <cell r="BE6">
            <v>2.6338E-2</v>
          </cell>
          <cell r="BF6">
            <v>2.6476E-2</v>
          </cell>
          <cell r="BG6">
            <v>2.6595000000000001E-2</v>
          </cell>
          <cell r="BH6">
            <v>2.6712E-2</v>
          </cell>
          <cell r="BI6">
            <v>2.6835999999999999E-2</v>
          </cell>
          <cell r="BJ6">
            <v>2.6835999999999999E-2</v>
          </cell>
          <cell r="BK6">
            <v>2.6835999999999999E-2</v>
          </cell>
          <cell r="BL6">
            <v>2.6835999999999999E-2</v>
          </cell>
        </row>
        <row r="7">
          <cell r="D7">
            <v>1.5389E-2</v>
          </cell>
          <cell r="E7">
            <v>1.5389E-2</v>
          </cell>
          <cell r="F7">
            <v>1.5733999999999998E-2</v>
          </cell>
          <cell r="G7">
            <v>1.6E-2</v>
          </cell>
          <cell r="H7">
            <v>1.6254000000000001E-2</v>
          </cell>
          <cell r="I7">
            <v>1.6521000000000001E-2</v>
          </cell>
          <cell r="J7">
            <v>1.6789999999999999E-2</v>
          </cell>
          <cell r="K7">
            <v>1.7020999999999998E-2</v>
          </cell>
          <cell r="L7">
            <v>1.7242999999999998E-2</v>
          </cell>
          <cell r="M7">
            <v>1.7489999999999999E-2</v>
          </cell>
          <cell r="N7">
            <v>1.7735000000000001E-2</v>
          </cell>
          <cell r="O7">
            <v>1.7961999999999999E-2</v>
          </cell>
          <cell r="P7">
            <v>1.8187999999999999E-2</v>
          </cell>
          <cell r="Q7">
            <v>1.8416999999999999E-2</v>
          </cell>
          <cell r="R7">
            <v>1.8636999999999997E-2</v>
          </cell>
          <cell r="S7">
            <v>1.8865999999999997E-2</v>
          </cell>
          <cell r="T7">
            <v>1.9108E-2</v>
          </cell>
          <cell r="U7">
            <v>1.9314999999999999E-2</v>
          </cell>
          <cell r="V7">
            <v>1.9563999999999998E-2</v>
          </cell>
          <cell r="W7">
            <v>1.9767999999999997E-2</v>
          </cell>
          <cell r="X7">
            <v>1.9972E-2</v>
          </cell>
          <cell r="Y7">
            <v>2.0194E-2</v>
          </cell>
          <cell r="Z7">
            <v>2.0441999999999998E-2</v>
          </cell>
          <cell r="AA7">
            <v>2.0627E-2</v>
          </cell>
          <cell r="AB7">
            <v>2.0832E-2</v>
          </cell>
          <cell r="AC7">
            <v>2.1051E-2</v>
          </cell>
          <cell r="AD7">
            <v>2.1245999999999998E-2</v>
          </cell>
          <cell r="AE7">
            <v>2.1436E-2</v>
          </cell>
          <cell r="AF7">
            <v>2.163E-2</v>
          </cell>
          <cell r="AG7">
            <v>2.1817999999999997E-2</v>
          </cell>
          <cell r="AH7">
            <v>2.2019E-2</v>
          </cell>
          <cell r="AI7">
            <v>2.2197999999999999E-2</v>
          </cell>
          <cell r="AJ7">
            <v>2.2365999999999997E-2</v>
          </cell>
          <cell r="AK7">
            <v>2.2546E-2</v>
          </cell>
          <cell r="AL7">
            <v>2.2745999999999999E-2</v>
          </cell>
          <cell r="AM7">
            <v>2.2901999999999999E-2</v>
          </cell>
          <cell r="AN7">
            <v>2.307E-2</v>
          </cell>
          <cell r="AO7">
            <v>2.3243E-2</v>
          </cell>
          <cell r="AP7">
            <v>2.341E-2</v>
          </cell>
          <cell r="AQ7">
            <v>2.3578999999999999E-2</v>
          </cell>
          <cell r="AR7">
            <v>2.3734999999999999E-2</v>
          </cell>
          <cell r="AS7">
            <v>2.3885E-2</v>
          </cell>
          <cell r="AT7">
            <v>2.4055E-2</v>
          </cell>
          <cell r="AU7">
            <v>2.4198999999999998E-2</v>
          </cell>
          <cell r="AV7">
            <v>2.4336999999999998E-2</v>
          </cell>
          <cell r="AW7">
            <v>2.4494999999999999E-2</v>
          </cell>
          <cell r="AX7">
            <v>2.4628999999999998E-2</v>
          </cell>
          <cell r="AY7">
            <v>2.4774999999999998E-2</v>
          </cell>
          <cell r="AZ7">
            <v>2.4922999999999997E-2</v>
          </cell>
          <cell r="BA7">
            <v>2.5058999999999998E-2</v>
          </cell>
          <cell r="BB7">
            <v>2.5198999999999999E-2</v>
          </cell>
          <cell r="BC7">
            <v>2.5339999999999998E-2</v>
          </cell>
          <cell r="BD7">
            <v>2.5478999999999998E-2</v>
          </cell>
          <cell r="BE7">
            <v>2.5609E-2</v>
          </cell>
          <cell r="BF7">
            <v>2.5755E-2</v>
          </cell>
          <cell r="BG7">
            <v>2.5878999999999999E-2</v>
          </cell>
          <cell r="BH7">
            <v>2.5999999999999999E-2</v>
          </cell>
          <cell r="BI7">
            <v>2.6128999999999999E-2</v>
          </cell>
          <cell r="BJ7">
            <v>2.6128999999999999E-2</v>
          </cell>
          <cell r="BK7">
            <v>2.6128999999999999E-2</v>
          </cell>
          <cell r="BL7">
            <v>2.6128999999999999E-2</v>
          </cell>
        </row>
        <row r="8">
          <cell r="D8">
            <v>2.2676999999999999E-2</v>
          </cell>
          <cell r="E8">
            <v>2.2676999999999999E-2</v>
          </cell>
          <cell r="F8">
            <v>2.2889E-2</v>
          </cell>
          <cell r="G8">
            <v>2.3061000000000002E-2</v>
          </cell>
          <cell r="H8">
            <v>2.3238000000000002E-2</v>
          </cell>
          <cell r="I8">
            <v>2.3418000000000001E-2</v>
          </cell>
          <cell r="J8">
            <v>2.3598000000000001E-2</v>
          </cell>
          <cell r="K8">
            <v>2.3762999999999999E-2</v>
          </cell>
          <cell r="L8">
            <v>2.3916E-2</v>
          </cell>
          <cell r="M8">
            <v>2.4076E-2</v>
          </cell>
          <cell r="N8">
            <v>2.4240000000000001E-2</v>
          </cell>
          <cell r="O8">
            <v>2.4401000000000003E-2</v>
          </cell>
          <cell r="P8">
            <v>2.4552000000000001E-2</v>
          </cell>
          <cell r="Q8">
            <v>2.4718E-2</v>
          </cell>
          <cell r="R8">
            <v>2.4865999999999999E-2</v>
          </cell>
          <cell r="S8">
            <v>2.5018000000000002E-2</v>
          </cell>
          <cell r="T8">
            <v>2.5185000000000003E-2</v>
          </cell>
          <cell r="U8">
            <v>2.5325E-2</v>
          </cell>
          <cell r="V8">
            <v>2.5493000000000002E-2</v>
          </cell>
          <cell r="W8">
            <v>2.563E-2</v>
          </cell>
          <cell r="X8">
            <v>2.5765E-2</v>
          </cell>
          <cell r="Y8">
            <v>2.5911E-2</v>
          </cell>
          <cell r="Z8">
            <v>2.6076000000000002E-2</v>
          </cell>
          <cell r="AA8">
            <v>2.6198000000000003E-2</v>
          </cell>
          <cell r="AB8">
            <v>2.6336000000000002E-2</v>
          </cell>
          <cell r="AC8">
            <v>2.6483E-2</v>
          </cell>
          <cell r="AD8">
            <v>2.6610999999999999E-2</v>
          </cell>
          <cell r="AE8">
            <v>2.674E-2</v>
          </cell>
          <cell r="AF8">
            <v>2.6874000000000002E-2</v>
          </cell>
          <cell r="AG8">
            <v>2.6998000000000001E-2</v>
          </cell>
          <cell r="AH8">
            <v>2.7134999999999999E-2</v>
          </cell>
          <cell r="AI8">
            <v>2.7252999999999999E-2</v>
          </cell>
          <cell r="AJ8">
            <v>2.7366000000000001E-2</v>
          </cell>
          <cell r="AK8">
            <v>2.7488000000000002E-2</v>
          </cell>
          <cell r="AL8">
            <v>2.7622000000000001E-2</v>
          </cell>
          <cell r="AM8">
            <v>2.7725E-2</v>
          </cell>
          <cell r="AN8">
            <v>2.7839000000000003E-2</v>
          </cell>
          <cell r="AO8">
            <v>2.7956000000000002E-2</v>
          </cell>
          <cell r="AP8">
            <v>2.8071000000000002E-2</v>
          </cell>
          <cell r="AQ8">
            <v>2.819E-2</v>
          </cell>
          <cell r="AR8">
            <v>2.8295000000000001E-2</v>
          </cell>
          <cell r="AS8">
            <v>2.8402E-2</v>
          </cell>
          <cell r="AT8">
            <v>2.8518999999999999E-2</v>
          </cell>
          <cell r="AU8">
            <v>2.8621000000000001E-2</v>
          </cell>
          <cell r="AV8">
            <v>2.8716999999999999E-2</v>
          </cell>
          <cell r="AW8">
            <v>2.8829E-2</v>
          </cell>
          <cell r="AX8">
            <v>2.8924999999999999E-2</v>
          </cell>
          <cell r="AY8">
            <v>2.9024000000000001E-2</v>
          </cell>
          <cell r="AZ8">
            <v>2.9128000000000001E-2</v>
          </cell>
          <cell r="BA8">
            <v>2.9219999999999999E-2</v>
          </cell>
          <cell r="BB8">
            <v>2.9320000000000002E-2</v>
          </cell>
          <cell r="BC8">
            <v>2.9420000000000002E-2</v>
          </cell>
          <cell r="BD8">
            <v>2.9515E-2</v>
          </cell>
          <cell r="BE8">
            <v>2.9608000000000002E-2</v>
          </cell>
          <cell r="BF8">
            <v>2.9708999999999999E-2</v>
          </cell>
          <cell r="BG8">
            <v>2.9797000000000001E-2</v>
          </cell>
          <cell r="BH8">
            <v>2.9882000000000002E-2</v>
          </cell>
          <cell r="BI8">
            <v>2.9974000000000001E-2</v>
          </cell>
          <cell r="BJ8">
            <v>2.9974000000000001E-2</v>
          </cell>
          <cell r="BK8">
            <v>2.9974000000000001E-2</v>
          </cell>
          <cell r="BL8">
            <v>2.9974000000000001E-2</v>
          </cell>
        </row>
        <row r="9">
          <cell r="D9">
            <v>1.6909E-2</v>
          </cell>
          <cell r="E9">
            <v>1.6909E-2</v>
          </cell>
          <cell r="F9">
            <v>1.7224E-2</v>
          </cell>
          <cell r="G9">
            <v>1.7465999999999999E-2</v>
          </cell>
          <cell r="H9">
            <v>1.7706E-2</v>
          </cell>
          <cell r="I9">
            <v>1.7956E-2</v>
          </cell>
          <cell r="J9">
            <v>1.8204000000000001E-2</v>
          </cell>
          <cell r="K9">
            <v>1.8423999999999999E-2</v>
          </cell>
          <cell r="L9">
            <v>1.8633E-2</v>
          </cell>
          <cell r="M9">
            <v>1.8855999999999998E-2</v>
          </cell>
          <cell r="N9">
            <v>1.9087E-2</v>
          </cell>
          <cell r="O9">
            <v>1.9302999999999997E-2</v>
          </cell>
          <cell r="P9">
            <v>1.9507999999999998E-2</v>
          </cell>
          <cell r="Q9">
            <v>1.9729E-2</v>
          </cell>
          <cell r="R9">
            <v>1.9930999999999997E-2</v>
          </cell>
          <cell r="S9">
            <v>2.0142E-2</v>
          </cell>
          <cell r="T9">
            <v>2.0368999999999998E-2</v>
          </cell>
          <cell r="U9">
            <v>2.0559999999999998E-2</v>
          </cell>
          <cell r="V9">
            <v>2.0791999999999998E-2</v>
          </cell>
          <cell r="W9">
            <v>2.0979999999999999E-2</v>
          </cell>
          <cell r="X9">
            <v>2.1166999999999998E-2</v>
          </cell>
          <cell r="Y9">
            <v>2.137E-2</v>
          </cell>
          <cell r="Z9">
            <v>2.1597999999999999E-2</v>
          </cell>
          <cell r="AA9">
            <v>2.1766000000000001E-2</v>
          </cell>
          <cell r="AB9">
            <v>2.1956999999999997E-2</v>
          </cell>
          <cell r="AC9">
            <v>2.2161E-2</v>
          </cell>
          <cell r="AD9">
            <v>2.2338E-2</v>
          </cell>
          <cell r="AE9">
            <v>2.2515999999999998E-2</v>
          </cell>
          <cell r="AF9">
            <v>2.2699999999999998E-2</v>
          </cell>
          <cell r="AG9">
            <v>2.2869999999999998E-2</v>
          </cell>
          <cell r="AH9">
            <v>2.3060000000000001E-2</v>
          </cell>
          <cell r="AI9">
            <v>2.3223000000000001E-2</v>
          </cell>
          <cell r="AJ9">
            <v>2.3379E-2</v>
          </cell>
          <cell r="AK9">
            <v>2.3546999999999998E-2</v>
          </cell>
          <cell r="AL9">
            <v>2.3733000000000001E-2</v>
          </cell>
          <cell r="AM9">
            <v>2.3875999999999998E-2</v>
          </cell>
          <cell r="AN9">
            <v>2.4032999999999999E-2</v>
          </cell>
          <cell r="AO9">
            <v>2.4194999999999998E-2</v>
          </cell>
          <cell r="AP9">
            <v>2.4351999999999999E-2</v>
          </cell>
          <cell r="AQ9">
            <v>2.4514999999999999E-2</v>
          </cell>
          <cell r="AR9">
            <v>2.4659E-2</v>
          </cell>
          <cell r="AS9">
            <v>2.4805000000000001E-2</v>
          </cell>
          <cell r="AT9">
            <v>2.4964999999999998E-2</v>
          </cell>
          <cell r="AU9">
            <v>2.5103E-2</v>
          </cell>
          <cell r="AV9">
            <v>2.5235999999999998E-2</v>
          </cell>
          <cell r="AW9">
            <v>2.5388999999999998E-2</v>
          </cell>
          <cell r="AX9">
            <v>2.5519E-2</v>
          </cell>
          <cell r="AY9">
            <v>2.5656999999999999E-2</v>
          </cell>
          <cell r="AZ9">
            <v>2.5798999999999999E-2</v>
          </cell>
          <cell r="BA9">
            <v>2.5925999999999998E-2</v>
          </cell>
          <cell r="BB9">
            <v>2.6060999999999997E-2</v>
          </cell>
          <cell r="BC9">
            <v>2.6196999999999998E-2</v>
          </cell>
          <cell r="BD9">
            <v>2.6324999999999998E-2</v>
          </cell>
          <cell r="BE9">
            <v>2.6450999999999999E-2</v>
          </cell>
          <cell r="BF9">
            <v>2.6588999999999998E-2</v>
          </cell>
          <cell r="BG9">
            <v>2.6707999999999999E-2</v>
          </cell>
          <cell r="BH9">
            <v>2.6824000000000001E-2</v>
          </cell>
          <cell r="BI9">
            <v>2.6948E-2</v>
          </cell>
          <cell r="BJ9">
            <v>2.6948E-2</v>
          </cell>
          <cell r="BK9">
            <v>2.6948E-2</v>
          </cell>
          <cell r="BL9">
            <v>2.6948E-2</v>
          </cell>
        </row>
        <row r="10">
          <cell r="D10">
            <v>1.6767000000000001E-2</v>
          </cell>
          <cell r="E10">
            <v>1.6767000000000001E-2</v>
          </cell>
          <cell r="F10">
            <v>1.7083000000000001E-2</v>
          </cell>
          <cell r="G10">
            <v>1.7326000000000001E-2</v>
          </cell>
          <cell r="H10">
            <v>1.7566999999999999E-2</v>
          </cell>
          <cell r="I10">
            <v>1.7817E-2</v>
          </cell>
          <cell r="J10">
            <v>1.8065999999999999E-2</v>
          </cell>
          <cell r="K10">
            <v>1.8286999999999998E-2</v>
          </cell>
          <cell r="L10">
            <v>1.8495999999999999E-2</v>
          </cell>
          <cell r="M10">
            <v>1.8720000000000001E-2</v>
          </cell>
          <cell r="N10">
            <v>1.8951999999999997E-2</v>
          </cell>
          <cell r="O10">
            <v>1.9167999999999998E-2</v>
          </cell>
          <cell r="P10">
            <v>1.9374000000000002E-2</v>
          </cell>
          <cell r="Q10">
            <v>1.9596000000000002E-2</v>
          </cell>
          <cell r="R10">
            <v>1.9798000000000003E-2</v>
          </cell>
          <cell r="S10">
            <v>2.0008999999999999E-2</v>
          </cell>
          <cell r="T10">
            <v>2.0237999999999999E-2</v>
          </cell>
          <cell r="U10">
            <v>2.0429000000000003E-2</v>
          </cell>
          <cell r="V10">
            <v>2.0662E-2</v>
          </cell>
          <cell r="W10">
            <v>2.0851000000000001E-2</v>
          </cell>
          <cell r="X10">
            <v>2.1038000000000001E-2</v>
          </cell>
          <cell r="Y10">
            <v>2.1241999999999997E-2</v>
          </cell>
          <cell r="Z10">
            <v>2.1470999999999997E-2</v>
          </cell>
          <cell r="AA10">
            <v>2.164E-2</v>
          </cell>
          <cell r="AB10">
            <v>2.1831999999999997E-2</v>
          </cell>
          <cell r="AC10">
            <v>2.2036E-2</v>
          </cell>
          <cell r="AD10">
            <v>2.2213999999999998E-2</v>
          </cell>
          <cell r="AE10">
            <v>2.2393000000000003E-2</v>
          </cell>
          <cell r="AF10">
            <v>2.2577E-2</v>
          </cell>
          <cell r="AG10">
            <v>2.2747999999999997E-2</v>
          </cell>
          <cell r="AH10">
            <v>2.2938E-2</v>
          </cell>
          <cell r="AI10">
            <v>2.3100999999999997E-2</v>
          </cell>
          <cell r="AJ10">
            <v>2.3258000000000001E-2</v>
          </cell>
          <cell r="AK10">
            <v>2.3427000000000003E-2</v>
          </cell>
          <cell r="AL10">
            <v>2.3613000000000002E-2</v>
          </cell>
          <cell r="AM10">
            <v>2.3755999999999999E-2</v>
          </cell>
          <cell r="AN10">
            <v>2.3913999999999998E-2</v>
          </cell>
          <cell r="AO10">
            <v>2.4077000000000001E-2</v>
          </cell>
          <cell r="AP10">
            <v>2.4233999999999999E-2</v>
          </cell>
          <cell r="AQ10">
            <v>2.4397000000000002E-2</v>
          </cell>
          <cell r="AR10">
            <v>2.4542000000000001E-2</v>
          </cell>
          <cell r="AS10">
            <v>2.4688000000000002E-2</v>
          </cell>
          <cell r="AT10">
            <v>2.4849000000000003E-2</v>
          </cell>
          <cell r="AU10">
            <v>2.4987000000000002E-2</v>
          </cell>
          <cell r="AV10">
            <v>2.5119999999999996E-2</v>
          </cell>
          <cell r="AW10">
            <v>2.5272999999999997E-2</v>
          </cell>
          <cell r="AX10">
            <v>2.5403000000000002E-2</v>
          </cell>
          <cell r="AY10">
            <v>2.5541000000000001E-2</v>
          </cell>
          <cell r="AZ10">
            <v>2.5683999999999998E-2</v>
          </cell>
          <cell r="BA10">
            <v>2.5812000000000002E-2</v>
          </cell>
          <cell r="BB10">
            <v>2.5946999999999998E-2</v>
          </cell>
          <cell r="BC10">
            <v>2.6083000000000002E-2</v>
          </cell>
          <cell r="BD10">
            <v>2.6211999999999999E-2</v>
          </cell>
          <cell r="BE10">
            <v>2.6338E-2</v>
          </cell>
          <cell r="BF10">
            <v>2.6476E-2</v>
          </cell>
          <cell r="BG10">
            <v>2.6595000000000001E-2</v>
          </cell>
          <cell r="BH10">
            <v>2.6712E-2</v>
          </cell>
          <cell r="BI10">
            <v>2.6835999999999999E-2</v>
          </cell>
          <cell r="BJ10">
            <v>2.6835999999999999E-2</v>
          </cell>
          <cell r="BK10">
            <v>2.6835999999999999E-2</v>
          </cell>
          <cell r="BL10">
            <v>2.6835999999999999E-2</v>
          </cell>
        </row>
        <row r="11">
          <cell r="D11">
            <v>1.7259E-2</v>
          </cell>
          <cell r="E11">
            <v>1.7259E-2</v>
          </cell>
          <cell r="F11">
            <v>1.7564E-2</v>
          </cell>
          <cell r="G11">
            <v>1.7801000000000001E-2</v>
          </cell>
          <cell r="H11">
            <v>1.8037999999999998E-2</v>
          </cell>
          <cell r="I11">
            <v>1.8283000000000001E-2</v>
          </cell>
          <cell r="J11">
            <v>1.8526999999999998E-2</v>
          </cell>
          <cell r="K11">
            <v>1.8744E-2</v>
          </cell>
          <cell r="L11">
            <v>1.8949000000000001E-2</v>
          </cell>
          <cell r="M11">
            <v>1.9167999999999998E-2</v>
          </cell>
          <cell r="N11">
            <v>1.9393999999999998E-2</v>
          </cell>
          <cell r="O11">
            <v>1.9606999999999999E-2</v>
          </cell>
          <cell r="P11">
            <v>1.9809E-2</v>
          </cell>
          <cell r="Q11">
            <v>2.0027E-2</v>
          </cell>
          <cell r="R11">
            <v>2.0225E-2</v>
          </cell>
          <cell r="S11">
            <v>2.043E-2</v>
          </cell>
          <cell r="T11">
            <v>2.0653999999999999E-2</v>
          </cell>
          <cell r="U11">
            <v>2.0839999999999997E-2</v>
          </cell>
          <cell r="V11">
            <v>2.1068E-2</v>
          </cell>
          <cell r="W11">
            <v>2.1252E-2</v>
          </cell>
          <cell r="X11">
            <v>2.1433999999999998E-2</v>
          </cell>
          <cell r="Y11">
            <v>2.1631999999999998E-2</v>
          </cell>
          <cell r="Z11">
            <v>2.1854999999999999E-2</v>
          </cell>
          <cell r="AA11">
            <v>2.2019999999999998E-2</v>
          </cell>
          <cell r="AB11">
            <v>2.2206999999999998E-2</v>
          </cell>
          <cell r="AC11">
            <v>2.2404999999999998E-2</v>
          </cell>
          <cell r="AD11">
            <v>2.2579999999999999E-2</v>
          </cell>
          <cell r="AE11">
            <v>2.2754E-2</v>
          </cell>
          <cell r="AF11">
            <v>2.2935000000000001E-2</v>
          </cell>
          <cell r="AG11">
            <v>2.3101999999999998E-2</v>
          </cell>
          <cell r="AH11">
            <v>2.3288E-2</v>
          </cell>
          <cell r="AI11">
            <v>2.3446999999999999E-2</v>
          </cell>
          <cell r="AJ11">
            <v>2.3599999999999999E-2</v>
          </cell>
          <cell r="AK11">
            <v>2.3765999999999999E-2</v>
          </cell>
          <cell r="AL11">
            <v>2.3948000000000001E-2</v>
          </cell>
          <cell r="AM11">
            <v>2.4087999999999998E-2</v>
          </cell>
          <cell r="AN11">
            <v>2.4243000000000001E-2</v>
          </cell>
          <cell r="AO11">
            <v>2.4402E-2</v>
          </cell>
          <cell r="AP11">
            <v>2.4555999999999998E-2</v>
          </cell>
          <cell r="AQ11">
            <v>2.4716999999999999E-2</v>
          </cell>
          <cell r="AR11">
            <v>2.4858999999999999E-2</v>
          </cell>
          <cell r="AS11">
            <v>2.5002999999999997E-2</v>
          </cell>
          <cell r="AT11">
            <v>2.5160999999999999E-2</v>
          </cell>
          <cell r="AU11">
            <v>2.5297E-2</v>
          </cell>
          <cell r="AV11">
            <v>2.5427999999999999E-2</v>
          </cell>
          <cell r="AW11">
            <v>2.5578999999999998E-2</v>
          </cell>
          <cell r="AX11">
            <v>2.5707000000000001E-2</v>
          </cell>
          <cell r="AY11">
            <v>2.5842999999999998E-2</v>
          </cell>
          <cell r="AZ11">
            <v>2.5982999999999999E-2</v>
          </cell>
          <cell r="BA11">
            <v>2.6109E-2</v>
          </cell>
          <cell r="BB11">
            <v>2.6241999999999998E-2</v>
          </cell>
          <cell r="BC11">
            <v>2.6374999999999999E-2</v>
          </cell>
          <cell r="BD11">
            <v>2.6501999999999998E-2</v>
          </cell>
          <cell r="BE11">
            <v>2.6624999999999999E-2</v>
          </cell>
          <cell r="BF11">
            <v>2.6761E-2</v>
          </cell>
          <cell r="BG11">
            <v>2.6877999999999999E-2</v>
          </cell>
          <cell r="BH11">
            <v>2.6991999999999999E-2</v>
          </cell>
          <cell r="BI11">
            <v>2.7115E-2</v>
          </cell>
          <cell r="BJ11">
            <v>2.7115E-2</v>
          </cell>
          <cell r="BK11">
            <v>2.7115E-2</v>
          </cell>
          <cell r="BL11">
            <v>2.7115E-2</v>
          </cell>
        </row>
        <row r="12">
          <cell r="D12">
            <v>1.6767000000000001E-2</v>
          </cell>
          <cell r="E12">
            <v>1.6767000000000001E-2</v>
          </cell>
          <cell r="F12">
            <v>1.7083000000000001E-2</v>
          </cell>
          <cell r="G12">
            <v>1.7326000000000001E-2</v>
          </cell>
          <cell r="H12">
            <v>1.7566999999999999E-2</v>
          </cell>
          <cell r="I12">
            <v>1.7817E-2</v>
          </cell>
          <cell r="J12">
            <v>1.8065999999999999E-2</v>
          </cell>
          <cell r="K12">
            <v>1.8286999999999998E-2</v>
          </cell>
          <cell r="L12">
            <v>1.8495999999999999E-2</v>
          </cell>
          <cell r="M12">
            <v>1.8720000000000001E-2</v>
          </cell>
          <cell r="N12">
            <v>1.8951999999999997E-2</v>
          </cell>
          <cell r="O12">
            <v>1.9167999999999998E-2</v>
          </cell>
          <cell r="P12">
            <v>1.9374000000000002E-2</v>
          </cell>
          <cell r="Q12">
            <v>1.9596000000000002E-2</v>
          </cell>
          <cell r="R12">
            <v>1.9798000000000003E-2</v>
          </cell>
          <cell r="S12">
            <v>2.0008999999999999E-2</v>
          </cell>
          <cell r="T12">
            <v>2.0237999999999999E-2</v>
          </cell>
          <cell r="U12">
            <v>2.0429000000000003E-2</v>
          </cell>
          <cell r="V12">
            <v>2.0662E-2</v>
          </cell>
          <cell r="W12">
            <v>2.0851000000000001E-2</v>
          </cell>
          <cell r="X12">
            <v>2.1038000000000001E-2</v>
          </cell>
          <cell r="Y12">
            <v>2.1241999999999997E-2</v>
          </cell>
          <cell r="Z12">
            <v>2.1470999999999997E-2</v>
          </cell>
          <cell r="AA12">
            <v>2.164E-2</v>
          </cell>
          <cell r="AB12">
            <v>2.1831999999999997E-2</v>
          </cell>
          <cell r="AC12">
            <v>2.2036E-2</v>
          </cell>
          <cell r="AD12">
            <v>2.2213999999999998E-2</v>
          </cell>
          <cell r="AE12">
            <v>2.2393000000000003E-2</v>
          </cell>
          <cell r="AF12">
            <v>2.2577E-2</v>
          </cell>
          <cell r="AG12">
            <v>2.2747999999999997E-2</v>
          </cell>
          <cell r="AH12">
            <v>2.2938E-2</v>
          </cell>
          <cell r="AI12">
            <v>2.3100999999999997E-2</v>
          </cell>
          <cell r="AJ12">
            <v>2.3258000000000001E-2</v>
          </cell>
          <cell r="AK12">
            <v>2.3427000000000003E-2</v>
          </cell>
          <cell r="AL12">
            <v>2.3613000000000002E-2</v>
          </cell>
          <cell r="AM12">
            <v>2.3755999999999999E-2</v>
          </cell>
          <cell r="AN12">
            <v>2.3913999999999998E-2</v>
          </cell>
          <cell r="AO12">
            <v>2.4077000000000001E-2</v>
          </cell>
          <cell r="AP12">
            <v>2.4233999999999999E-2</v>
          </cell>
          <cell r="AQ12">
            <v>2.4397000000000002E-2</v>
          </cell>
          <cell r="AR12">
            <v>2.4542000000000001E-2</v>
          </cell>
          <cell r="AS12">
            <v>2.4688000000000002E-2</v>
          </cell>
          <cell r="AT12">
            <v>2.4849000000000003E-2</v>
          </cell>
          <cell r="AU12">
            <v>2.4987000000000002E-2</v>
          </cell>
          <cell r="AV12">
            <v>2.5119999999999996E-2</v>
          </cell>
          <cell r="AW12">
            <v>2.5272999999999997E-2</v>
          </cell>
          <cell r="AX12">
            <v>2.5403000000000002E-2</v>
          </cell>
          <cell r="AY12">
            <v>2.5541000000000001E-2</v>
          </cell>
          <cell r="AZ12">
            <v>2.5683999999999998E-2</v>
          </cell>
          <cell r="BA12">
            <v>2.5812000000000002E-2</v>
          </cell>
          <cell r="BB12">
            <v>2.5946999999999998E-2</v>
          </cell>
          <cell r="BC12">
            <v>2.6083000000000002E-2</v>
          </cell>
          <cell r="BD12">
            <v>2.6211999999999999E-2</v>
          </cell>
          <cell r="BE12">
            <v>2.6338E-2</v>
          </cell>
          <cell r="BF12">
            <v>2.6476E-2</v>
          </cell>
          <cell r="BG12">
            <v>2.6595000000000001E-2</v>
          </cell>
          <cell r="BH12">
            <v>2.6712E-2</v>
          </cell>
          <cell r="BI12">
            <v>2.6835999999999999E-2</v>
          </cell>
          <cell r="BJ12">
            <v>2.6835999999999999E-2</v>
          </cell>
          <cell r="BK12">
            <v>2.6835999999999999E-2</v>
          </cell>
          <cell r="BL12">
            <v>2.6835999999999999E-2</v>
          </cell>
        </row>
        <row r="13">
          <cell r="D13">
            <v>1.7259E-2</v>
          </cell>
          <cell r="E13">
            <v>1.7259E-2</v>
          </cell>
          <cell r="F13">
            <v>1.7564E-2</v>
          </cell>
          <cell r="G13">
            <v>1.7801000000000001E-2</v>
          </cell>
          <cell r="H13">
            <v>1.8037999999999998E-2</v>
          </cell>
          <cell r="I13">
            <v>1.8283000000000001E-2</v>
          </cell>
          <cell r="J13">
            <v>1.8526999999999998E-2</v>
          </cell>
          <cell r="K13">
            <v>1.8744E-2</v>
          </cell>
          <cell r="L13">
            <v>1.8949000000000001E-2</v>
          </cell>
          <cell r="M13">
            <v>1.9167999999999998E-2</v>
          </cell>
          <cell r="N13">
            <v>1.9393999999999998E-2</v>
          </cell>
          <cell r="O13">
            <v>1.9606999999999999E-2</v>
          </cell>
          <cell r="P13">
            <v>1.9809E-2</v>
          </cell>
          <cell r="Q13">
            <v>2.0027E-2</v>
          </cell>
          <cell r="R13">
            <v>2.0225E-2</v>
          </cell>
          <cell r="S13">
            <v>2.043E-2</v>
          </cell>
          <cell r="T13">
            <v>2.0653999999999999E-2</v>
          </cell>
          <cell r="U13">
            <v>2.0839999999999997E-2</v>
          </cell>
          <cell r="V13">
            <v>2.1068E-2</v>
          </cell>
          <cell r="W13">
            <v>2.1252E-2</v>
          </cell>
          <cell r="X13">
            <v>2.1433999999999998E-2</v>
          </cell>
          <cell r="Y13">
            <v>2.1631999999999998E-2</v>
          </cell>
          <cell r="Z13">
            <v>2.1854999999999999E-2</v>
          </cell>
          <cell r="AA13">
            <v>2.2019999999999998E-2</v>
          </cell>
          <cell r="AB13">
            <v>2.2206999999999998E-2</v>
          </cell>
          <cell r="AC13">
            <v>2.2404999999999998E-2</v>
          </cell>
          <cell r="AD13">
            <v>2.2579999999999999E-2</v>
          </cell>
          <cell r="AE13">
            <v>2.2754E-2</v>
          </cell>
          <cell r="AF13">
            <v>2.2935000000000001E-2</v>
          </cell>
          <cell r="AG13">
            <v>2.3101999999999998E-2</v>
          </cell>
          <cell r="AH13">
            <v>2.3288E-2</v>
          </cell>
          <cell r="AI13">
            <v>2.3446999999999999E-2</v>
          </cell>
          <cell r="AJ13">
            <v>2.3599999999999999E-2</v>
          </cell>
          <cell r="AK13">
            <v>2.3765999999999999E-2</v>
          </cell>
          <cell r="AL13">
            <v>2.3948000000000001E-2</v>
          </cell>
          <cell r="AM13">
            <v>2.4087999999999998E-2</v>
          </cell>
          <cell r="AN13">
            <v>2.4243000000000001E-2</v>
          </cell>
          <cell r="AO13">
            <v>2.4402E-2</v>
          </cell>
          <cell r="AP13">
            <v>2.4555999999999998E-2</v>
          </cell>
          <cell r="AQ13">
            <v>2.4716999999999999E-2</v>
          </cell>
          <cell r="AR13">
            <v>2.4858999999999999E-2</v>
          </cell>
          <cell r="AS13">
            <v>2.5002999999999997E-2</v>
          </cell>
          <cell r="AT13">
            <v>2.5160999999999999E-2</v>
          </cell>
          <cell r="AU13">
            <v>2.5297E-2</v>
          </cell>
          <cell r="AV13">
            <v>2.5427999999999999E-2</v>
          </cell>
          <cell r="AW13">
            <v>2.5578999999999998E-2</v>
          </cell>
          <cell r="AX13">
            <v>2.5707000000000001E-2</v>
          </cell>
          <cell r="AY13">
            <v>2.5842999999999998E-2</v>
          </cell>
          <cell r="AZ13">
            <v>2.5982999999999999E-2</v>
          </cell>
          <cell r="BA13">
            <v>2.6109E-2</v>
          </cell>
          <cell r="BB13">
            <v>2.6241999999999998E-2</v>
          </cell>
          <cell r="BC13">
            <v>2.6374999999999999E-2</v>
          </cell>
          <cell r="BD13">
            <v>2.6501999999999998E-2</v>
          </cell>
          <cell r="BE13">
            <v>2.6624999999999999E-2</v>
          </cell>
          <cell r="BF13">
            <v>2.6761E-2</v>
          </cell>
          <cell r="BG13">
            <v>2.6877999999999999E-2</v>
          </cell>
          <cell r="BH13">
            <v>2.6991999999999999E-2</v>
          </cell>
          <cell r="BI13">
            <v>2.7115E-2</v>
          </cell>
          <cell r="BJ13">
            <v>2.7115E-2</v>
          </cell>
          <cell r="BK13">
            <v>2.7115E-2</v>
          </cell>
          <cell r="BL13">
            <v>2.7115E-2</v>
          </cell>
        </row>
        <row r="14">
          <cell r="D14">
            <v>1.6767000000000001E-2</v>
          </cell>
          <cell r="E14">
            <v>1.6767000000000001E-2</v>
          </cell>
          <cell r="F14">
            <v>1.7083000000000001E-2</v>
          </cell>
          <cell r="G14">
            <v>1.7326000000000001E-2</v>
          </cell>
          <cell r="H14">
            <v>1.7566999999999999E-2</v>
          </cell>
          <cell r="I14">
            <v>1.7817E-2</v>
          </cell>
          <cell r="J14">
            <v>1.8065999999999999E-2</v>
          </cell>
          <cell r="K14">
            <v>1.8286999999999998E-2</v>
          </cell>
          <cell r="L14">
            <v>1.8495999999999999E-2</v>
          </cell>
          <cell r="M14">
            <v>1.8720000000000001E-2</v>
          </cell>
          <cell r="N14">
            <v>1.8951999999999997E-2</v>
          </cell>
          <cell r="O14">
            <v>1.9167999999999998E-2</v>
          </cell>
          <cell r="P14">
            <v>1.9374000000000002E-2</v>
          </cell>
          <cell r="Q14">
            <v>1.9596000000000002E-2</v>
          </cell>
          <cell r="R14">
            <v>1.9798000000000003E-2</v>
          </cell>
          <cell r="S14">
            <v>2.0008999999999999E-2</v>
          </cell>
          <cell r="T14">
            <v>2.0237999999999999E-2</v>
          </cell>
          <cell r="U14">
            <v>2.0429000000000003E-2</v>
          </cell>
          <cell r="V14">
            <v>2.0662E-2</v>
          </cell>
          <cell r="W14">
            <v>2.0851000000000001E-2</v>
          </cell>
          <cell r="X14">
            <v>2.1038000000000001E-2</v>
          </cell>
          <cell r="Y14">
            <v>2.1241999999999997E-2</v>
          </cell>
          <cell r="Z14">
            <v>2.1470999999999997E-2</v>
          </cell>
          <cell r="AA14">
            <v>2.164E-2</v>
          </cell>
          <cell r="AB14">
            <v>2.1831999999999997E-2</v>
          </cell>
          <cell r="AC14">
            <v>2.2036E-2</v>
          </cell>
          <cell r="AD14">
            <v>2.2213999999999998E-2</v>
          </cell>
          <cell r="AE14">
            <v>2.2393000000000003E-2</v>
          </cell>
          <cell r="AF14">
            <v>2.2577E-2</v>
          </cell>
          <cell r="AG14">
            <v>2.2747999999999997E-2</v>
          </cell>
          <cell r="AH14">
            <v>2.2938E-2</v>
          </cell>
          <cell r="AI14">
            <v>2.3100999999999997E-2</v>
          </cell>
          <cell r="AJ14">
            <v>2.3258000000000001E-2</v>
          </cell>
          <cell r="AK14">
            <v>2.3427000000000003E-2</v>
          </cell>
          <cell r="AL14">
            <v>2.3613000000000002E-2</v>
          </cell>
          <cell r="AM14">
            <v>2.3755999999999999E-2</v>
          </cell>
          <cell r="AN14">
            <v>2.3913999999999998E-2</v>
          </cell>
          <cell r="AO14">
            <v>2.4077000000000001E-2</v>
          </cell>
          <cell r="AP14">
            <v>2.4233999999999999E-2</v>
          </cell>
          <cell r="AQ14">
            <v>2.4397000000000002E-2</v>
          </cell>
          <cell r="AR14">
            <v>2.4542000000000001E-2</v>
          </cell>
          <cell r="AS14">
            <v>2.4688000000000002E-2</v>
          </cell>
          <cell r="AT14">
            <v>2.4849000000000003E-2</v>
          </cell>
          <cell r="AU14">
            <v>2.4987000000000002E-2</v>
          </cell>
          <cell r="AV14">
            <v>2.5119999999999996E-2</v>
          </cell>
          <cell r="AW14">
            <v>2.5272999999999997E-2</v>
          </cell>
          <cell r="AX14">
            <v>2.5403000000000002E-2</v>
          </cell>
          <cell r="AY14">
            <v>2.5541000000000001E-2</v>
          </cell>
          <cell r="AZ14">
            <v>2.5683999999999998E-2</v>
          </cell>
          <cell r="BA14">
            <v>2.5812000000000002E-2</v>
          </cell>
          <cell r="BB14">
            <v>2.5946999999999998E-2</v>
          </cell>
          <cell r="BC14">
            <v>2.6083000000000002E-2</v>
          </cell>
          <cell r="BD14">
            <v>2.6211999999999999E-2</v>
          </cell>
          <cell r="BE14">
            <v>2.6338E-2</v>
          </cell>
          <cell r="BF14">
            <v>2.6476E-2</v>
          </cell>
          <cell r="BG14">
            <v>2.6595000000000001E-2</v>
          </cell>
          <cell r="BH14">
            <v>2.6712E-2</v>
          </cell>
          <cell r="BI14">
            <v>2.6835999999999999E-2</v>
          </cell>
          <cell r="BJ14">
            <v>2.6835999999999999E-2</v>
          </cell>
          <cell r="BK14">
            <v>2.6835999999999999E-2</v>
          </cell>
          <cell r="BL14">
            <v>2.6835999999999999E-2</v>
          </cell>
        </row>
        <row r="15">
          <cell r="D15">
            <v>1.7259E-2</v>
          </cell>
          <cell r="E15">
            <v>1.7259E-2</v>
          </cell>
          <cell r="F15">
            <v>1.7564E-2</v>
          </cell>
          <cell r="G15">
            <v>1.7801000000000001E-2</v>
          </cell>
          <cell r="H15">
            <v>1.8037999999999998E-2</v>
          </cell>
          <cell r="I15">
            <v>1.8283000000000001E-2</v>
          </cell>
          <cell r="J15">
            <v>1.8526999999999998E-2</v>
          </cell>
          <cell r="K15">
            <v>1.8744E-2</v>
          </cell>
          <cell r="L15">
            <v>1.8949000000000001E-2</v>
          </cell>
          <cell r="M15">
            <v>1.9167999999999998E-2</v>
          </cell>
          <cell r="N15">
            <v>1.9393999999999998E-2</v>
          </cell>
          <cell r="O15">
            <v>1.9606999999999999E-2</v>
          </cell>
          <cell r="P15">
            <v>1.9809E-2</v>
          </cell>
          <cell r="Q15">
            <v>2.0027E-2</v>
          </cell>
          <cell r="R15">
            <v>2.0225E-2</v>
          </cell>
          <cell r="S15">
            <v>2.043E-2</v>
          </cell>
          <cell r="T15">
            <v>2.0653999999999999E-2</v>
          </cell>
          <cell r="U15">
            <v>2.0839999999999997E-2</v>
          </cell>
          <cell r="V15">
            <v>2.1068E-2</v>
          </cell>
          <cell r="W15">
            <v>2.1252E-2</v>
          </cell>
          <cell r="X15">
            <v>2.1433999999999998E-2</v>
          </cell>
          <cell r="Y15">
            <v>2.1631999999999998E-2</v>
          </cell>
          <cell r="Z15">
            <v>2.1854999999999999E-2</v>
          </cell>
          <cell r="AA15">
            <v>2.2019999999999998E-2</v>
          </cell>
          <cell r="AB15">
            <v>2.2206999999999998E-2</v>
          </cell>
          <cell r="AC15">
            <v>2.2404999999999998E-2</v>
          </cell>
          <cell r="AD15">
            <v>2.2579999999999999E-2</v>
          </cell>
          <cell r="AE15">
            <v>2.2754E-2</v>
          </cell>
          <cell r="AF15">
            <v>2.2935000000000001E-2</v>
          </cell>
          <cell r="AG15">
            <v>2.3101999999999998E-2</v>
          </cell>
          <cell r="AH15">
            <v>2.3288E-2</v>
          </cell>
          <cell r="AI15">
            <v>2.3446999999999999E-2</v>
          </cell>
          <cell r="AJ15">
            <v>2.3599999999999999E-2</v>
          </cell>
          <cell r="AK15">
            <v>2.3765999999999999E-2</v>
          </cell>
          <cell r="AL15">
            <v>2.3948000000000001E-2</v>
          </cell>
          <cell r="AM15">
            <v>2.4087999999999998E-2</v>
          </cell>
          <cell r="AN15">
            <v>2.4243000000000001E-2</v>
          </cell>
          <cell r="AO15">
            <v>2.4402E-2</v>
          </cell>
          <cell r="AP15">
            <v>2.4555999999999998E-2</v>
          </cell>
          <cell r="AQ15">
            <v>2.4716999999999999E-2</v>
          </cell>
          <cell r="AR15">
            <v>2.4858999999999999E-2</v>
          </cell>
          <cell r="AS15">
            <v>2.5002999999999997E-2</v>
          </cell>
          <cell r="AT15">
            <v>2.5160999999999999E-2</v>
          </cell>
          <cell r="AU15">
            <v>2.5297E-2</v>
          </cell>
          <cell r="AV15">
            <v>2.5427999999999999E-2</v>
          </cell>
          <cell r="AW15">
            <v>2.5578999999999998E-2</v>
          </cell>
          <cell r="AX15">
            <v>2.5707000000000001E-2</v>
          </cell>
          <cell r="AY15">
            <v>2.5842999999999998E-2</v>
          </cell>
          <cell r="AZ15">
            <v>2.5982999999999999E-2</v>
          </cell>
          <cell r="BA15">
            <v>2.6109E-2</v>
          </cell>
          <cell r="BB15">
            <v>2.6241999999999998E-2</v>
          </cell>
          <cell r="BC15">
            <v>2.6374999999999999E-2</v>
          </cell>
          <cell r="BD15">
            <v>2.6501999999999998E-2</v>
          </cell>
          <cell r="BE15">
            <v>2.6624999999999999E-2</v>
          </cell>
          <cell r="BF15">
            <v>2.6761E-2</v>
          </cell>
          <cell r="BG15">
            <v>2.6877999999999999E-2</v>
          </cell>
          <cell r="BH15">
            <v>2.6991999999999999E-2</v>
          </cell>
          <cell r="BI15">
            <v>2.7115E-2</v>
          </cell>
          <cell r="BJ15">
            <v>2.7115E-2</v>
          </cell>
          <cell r="BK15">
            <v>2.7115E-2</v>
          </cell>
          <cell r="BL15">
            <v>2.7115E-2</v>
          </cell>
        </row>
        <row r="16">
          <cell r="D16">
            <v>1.6767000000000001E-2</v>
          </cell>
          <cell r="E16">
            <v>1.6767000000000001E-2</v>
          </cell>
          <cell r="F16">
            <v>1.7083000000000001E-2</v>
          </cell>
          <cell r="G16">
            <v>1.7326000000000001E-2</v>
          </cell>
          <cell r="H16">
            <v>1.7566999999999999E-2</v>
          </cell>
          <cell r="I16">
            <v>1.7817E-2</v>
          </cell>
          <cell r="J16">
            <v>1.8065999999999999E-2</v>
          </cell>
          <cell r="K16">
            <v>1.8286999999999998E-2</v>
          </cell>
          <cell r="L16">
            <v>1.8495999999999999E-2</v>
          </cell>
          <cell r="M16">
            <v>1.8720000000000001E-2</v>
          </cell>
          <cell r="N16">
            <v>1.8951999999999997E-2</v>
          </cell>
          <cell r="O16">
            <v>1.9167999999999998E-2</v>
          </cell>
          <cell r="P16">
            <v>1.9374000000000002E-2</v>
          </cell>
          <cell r="Q16">
            <v>1.9596000000000002E-2</v>
          </cell>
          <cell r="R16">
            <v>1.9798000000000003E-2</v>
          </cell>
          <cell r="S16">
            <v>2.0008999999999999E-2</v>
          </cell>
          <cell r="T16">
            <v>2.0237999999999999E-2</v>
          </cell>
          <cell r="U16">
            <v>2.0429000000000003E-2</v>
          </cell>
          <cell r="V16">
            <v>2.0662E-2</v>
          </cell>
          <cell r="W16">
            <v>2.0851000000000001E-2</v>
          </cell>
          <cell r="X16">
            <v>2.1038000000000001E-2</v>
          </cell>
          <cell r="Y16">
            <v>2.1241999999999997E-2</v>
          </cell>
          <cell r="Z16">
            <v>2.1470999999999997E-2</v>
          </cell>
          <cell r="AA16">
            <v>2.164E-2</v>
          </cell>
          <cell r="AB16">
            <v>2.1831999999999997E-2</v>
          </cell>
          <cell r="AC16">
            <v>2.2036E-2</v>
          </cell>
          <cell r="AD16">
            <v>2.2213999999999998E-2</v>
          </cell>
          <cell r="AE16">
            <v>2.2393000000000003E-2</v>
          </cell>
          <cell r="AF16">
            <v>2.2577E-2</v>
          </cell>
          <cell r="AG16">
            <v>2.2747999999999997E-2</v>
          </cell>
          <cell r="AH16">
            <v>2.2938E-2</v>
          </cell>
          <cell r="AI16">
            <v>2.3100999999999997E-2</v>
          </cell>
          <cell r="AJ16">
            <v>2.3258000000000001E-2</v>
          </cell>
          <cell r="AK16">
            <v>2.3427000000000003E-2</v>
          </cell>
          <cell r="AL16">
            <v>2.3613000000000002E-2</v>
          </cell>
          <cell r="AM16">
            <v>2.3755999999999999E-2</v>
          </cell>
          <cell r="AN16">
            <v>2.3913999999999998E-2</v>
          </cell>
          <cell r="AO16">
            <v>2.4077000000000001E-2</v>
          </cell>
          <cell r="AP16">
            <v>2.4233999999999999E-2</v>
          </cell>
          <cell r="AQ16">
            <v>2.4397000000000002E-2</v>
          </cell>
          <cell r="AR16">
            <v>2.4542000000000001E-2</v>
          </cell>
          <cell r="AS16">
            <v>2.4688000000000002E-2</v>
          </cell>
          <cell r="AT16">
            <v>2.4849000000000003E-2</v>
          </cell>
          <cell r="AU16">
            <v>2.4987000000000002E-2</v>
          </cell>
          <cell r="AV16">
            <v>2.5119999999999996E-2</v>
          </cell>
          <cell r="AW16">
            <v>2.5272999999999997E-2</v>
          </cell>
          <cell r="AX16">
            <v>2.5403000000000002E-2</v>
          </cell>
          <cell r="AY16">
            <v>2.5541000000000001E-2</v>
          </cell>
          <cell r="AZ16">
            <v>2.5683999999999998E-2</v>
          </cell>
          <cell r="BA16">
            <v>2.5812000000000002E-2</v>
          </cell>
          <cell r="BB16">
            <v>2.5946999999999998E-2</v>
          </cell>
          <cell r="BC16">
            <v>2.6083000000000002E-2</v>
          </cell>
          <cell r="BD16">
            <v>2.6211999999999999E-2</v>
          </cell>
          <cell r="BE16">
            <v>2.6338E-2</v>
          </cell>
          <cell r="BF16">
            <v>2.6476E-2</v>
          </cell>
          <cell r="BG16">
            <v>2.6595000000000001E-2</v>
          </cell>
          <cell r="BH16">
            <v>2.6712E-2</v>
          </cell>
          <cell r="BI16">
            <v>2.6835999999999999E-2</v>
          </cell>
          <cell r="BJ16">
            <v>2.6835999999999999E-2</v>
          </cell>
          <cell r="BK16">
            <v>2.6835999999999999E-2</v>
          </cell>
          <cell r="BL16">
            <v>2.6835999999999999E-2</v>
          </cell>
        </row>
        <row r="17">
          <cell r="D17">
            <v>1.7259E-2</v>
          </cell>
          <cell r="E17">
            <v>1.7259E-2</v>
          </cell>
          <cell r="F17">
            <v>1.7564E-2</v>
          </cell>
          <cell r="G17">
            <v>1.7801000000000001E-2</v>
          </cell>
          <cell r="H17">
            <v>1.8037999999999998E-2</v>
          </cell>
          <cell r="I17">
            <v>1.8283000000000001E-2</v>
          </cell>
          <cell r="J17">
            <v>1.8526999999999998E-2</v>
          </cell>
          <cell r="K17">
            <v>1.8744E-2</v>
          </cell>
          <cell r="L17">
            <v>1.8949000000000001E-2</v>
          </cell>
          <cell r="M17">
            <v>1.9167999999999998E-2</v>
          </cell>
          <cell r="N17">
            <v>1.9393999999999998E-2</v>
          </cell>
          <cell r="O17">
            <v>1.9606999999999999E-2</v>
          </cell>
          <cell r="P17">
            <v>1.9809E-2</v>
          </cell>
          <cell r="Q17">
            <v>2.0027E-2</v>
          </cell>
          <cell r="R17">
            <v>2.0225E-2</v>
          </cell>
          <cell r="S17">
            <v>2.043E-2</v>
          </cell>
          <cell r="T17">
            <v>2.0653999999999999E-2</v>
          </cell>
          <cell r="U17">
            <v>2.0839999999999997E-2</v>
          </cell>
          <cell r="V17">
            <v>2.1068E-2</v>
          </cell>
          <cell r="W17">
            <v>2.1252E-2</v>
          </cell>
          <cell r="X17">
            <v>2.1433999999999998E-2</v>
          </cell>
          <cell r="Y17">
            <v>2.1631999999999998E-2</v>
          </cell>
          <cell r="Z17">
            <v>2.1854999999999999E-2</v>
          </cell>
          <cell r="AA17">
            <v>2.2019999999999998E-2</v>
          </cell>
          <cell r="AB17">
            <v>2.2206999999999998E-2</v>
          </cell>
          <cell r="AC17">
            <v>2.2404999999999998E-2</v>
          </cell>
          <cell r="AD17">
            <v>2.2579999999999999E-2</v>
          </cell>
          <cell r="AE17">
            <v>2.2754E-2</v>
          </cell>
          <cell r="AF17">
            <v>2.2935000000000001E-2</v>
          </cell>
          <cell r="AG17">
            <v>2.3101999999999998E-2</v>
          </cell>
          <cell r="AH17">
            <v>2.3288E-2</v>
          </cell>
          <cell r="AI17">
            <v>2.3446999999999999E-2</v>
          </cell>
          <cell r="AJ17">
            <v>2.3599999999999999E-2</v>
          </cell>
          <cell r="AK17">
            <v>2.3765999999999999E-2</v>
          </cell>
          <cell r="AL17">
            <v>2.3948000000000001E-2</v>
          </cell>
          <cell r="AM17">
            <v>2.4087999999999998E-2</v>
          </cell>
          <cell r="AN17">
            <v>2.4243000000000001E-2</v>
          </cell>
          <cell r="AO17">
            <v>2.4402E-2</v>
          </cell>
          <cell r="AP17">
            <v>2.4555999999999998E-2</v>
          </cell>
          <cell r="AQ17">
            <v>2.4716999999999999E-2</v>
          </cell>
          <cell r="AR17">
            <v>2.4858999999999999E-2</v>
          </cell>
          <cell r="AS17">
            <v>2.5002999999999997E-2</v>
          </cell>
          <cell r="AT17">
            <v>2.5160999999999999E-2</v>
          </cell>
          <cell r="AU17">
            <v>2.5297E-2</v>
          </cell>
          <cell r="AV17">
            <v>2.5427999999999999E-2</v>
          </cell>
          <cell r="AW17">
            <v>2.5578999999999998E-2</v>
          </cell>
          <cell r="AX17">
            <v>2.5707000000000001E-2</v>
          </cell>
          <cell r="AY17">
            <v>2.5842999999999998E-2</v>
          </cell>
          <cell r="AZ17">
            <v>2.5982999999999999E-2</v>
          </cell>
          <cell r="BA17">
            <v>2.6109E-2</v>
          </cell>
          <cell r="BB17">
            <v>2.6241999999999998E-2</v>
          </cell>
          <cell r="BC17">
            <v>2.6374999999999999E-2</v>
          </cell>
          <cell r="BD17">
            <v>2.6501999999999998E-2</v>
          </cell>
          <cell r="BE17">
            <v>2.6624999999999999E-2</v>
          </cell>
          <cell r="BF17">
            <v>2.6761E-2</v>
          </cell>
          <cell r="BG17">
            <v>2.6877999999999999E-2</v>
          </cell>
          <cell r="BH17">
            <v>2.6991999999999999E-2</v>
          </cell>
          <cell r="BI17">
            <v>2.7115E-2</v>
          </cell>
          <cell r="BJ17">
            <v>2.7115E-2</v>
          </cell>
          <cell r="BK17">
            <v>2.7115E-2</v>
          </cell>
          <cell r="BL17">
            <v>2.7115E-2</v>
          </cell>
        </row>
        <row r="18">
          <cell r="D18">
            <v>1.6767000000000001E-2</v>
          </cell>
          <cell r="E18">
            <v>1.6767000000000001E-2</v>
          </cell>
          <cell r="F18">
            <v>1.7083000000000001E-2</v>
          </cell>
          <cell r="G18">
            <v>1.7326000000000001E-2</v>
          </cell>
          <cell r="H18">
            <v>1.7566999999999999E-2</v>
          </cell>
          <cell r="I18">
            <v>1.7817E-2</v>
          </cell>
          <cell r="J18">
            <v>1.8065999999999999E-2</v>
          </cell>
          <cell r="K18">
            <v>1.8286999999999998E-2</v>
          </cell>
          <cell r="L18">
            <v>1.8495999999999999E-2</v>
          </cell>
          <cell r="M18">
            <v>1.8720000000000001E-2</v>
          </cell>
          <cell r="N18">
            <v>1.8951999999999997E-2</v>
          </cell>
          <cell r="O18">
            <v>1.9167999999999998E-2</v>
          </cell>
          <cell r="P18">
            <v>1.9374000000000002E-2</v>
          </cell>
          <cell r="Q18">
            <v>1.9596000000000002E-2</v>
          </cell>
          <cell r="R18">
            <v>1.9798000000000003E-2</v>
          </cell>
          <cell r="S18">
            <v>2.0008999999999999E-2</v>
          </cell>
          <cell r="T18">
            <v>2.0237999999999999E-2</v>
          </cell>
          <cell r="U18">
            <v>2.0429000000000003E-2</v>
          </cell>
          <cell r="V18">
            <v>2.0662E-2</v>
          </cell>
          <cell r="W18">
            <v>2.0851000000000001E-2</v>
          </cell>
          <cell r="X18">
            <v>2.1038000000000001E-2</v>
          </cell>
          <cell r="Y18">
            <v>2.1241999999999997E-2</v>
          </cell>
          <cell r="Z18">
            <v>2.1470999999999997E-2</v>
          </cell>
          <cell r="AA18">
            <v>2.164E-2</v>
          </cell>
          <cell r="AB18">
            <v>2.1831999999999997E-2</v>
          </cell>
          <cell r="AC18">
            <v>2.2036E-2</v>
          </cell>
          <cell r="AD18">
            <v>2.2213999999999998E-2</v>
          </cell>
          <cell r="AE18">
            <v>2.2393000000000003E-2</v>
          </cell>
          <cell r="AF18">
            <v>2.2577E-2</v>
          </cell>
          <cell r="AG18">
            <v>2.2747999999999997E-2</v>
          </cell>
          <cell r="AH18">
            <v>2.2938E-2</v>
          </cell>
          <cell r="AI18">
            <v>2.3100999999999997E-2</v>
          </cell>
          <cell r="AJ18">
            <v>2.3258000000000001E-2</v>
          </cell>
          <cell r="AK18">
            <v>2.3427000000000003E-2</v>
          </cell>
          <cell r="AL18">
            <v>2.3613000000000002E-2</v>
          </cell>
          <cell r="AM18">
            <v>2.3755999999999999E-2</v>
          </cell>
          <cell r="AN18">
            <v>2.3913999999999998E-2</v>
          </cell>
          <cell r="AO18">
            <v>2.4077000000000001E-2</v>
          </cell>
          <cell r="AP18">
            <v>2.4233999999999999E-2</v>
          </cell>
          <cell r="AQ18">
            <v>2.4397000000000002E-2</v>
          </cell>
          <cell r="AR18">
            <v>2.4542000000000001E-2</v>
          </cell>
          <cell r="AS18">
            <v>2.4688000000000002E-2</v>
          </cell>
          <cell r="AT18">
            <v>2.4849000000000003E-2</v>
          </cell>
          <cell r="AU18">
            <v>2.4987000000000002E-2</v>
          </cell>
          <cell r="AV18">
            <v>2.5119999999999996E-2</v>
          </cell>
          <cell r="AW18">
            <v>2.5272999999999997E-2</v>
          </cell>
          <cell r="AX18">
            <v>2.5403000000000002E-2</v>
          </cell>
          <cell r="AY18">
            <v>2.5541000000000001E-2</v>
          </cell>
          <cell r="AZ18">
            <v>2.5683999999999998E-2</v>
          </cell>
          <cell r="BA18">
            <v>2.5812000000000002E-2</v>
          </cell>
          <cell r="BB18">
            <v>2.5946999999999998E-2</v>
          </cell>
          <cell r="BC18">
            <v>2.6083000000000002E-2</v>
          </cell>
          <cell r="BD18">
            <v>2.6211999999999999E-2</v>
          </cell>
          <cell r="BE18">
            <v>2.6338E-2</v>
          </cell>
          <cell r="BF18">
            <v>2.6476E-2</v>
          </cell>
          <cell r="BG18">
            <v>2.6595000000000001E-2</v>
          </cell>
          <cell r="BH18">
            <v>2.6712E-2</v>
          </cell>
          <cell r="BI18">
            <v>2.6835999999999999E-2</v>
          </cell>
          <cell r="BJ18">
            <v>2.6835999999999999E-2</v>
          </cell>
          <cell r="BK18">
            <v>2.6835999999999999E-2</v>
          </cell>
          <cell r="BL18">
            <v>2.6835999999999999E-2</v>
          </cell>
        </row>
        <row r="19">
          <cell r="D19">
            <v>1.6767000000000001E-2</v>
          </cell>
          <cell r="E19">
            <v>1.6767000000000001E-2</v>
          </cell>
          <cell r="F19">
            <v>1.7083000000000001E-2</v>
          </cell>
          <cell r="G19">
            <v>1.7326000000000001E-2</v>
          </cell>
          <cell r="H19">
            <v>1.7566999999999999E-2</v>
          </cell>
          <cell r="I19">
            <v>1.7817E-2</v>
          </cell>
          <cell r="J19">
            <v>1.8065999999999999E-2</v>
          </cell>
          <cell r="K19">
            <v>1.8286999999999998E-2</v>
          </cell>
          <cell r="L19">
            <v>1.8495999999999999E-2</v>
          </cell>
          <cell r="M19">
            <v>1.8720000000000001E-2</v>
          </cell>
          <cell r="N19">
            <v>1.8951999999999997E-2</v>
          </cell>
          <cell r="O19">
            <v>1.9167999999999998E-2</v>
          </cell>
          <cell r="P19">
            <v>1.9374000000000002E-2</v>
          </cell>
          <cell r="Q19">
            <v>1.9596000000000002E-2</v>
          </cell>
          <cell r="R19">
            <v>1.9798000000000003E-2</v>
          </cell>
          <cell r="S19">
            <v>2.0008999999999999E-2</v>
          </cell>
          <cell r="T19">
            <v>2.0237999999999999E-2</v>
          </cell>
          <cell r="U19">
            <v>2.0429000000000003E-2</v>
          </cell>
          <cell r="V19">
            <v>2.0662E-2</v>
          </cell>
          <cell r="W19">
            <v>2.0851000000000001E-2</v>
          </cell>
          <cell r="X19">
            <v>2.1038000000000001E-2</v>
          </cell>
          <cell r="Y19">
            <v>2.1241999999999997E-2</v>
          </cell>
          <cell r="Z19">
            <v>2.1470999999999997E-2</v>
          </cell>
          <cell r="AA19">
            <v>2.164E-2</v>
          </cell>
          <cell r="AB19">
            <v>2.1831999999999997E-2</v>
          </cell>
          <cell r="AC19">
            <v>2.2036E-2</v>
          </cell>
          <cell r="AD19">
            <v>2.2213999999999998E-2</v>
          </cell>
          <cell r="AE19">
            <v>2.2393000000000003E-2</v>
          </cell>
          <cell r="AF19">
            <v>2.2577E-2</v>
          </cell>
          <cell r="AG19">
            <v>2.2747999999999997E-2</v>
          </cell>
          <cell r="AH19">
            <v>2.2938E-2</v>
          </cell>
          <cell r="AI19">
            <v>2.3100999999999997E-2</v>
          </cell>
          <cell r="AJ19">
            <v>2.3258000000000001E-2</v>
          </cell>
          <cell r="AK19">
            <v>2.3427000000000003E-2</v>
          </cell>
          <cell r="AL19">
            <v>2.3613000000000002E-2</v>
          </cell>
          <cell r="AM19">
            <v>2.3755999999999999E-2</v>
          </cell>
          <cell r="AN19">
            <v>2.3913999999999998E-2</v>
          </cell>
          <cell r="AO19">
            <v>2.4077000000000001E-2</v>
          </cell>
          <cell r="AP19">
            <v>2.4233999999999999E-2</v>
          </cell>
          <cell r="AQ19">
            <v>2.4397000000000002E-2</v>
          </cell>
          <cell r="AR19">
            <v>2.4542000000000001E-2</v>
          </cell>
          <cell r="AS19">
            <v>2.4688000000000002E-2</v>
          </cell>
          <cell r="AT19">
            <v>2.4849000000000003E-2</v>
          </cell>
          <cell r="AU19">
            <v>2.4987000000000002E-2</v>
          </cell>
          <cell r="AV19">
            <v>2.5119999999999996E-2</v>
          </cell>
          <cell r="AW19">
            <v>2.5272999999999997E-2</v>
          </cell>
          <cell r="AX19">
            <v>2.5403000000000002E-2</v>
          </cell>
          <cell r="AY19">
            <v>2.5541000000000001E-2</v>
          </cell>
          <cell r="AZ19">
            <v>2.5683999999999998E-2</v>
          </cell>
          <cell r="BA19">
            <v>2.5812000000000002E-2</v>
          </cell>
          <cell r="BB19">
            <v>2.5946999999999998E-2</v>
          </cell>
          <cell r="BC19">
            <v>2.6083000000000002E-2</v>
          </cell>
          <cell r="BD19">
            <v>2.6211999999999999E-2</v>
          </cell>
          <cell r="BE19">
            <v>2.6338E-2</v>
          </cell>
          <cell r="BF19">
            <v>2.6476E-2</v>
          </cell>
          <cell r="BG19">
            <v>2.6595000000000001E-2</v>
          </cell>
          <cell r="BH19">
            <v>2.6712E-2</v>
          </cell>
          <cell r="BI19">
            <v>2.6835999999999999E-2</v>
          </cell>
          <cell r="BJ19">
            <v>2.6835999999999999E-2</v>
          </cell>
          <cell r="BK19">
            <v>2.6835999999999999E-2</v>
          </cell>
          <cell r="BL19">
            <v>2.6835999999999999E-2</v>
          </cell>
        </row>
        <row r="20">
          <cell r="D20">
            <v>1.6767000000000001E-2</v>
          </cell>
          <cell r="E20">
            <v>1.6767000000000001E-2</v>
          </cell>
          <cell r="F20">
            <v>1.7083000000000001E-2</v>
          </cell>
          <cell r="G20">
            <v>1.7326000000000001E-2</v>
          </cell>
          <cell r="H20">
            <v>1.7566999999999999E-2</v>
          </cell>
          <cell r="I20">
            <v>1.7817E-2</v>
          </cell>
          <cell r="J20">
            <v>1.8065999999999999E-2</v>
          </cell>
          <cell r="K20">
            <v>1.8286999999999998E-2</v>
          </cell>
          <cell r="L20">
            <v>1.8495999999999999E-2</v>
          </cell>
          <cell r="M20">
            <v>1.8720000000000001E-2</v>
          </cell>
          <cell r="N20">
            <v>1.8951999999999997E-2</v>
          </cell>
          <cell r="O20">
            <v>1.9167999999999998E-2</v>
          </cell>
          <cell r="P20">
            <v>1.9374000000000002E-2</v>
          </cell>
          <cell r="Q20">
            <v>1.9596000000000002E-2</v>
          </cell>
          <cell r="R20">
            <v>1.9798000000000003E-2</v>
          </cell>
          <cell r="S20">
            <v>2.0008999999999999E-2</v>
          </cell>
          <cell r="T20">
            <v>2.0237999999999999E-2</v>
          </cell>
          <cell r="U20">
            <v>2.0429000000000003E-2</v>
          </cell>
          <cell r="V20">
            <v>2.0662E-2</v>
          </cell>
          <cell r="W20">
            <v>2.0851000000000001E-2</v>
          </cell>
          <cell r="X20">
            <v>2.1038000000000001E-2</v>
          </cell>
          <cell r="Y20">
            <v>2.1241999999999997E-2</v>
          </cell>
          <cell r="Z20">
            <v>2.1470999999999997E-2</v>
          </cell>
          <cell r="AA20">
            <v>2.164E-2</v>
          </cell>
          <cell r="AB20">
            <v>2.1831999999999997E-2</v>
          </cell>
          <cell r="AC20">
            <v>2.2036E-2</v>
          </cell>
          <cell r="AD20">
            <v>2.2213999999999998E-2</v>
          </cell>
          <cell r="AE20">
            <v>2.2393000000000003E-2</v>
          </cell>
          <cell r="AF20">
            <v>2.2577E-2</v>
          </cell>
          <cell r="AG20">
            <v>2.2747999999999997E-2</v>
          </cell>
          <cell r="AH20">
            <v>2.2938E-2</v>
          </cell>
          <cell r="AI20">
            <v>2.3100999999999997E-2</v>
          </cell>
          <cell r="AJ20">
            <v>2.3258000000000001E-2</v>
          </cell>
          <cell r="AK20">
            <v>2.3427000000000003E-2</v>
          </cell>
          <cell r="AL20">
            <v>2.3613000000000002E-2</v>
          </cell>
          <cell r="AM20">
            <v>2.3755999999999999E-2</v>
          </cell>
          <cell r="AN20">
            <v>2.3913999999999998E-2</v>
          </cell>
          <cell r="AO20">
            <v>2.4077000000000001E-2</v>
          </cell>
          <cell r="AP20">
            <v>2.4233999999999999E-2</v>
          </cell>
          <cell r="AQ20">
            <v>2.4397000000000002E-2</v>
          </cell>
          <cell r="AR20">
            <v>2.4542000000000001E-2</v>
          </cell>
          <cell r="AS20">
            <v>2.4688000000000002E-2</v>
          </cell>
          <cell r="AT20">
            <v>2.4849000000000003E-2</v>
          </cell>
          <cell r="AU20">
            <v>2.4987000000000002E-2</v>
          </cell>
          <cell r="AV20">
            <v>2.5119999999999996E-2</v>
          </cell>
          <cell r="AW20">
            <v>2.5272999999999997E-2</v>
          </cell>
          <cell r="AX20">
            <v>2.5403000000000002E-2</v>
          </cell>
          <cell r="AY20">
            <v>2.5541000000000001E-2</v>
          </cell>
          <cell r="AZ20">
            <v>2.5683999999999998E-2</v>
          </cell>
          <cell r="BA20">
            <v>2.5812000000000002E-2</v>
          </cell>
          <cell r="BB20">
            <v>2.5946999999999998E-2</v>
          </cell>
          <cell r="BC20">
            <v>2.6083000000000002E-2</v>
          </cell>
          <cell r="BD20">
            <v>2.6211999999999999E-2</v>
          </cell>
          <cell r="BE20">
            <v>2.6338E-2</v>
          </cell>
          <cell r="BF20">
            <v>2.6476E-2</v>
          </cell>
          <cell r="BG20">
            <v>2.6595000000000001E-2</v>
          </cell>
          <cell r="BH20">
            <v>2.6712E-2</v>
          </cell>
          <cell r="BI20">
            <v>2.6835999999999999E-2</v>
          </cell>
          <cell r="BJ20">
            <v>2.6835999999999999E-2</v>
          </cell>
          <cell r="BK20">
            <v>2.6835999999999999E-2</v>
          </cell>
          <cell r="BL20">
            <v>2.6835999999999999E-2</v>
          </cell>
        </row>
        <row r="21">
          <cell r="D21">
            <v>1.6767000000000001E-2</v>
          </cell>
          <cell r="E21">
            <v>1.6767000000000001E-2</v>
          </cell>
          <cell r="F21">
            <v>1.7083000000000001E-2</v>
          </cell>
          <cell r="G21">
            <v>1.7326000000000001E-2</v>
          </cell>
          <cell r="H21">
            <v>1.7566999999999999E-2</v>
          </cell>
          <cell r="I21">
            <v>1.7817E-2</v>
          </cell>
          <cell r="J21">
            <v>1.8065999999999999E-2</v>
          </cell>
          <cell r="K21">
            <v>1.8286999999999998E-2</v>
          </cell>
          <cell r="L21">
            <v>1.8495999999999999E-2</v>
          </cell>
          <cell r="M21">
            <v>1.8720000000000001E-2</v>
          </cell>
          <cell r="N21">
            <v>1.8951999999999997E-2</v>
          </cell>
          <cell r="O21">
            <v>1.9167999999999998E-2</v>
          </cell>
          <cell r="P21">
            <v>1.9374000000000002E-2</v>
          </cell>
          <cell r="Q21">
            <v>1.9596000000000002E-2</v>
          </cell>
          <cell r="R21">
            <v>1.9798000000000003E-2</v>
          </cell>
          <cell r="S21">
            <v>2.0008999999999999E-2</v>
          </cell>
          <cell r="T21">
            <v>2.0237999999999999E-2</v>
          </cell>
          <cell r="U21">
            <v>2.0429000000000003E-2</v>
          </cell>
          <cell r="V21">
            <v>2.0662E-2</v>
          </cell>
          <cell r="W21">
            <v>2.0851000000000001E-2</v>
          </cell>
          <cell r="X21">
            <v>2.1038000000000001E-2</v>
          </cell>
          <cell r="Y21">
            <v>2.1241999999999997E-2</v>
          </cell>
          <cell r="Z21">
            <v>2.1470999999999997E-2</v>
          </cell>
          <cell r="AA21">
            <v>2.164E-2</v>
          </cell>
          <cell r="AB21">
            <v>2.1831999999999997E-2</v>
          </cell>
          <cell r="AC21">
            <v>2.2036E-2</v>
          </cell>
          <cell r="AD21">
            <v>2.2213999999999998E-2</v>
          </cell>
          <cell r="AE21">
            <v>2.2393000000000003E-2</v>
          </cell>
          <cell r="AF21">
            <v>2.2577E-2</v>
          </cell>
          <cell r="AG21">
            <v>2.2747999999999997E-2</v>
          </cell>
          <cell r="AH21">
            <v>2.2938E-2</v>
          </cell>
          <cell r="AI21">
            <v>2.3100999999999997E-2</v>
          </cell>
          <cell r="AJ21">
            <v>2.3258000000000001E-2</v>
          </cell>
          <cell r="AK21">
            <v>2.3427000000000003E-2</v>
          </cell>
          <cell r="AL21">
            <v>2.3613000000000002E-2</v>
          </cell>
          <cell r="AM21">
            <v>2.3755999999999999E-2</v>
          </cell>
          <cell r="AN21">
            <v>2.3913999999999998E-2</v>
          </cell>
          <cell r="AO21">
            <v>2.4077000000000001E-2</v>
          </cell>
          <cell r="AP21">
            <v>2.4233999999999999E-2</v>
          </cell>
          <cell r="AQ21">
            <v>2.4397000000000002E-2</v>
          </cell>
          <cell r="AR21">
            <v>2.4542000000000001E-2</v>
          </cell>
          <cell r="AS21">
            <v>2.4688000000000002E-2</v>
          </cell>
          <cell r="AT21">
            <v>2.4849000000000003E-2</v>
          </cell>
          <cell r="AU21">
            <v>2.4987000000000002E-2</v>
          </cell>
          <cell r="AV21">
            <v>2.5119999999999996E-2</v>
          </cell>
          <cell r="AW21">
            <v>2.5272999999999997E-2</v>
          </cell>
          <cell r="AX21">
            <v>2.5403000000000002E-2</v>
          </cell>
          <cell r="AY21">
            <v>2.5541000000000001E-2</v>
          </cell>
          <cell r="AZ21">
            <v>2.5683999999999998E-2</v>
          </cell>
          <cell r="BA21">
            <v>2.5812000000000002E-2</v>
          </cell>
          <cell r="BB21">
            <v>2.5946999999999998E-2</v>
          </cell>
          <cell r="BC21">
            <v>2.6083000000000002E-2</v>
          </cell>
          <cell r="BD21">
            <v>2.6211999999999999E-2</v>
          </cell>
          <cell r="BE21">
            <v>2.6338E-2</v>
          </cell>
          <cell r="BF21">
            <v>2.6476E-2</v>
          </cell>
          <cell r="BG21">
            <v>2.6595000000000001E-2</v>
          </cell>
          <cell r="BH21">
            <v>2.6712E-2</v>
          </cell>
          <cell r="BI21">
            <v>2.6835999999999999E-2</v>
          </cell>
          <cell r="BJ21">
            <v>2.6835999999999999E-2</v>
          </cell>
          <cell r="BK21">
            <v>2.6835999999999999E-2</v>
          </cell>
          <cell r="BL21">
            <v>2.6835999999999999E-2</v>
          </cell>
        </row>
        <row r="22">
          <cell r="D22">
            <v>1.6767000000000001E-2</v>
          </cell>
          <cell r="E22">
            <v>1.6767000000000001E-2</v>
          </cell>
          <cell r="F22">
            <v>1.7083000000000001E-2</v>
          </cell>
          <cell r="G22">
            <v>1.7326000000000001E-2</v>
          </cell>
          <cell r="H22">
            <v>1.7566999999999999E-2</v>
          </cell>
          <cell r="I22">
            <v>1.7817E-2</v>
          </cell>
          <cell r="J22">
            <v>1.8065999999999999E-2</v>
          </cell>
          <cell r="K22">
            <v>1.8286999999999998E-2</v>
          </cell>
          <cell r="L22">
            <v>1.8495999999999999E-2</v>
          </cell>
          <cell r="M22">
            <v>1.8720000000000001E-2</v>
          </cell>
          <cell r="N22">
            <v>1.8951999999999997E-2</v>
          </cell>
          <cell r="O22">
            <v>1.9167999999999998E-2</v>
          </cell>
          <cell r="P22">
            <v>1.9374000000000002E-2</v>
          </cell>
          <cell r="Q22">
            <v>1.9596000000000002E-2</v>
          </cell>
          <cell r="R22">
            <v>1.9798000000000003E-2</v>
          </cell>
          <cell r="S22">
            <v>2.0008999999999999E-2</v>
          </cell>
          <cell r="T22">
            <v>2.0237999999999999E-2</v>
          </cell>
          <cell r="U22">
            <v>2.0429000000000003E-2</v>
          </cell>
          <cell r="V22">
            <v>2.0662E-2</v>
          </cell>
          <cell r="W22">
            <v>2.0851000000000001E-2</v>
          </cell>
          <cell r="X22">
            <v>2.1038000000000001E-2</v>
          </cell>
          <cell r="Y22">
            <v>2.1241999999999997E-2</v>
          </cell>
          <cell r="Z22">
            <v>2.1470999999999997E-2</v>
          </cell>
          <cell r="AA22">
            <v>2.164E-2</v>
          </cell>
          <cell r="AB22">
            <v>2.1831999999999997E-2</v>
          </cell>
          <cell r="AC22">
            <v>2.2036E-2</v>
          </cell>
          <cell r="AD22">
            <v>2.2213999999999998E-2</v>
          </cell>
          <cell r="AE22">
            <v>2.2393000000000003E-2</v>
          </cell>
          <cell r="AF22">
            <v>2.2577E-2</v>
          </cell>
          <cell r="AG22">
            <v>2.2747999999999997E-2</v>
          </cell>
          <cell r="AH22">
            <v>2.2938E-2</v>
          </cell>
          <cell r="AI22">
            <v>2.3100999999999997E-2</v>
          </cell>
          <cell r="AJ22">
            <v>2.3258000000000001E-2</v>
          </cell>
          <cell r="AK22">
            <v>2.3427000000000003E-2</v>
          </cell>
          <cell r="AL22">
            <v>2.3613000000000002E-2</v>
          </cell>
          <cell r="AM22">
            <v>2.3755999999999999E-2</v>
          </cell>
          <cell r="AN22">
            <v>2.3913999999999998E-2</v>
          </cell>
          <cell r="AO22">
            <v>2.4077000000000001E-2</v>
          </cell>
          <cell r="AP22">
            <v>2.4233999999999999E-2</v>
          </cell>
          <cell r="AQ22">
            <v>2.4397000000000002E-2</v>
          </cell>
          <cell r="AR22">
            <v>2.4542000000000001E-2</v>
          </cell>
          <cell r="AS22">
            <v>2.4688000000000002E-2</v>
          </cell>
          <cell r="AT22">
            <v>2.4849000000000003E-2</v>
          </cell>
          <cell r="AU22">
            <v>2.4987000000000002E-2</v>
          </cell>
          <cell r="AV22">
            <v>2.5119999999999996E-2</v>
          </cell>
          <cell r="AW22">
            <v>2.5272999999999997E-2</v>
          </cell>
          <cell r="AX22">
            <v>2.5403000000000002E-2</v>
          </cell>
          <cell r="AY22">
            <v>2.5541000000000001E-2</v>
          </cell>
          <cell r="AZ22">
            <v>2.5683999999999998E-2</v>
          </cell>
          <cell r="BA22">
            <v>2.5812000000000002E-2</v>
          </cell>
          <cell r="BB22">
            <v>2.5946999999999998E-2</v>
          </cell>
          <cell r="BC22">
            <v>2.6083000000000002E-2</v>
          </cell>
          <cell r="BD22">
            <v>2.6211999999999999E-2</v>
          </cell>
          <cell r="BE22">
            <v>2.6338E-2</v>
          </cell>
          <cell r="BF22">
            <v>2.6476E-2</v>
          </cell>
          <cell r="BG22">
            <v>2.6595000000000001E-2</v>
          </cell>
          <cell r="BH22">
            <v>2.6712E-2</v>
          </cell>
          <cell r="BI22">
            <v>2.6835999999999999E-2</v>
          </cell>
          <cell r="BJ22">
            <v>2.6835999999999999E-2</v>
          </cell>
          <cell r="BK22">
            <v>2.6835999999999999E-2</v>
          </cell>
          <cell r="BL22">
            <v>2.6835999999999999E-2</v>
          </cell>
        </row>
        <row r="23">
          <cell r="D23">
            <v>1.6767000000000001E-2</v>
          </cell>
          <cell r="E23">
            <v>1.6767000000000001E-2</v>
          </cell>
          <cell r="F23">
            <v>1.7083000000000001E-2</v>
          </cell>
          <cell r="G23">
            <v>1.7326000000000001E-2</v>
          </cell>
          <cell r="H23">
            <v>1.7566999999999999E-2</v>
          </cell>
          <cell r="I23">
            <v>1.7817E-2</v>
          </cell>
          <cell r="J23">
            <v>1.8065999999999999E-2</v>
          </cell>
          <cell r="K23">
            <v>1.8286999999999998E-2</v>
          </cell>
          <cell r="L23">
            <v>1.8495999999999999E-2</v>
          </cell>
          <cell r="M23">
            <v>1.8720000000000001E-2</v>
          </cell>
          <cell r="N23">
            <v>1.8951999999999997E-2</v>
          </cell>
          <cell r="O23">
            <v>1.9167999999999998E-2</v>
          </cell>
          <cell r="P23">
            <v>1.9374000000000002E-2</v>
          </cell>
          <cell r="Q23">
            <v>1.9596000000000002E-2</v>
          </cell>
          <cell r="R23">
            <v>1.9798000000000003E-2</v>
          </cell>
          <cell r="S23">
            <v>2.0008999999999999E-2</v>
          </cell>
          <cell r="T23">
            <v>2.0237999999999999E-2</v>
          </cell>
          <cell r="U23">
            <v>2.0429000000000003E-2</v>
          </cell>
          <cell r="V23">
            <v>2.0662E-2</v>
          </cell>
          <cell r="W23">
            <v>2.0851000000000001E-2</v>
          </cell>
          <cell r="X23">
            <v>2.1038000000000001E-2</v>
          </cell>
          <cell r="Y23">
            <v>2.1241999999999997E-2</v>
          </cell>
          <cell r="Z23">
            <v>2.1470999999999997E-2</v>
          </cell>
          <cell r="AA23">
            <v>2.164E-2</v>
          </cell>
          <cell r="AB23">
            <v>2.1831999999999997E-2</v>
          </cell>
          <cell r="AC23">
            <v>2.2036E-2</v>
          </cell>
          <cell r="AD23">
            <v>2.2213999999999998E-2</v>
          </cell>
          <cell r="AE23">
            <v>2.2393000000000003E-2</v>
          </cell>
          <cell r="AF23">
            <v>2.2577E-2</v>
          </cell>
          <cell r="AG23">
            <v>2.2747999999999997E-2</v>
          </cell>
          <cell r="AH23">
            <v>2.2938E-2</v>
          </cell>
          <cell r="AI23">
            <v>2.3100999999999997E-2</v>
          </cell>
          <cell r="AJ23">
            <v>2.3258000000000001E-2</v>
          </cell>
          <cell r="AK23">
            <v>2.3427000000000003E-2</v>
          </cell>
          <cell r="AL23">
            <v>2.3613000000000002E-2</v>
          </cell>
          <cell r="AM23">
            <v>2.3755999999999999E-2</v>
          </cell>
          <cell r="AN23">
            <v>2.3913999999999998E-2</v>
          </cell>
          <cell r="AO23">
            <v>2.4077000000000001E-2</v>
          </cell>
          <cell r="AP23">
            <v>2.4233999999999999E-2</v>
          </cell>
          <cell r="AQ23">
            <v>2.4397000000000002E-2</v>
          </cell>
          <cell r="AR23">
            <v>2.4542000000000001E-2</v>
          </cell>
          <cell r="AS23">
            <v>2.4688000000000002E-2</v>
          </cell>
          <cell r="AT23">
            <v>2.4849000000000003E-2</v>
          </cell>
          <cell r="AU23">
            <v>2.4987000000000002E-2</v>
          </cell>
          <cell r="AV23">
            <v>2.5119999999999996E-2</v>
          </cell>
          <cell r="AW23">
            <v>2.5272999999999997E-2</v>
          </cell>
          <cell r="AX23">
            <v>2.5403000000000002E-2</v>
          </cell>
          <cell r="AY23">
            <v>2.5541000000000001E-2</v>
          </cell>
          <cell r="AZ23">
            <v>2.5683999999999998E-2</v>
          </cell>
          <cell r="BA23">
            <v>2.5812000000000002E-2</v>
          </cell>
          <cell r="BB23">
            <v>2.5946999999999998E-2</v>
          </cell>
          <cell r="BC23">
            <v>2.6083000000000002E-2</v>
          </cell>
          <cell r="BD23">
            <v>2.6211999999999999E-2</v>
          </cell>
          <cell r="BE23">
            <v>2.6338E-2</v>
          </cell>
          <cell r="BF23">
            <v>2.6476E-2</v>
          </cell>
          <cell r="BG23">
            <v>2.6595000000000001E-2</v>
          </cell>
          <cell r="BH23">
            <v>2.6712E-2</v>
          </cell>
          <cell r="BI23">
            <v>2.6835999999999999E-2</v>
          </cell>
          <cell r="BJ23">
            <v>2.6835999999999999E-2</v>
          </cell>
          <cell r="BK23">
            <v>2.6835999999999999E-2</v>
          </cell>
          <cell r="BL23">
            <v>2.6835999999999999E-2</v>
          </cell>
        </row>
        <row r="24">
          <cell r="D24">
            <v>1.6767000000000001E-2</v>
          </cell>
          <cell r="E24">
            <v>1.6767000000000001E-2</v>
          </cell>
          <cell r="F24">
            <v>1.7083000000000001E-2</v>
          </cell>
          <cell r="G24">
            <v>1.7326000000000001E-2</v>
          </cell>
          <cell r="H24">
            <v>1.7566999999999999E-2</v>
          </cell>
          <cell r="I24">
            <v>1.7817E-2</v>
          </cell>
          <cell r="J24">
            <v>1.8065999999999999E-2</v>
          </cell>
          <cell r="K24">
            <v>1.8286999999999998E-2</v>
          </cell>
          <cell r="L24">
            <v>1.8495999999999999E-2</v>
          </cell>
          <cell r="M24">
            <v>1.8720000000000001E-2</v>
          </cell>
          <cell r="N24">
            <v>1.8951999999999997E-2</v>
          </cell>
          <cell r="O24">
            <v>1.9167999999999998E-2</v>
          </cell>
          <cell r="P24">
            <v>1.9374000000000002E-2</v>
          </cell>
          <cell r="Q24">
            <v>1.9596000000000002E-2</v>
          </cell>
          <cell r="R24">
            <v>1.9798000000000003E-2</v>
          </cell>
          <cell r="S24">
            <v>2.0008999999999999E-2</v>
          </cell>
          <cell r="T24">
            <v>2.0237999999999999E-2</v>
          </cell>
          <cell r="U24">
            <v>2.0429000000000003E-2</v>
          </cell>
          <cell r="V24">
            <v>2.0662E-2</v>
          </cell>
          <cell r="W24">
            <v>2.0851000000000001E-2</v>
          </cell>
          <cell r="X24">
            <v>2.1038000000000001E-2</v>
          </cell>
          <cell r="Y24">
            <v>2.1241999999999997E-2</v>
          </cell>
          <cell r="Z24">
            <v>2.1470999999999997E-2</v>
          </cell>
          <cell r="AA24">
            <v>2.164E-2</v>
          </cell>
          <cell r="AB24">
            <v>2.1831999999999997E-2</v>
          </cell>
          <cell r="AC24">
            <v>2.2036E-2</v>
          </cell>
          <cell r="AD24">
            <v>2.2213999999999998E-2</v>
          </cell>
          <cell r="AE24">
            <v>2.2393000000000003E-2</v>
          </cell>
          <cell r="AF24">
            <v>2.2577E-2</v>
          </cell>
          <cell r="AG24">
            <v>2.2747999999999997E-2</v>
          </cell>
          <cell r="AH24">
            <v>2.2938E-2</v>
          </cell>
          <cell r="AI24">
            <v>2.3100999999999997E-2</v>
          </cell>
          <cell r="AJ24">
            <v>2.3258000000000001E-2</v>
          </cell>
          <cell r="AK24">
            <v>2.3427000000000003E-2</v>
          </cell>
          <cell r="AL24">
            <v>2.3613000000000002E-2</v>
          </cell>
          <cell r="AM24">
            <v>2.3755999999999999E-2</v>
          </cell>
          <cell r="AN24">
            <v>2.3913999999999998E-2</v>
          </cell>
          <cell r="AO24">
            <v>2.4077000000000001E-2</v>
          </cell>
          <cell r="AP24">
            <v>2.4233999999999999E-2</v>
          </cell>
          <cell r="AQ24">
            <v>2.4397000000000002E-2</v>
          </cell>
          <cell r="AR24">
            <v>2.4542000000000001E-2</v>
          </cell>
          <cell r="AS24">
            <v>2.4688000000000002E-2</v>
          </cell>
          <cell r="AT24">
            <v>2.4849000000000003E-2</v>
          </cell>
          <cell r="AU24">
            <v>2.4987000000000002E-2</v>
          </cell>
          <cell r="AV24">
            <v>2.5119999999999996E-2</v>
          </cell>
          <cell r="AW24">
            <v>2.5272999999999997E-2</v>
          </cell>
          <cell r="AX24">
            <v>2.5403000000000002E-2</v>
          </cell>
          <cell r="AY24">
            <v>2.5541000000000001E-2</v>
          </cell>
          <cell r="AZ24">
            <v>2.5683999999999998E-2</v>
          </cell>
          <cell r="BA24">
            <v>2.5812000000000002E-2</v>
          </cell>
          <cell r="BB24">
            <v>2.5946999999999998E-2</v>
          </cell>
          <cell r="BC24">
            <v>2.6083000000000002E-2</v>
          </cell>
          <cell r="BD24">
            <v>2.6211999999999999E-2</v>
          </cell>
          <cell r="BE24">
            <v>2.6338E-2</v>
          </cell>
          <cell r="BF24">
            <v>2.6476E-2</v>
          </cell>
          <cell r="BG24">
            <v>2.6595000000000001E-2</v>
          </cell>
          <cell r="BH24">
            <v>2.6712E-2</v>
          </cell>
          <cell r="BI24">
            <v>2.6835999999999999E-2</v>
          </cell>
          <cell r="BJ24">
            <v>2.6835999999999999E-2</v>
          </cell>
          <cell r="BK24">
            <v>2.6835999999999999E-2</v>
          </cell>
          <cell r="BL24">
            <v>2.6835999999999999E-2</v>
          </cell>
        </row>
        <row r="64">
          <cell r="D64">
            <v>1.1429E-2</v>
          </cell>
          <cell r="E64">
            <v>1.1429E-2</v>
          </cell>
          <cell r="F64">
            <v>1.1429E-2</v>
          </cell>
          <cell r="G64">
            <v>1.1429E-2</v>
          </cell>
          <cell r="H64">
            <v>1.1429E-2</v>
          </cell>
          <cell r="I64">
            <v>1.1429E-2</v>
          </cell>
          <cell r="J64">
            <v>1.1429E-2</v>
          </cell>
          <cell r="K64">
            <v>1.1429E-2</v>
          </cell>
          <cell r="L64">
            <v>1.1429E-2</v>
          </cell>
          <cell r="M64">
            <v>1.1429E-2</v>
          </cell>
          <cell r="N64">
            <v>1.1429E-2</v>
          </cell>
          <cell r="O64">
            <v>1.1429E-2</v>
          </cell>
          <cell r="P64">
            <v>1.1429E-2</v>
          </cell>
          <cell r="Q64">
            <v>1.1429E-2</v>
          </cell>
          <cell r="R64">
            <v>1.1429E-2</v>
          </cell>
          <cell r="S64">
            <v>1.1429E-2</v>
          </cell>
          <cell r="T64">
            <v>1.1429E-2</v>
          </cell>
          <cell r="U64">
            <v>1.1429E-2</v>
          </cell>
          <cell r="V64">
            <v>1.1429E-2</v>
          </cell>
          <cell r="W64">
            <v>1.1429E-2</v>
          </cell>
          <cell r="X64">
            <v>1.1429E-2</v>
          </cell>
          <cell r="Y64">
            <v>1.1429E-2</v>
          </cell>
          <cell r="Z64">
            <v>1.1429E-2</v>
          </cell>
          <cell r="AA64">
            <v>1.1429E-2</v>
          </cell>
          <cell r="AB64">
            <v>1.1429E-2</v>
          </cell>
          <cell r="AC64">
            <v>1.1429E-2</v>
          </cell>
          <cell r="AD64">
            <v>1.1429E-2</v>
          </cell>
          <cell r="AE64">
            <v>1.1429E-2</v>
          </cell>
          <cell r="AF64">
            <v>1.1429E-2</v>
          </cell>
          <cell r="AG64">
            <v>1.1429E-2</v>
          </cell>
          <cell r="AH64">
            <v>1.1429E-2</v>
          </cell>
          <cell r="AI64">
            <v>1.1429E-2</v>
          </cell>
          <cell r="AJ64">
            <v>1.1429E-2</v>
          </cell>
          <cell r="AK64">
            <v>1.1429E-2</v>
          </cell>
          <cell r="AL64">
            <v>1.1429E-2</v>
          </cell>
          <cell r="AM64">
            <v>1.1429E-2</v>
          </cell>
          <cell r="AN64">
            <v>1.1429E-2</v>
          </cell>
          <cell r="AO64">
            <v>1.1429E-2</v>
          </cell>
          <cell r="AP64">
            <v>1.1429E-2</v>
          </cell>
          <cell r="AQ64">
            <v>1.1429E-2</v>
          </cell>
          <cell r="AR64">
            <v>1.1429E-2</v>
          </cell>
          <cell r="AS64">
            <v>1.1429E-2</v>
          </cell>
          <cell r="AT64">
            <v>1.1429E-2</v>
          </cell>
          <cell r="AU64">
            <v>1.1429E-2</v>
          </cell>
          <cell r="AV64">
            <v>1.1429E-2</v>
          </cell>
          <cell r="AW64">
            <v>1.1429E-2</v>
          </cell>
          <cell r="AX64">
            <v>1.1429E-2</v>
          </cell>
          <cell r="AY64">
            <v>1.1429E-2</v>
          </cell>
          <cell r="AZ64">
            <v>1.1429E-2</v>
          </cell>
          <cell r="BA64">
            <v>1.1429E-2</v>
          </cell>
          <cell r="BB64">
            <v>1.1429E-2</v>
          </cell>
          <cell r="BC64">
            <v>1.1429E-2</v>
          </cell>
          <cell r="BD64">
            <v>1.1429E-2</v>
          </cell>
          <cell r="BE64">
            <v>1.1429E-2</v>
          </cell>
          <cell r="BF64">
            <v>1.1429E-2</v>
          </cell>
          <cell r="BG64">
            <v>1.1429E-2</v>
          </cell>
          <cell r="BH64">
            <v>1.1429E-2</v>
          </cell>
          <cell r="BI64">
            <v>1.1429E-2</v>
          </cell>
          <cell r="BJ64">
            <v>1.1429E-2</v>
          </cell>
          <cell r="BK64">
            <v>1.1429E-2</v>
          </cell>
          <cell r="BL64">
            <v>1.1429E-2</v>
          </cell>
        </row>
        <row r="65">
          <cell r="D65">
            <v>1.1429E-2</v>
          </cell>
          <cell r="E65">
            <v>1.1429E-2</v>
          </cell>
          <cell r="F65">
            <v>1.1429E-2</v>
          </cell>
          <cell r="G65">
            <v>1.1429E-2</v>
          </cell>
          <cell r="H65">
            <v>1.1429E-2</v>
          </cell>
          <cell r="I65">
            <v>1.1429E-2</v>
          </cell>
          <cell r="J65">
            <v>1.1429E-2</v>
          </cell>
          <cell r="K65">
            <v>1.1429E-2</v>
          </cell>
          <cell r="L65">
            <v>1.1429E-2</v>
          </cell>
          <cell r="M65">
            <v>1.1429E-2</v>
          </cell>
          <cell r="N65">
            <v>1.1429E-2</v>
          </cell>
          <cell r="O65">
            <v>1.1429E-2</v>
          </cell>
          <cell r="P65">
            <v>1.1429E-2</v>
          </cell>
          <cell r="Q65">
            <v>1.1429E-2</v>
          </cell>
          <cell r="R65">
            <v>1.1429E-2</v>
          </cell>
          <cell r="S65">
            <v>1.1429E-2</v>
          </cell>
          <cell r="T65">
            <v>1.1429E-2</v>
          </cell>
          <cell r="U65">
            <v>1.1429E-2</v>
          </cell>
          <cell r="V65">
            <v>1.1429E-2</v>
          </cell>
          <cell r="W65">
            <v>1.1429E-2</v>
          </cell>
          <cell r="X65">
            <v>1.1429E-2</v>
          </cell>
          <cell r="Y65">
            <v>1.1429E-2</v>
          </cell>
          <cell r="Z65">
            <v>1.1429E-2</v>
          </cell>
          <cell r="AA65">
            <v>1.1429E-2</v>
          </cell>
          <cell r="AB65">
            <v>1.1429E-2</v>
          </cell>
          <cell r="AC65">
            <v>1.1429E-2</v>
          </cell>
          <cell r="AD65">
            <v>1.1429E-2</v>
          </cell>
          <cell r="AE65">
            <v>1.1429E-2</v>
          </cell>
          <cell r="AF65">
            <v>1.1429E-2</v>
          </cell>
          <cell r="AG65">
            <v>1.1429E-2</v>
          </cell>
          <cell r="AH65">
            <v>1.1429E-2</v>
          </cell>
          <cell r="AI65">
            <v>1.1429E-2</v>
          </cell>
          <cell r="AJ65">
            <v>1.1429E-2</v>
          </cell>
          <cell r="AK65">
            <v>1.1429E-2</v>
          </cell>
          <cell r="AL65">
            <v>1.1429E-2</v>
          </cell>
          <cell r="AM65">
            <v>1.1429E-2</v>
          </cell>
          <cell r="AN65">
            <v>1.1429E-2</v>
          </cell>
          <cell r="AO65">
            <v>1.1429E-2</v>
          </cell>
          <cell r="AP65">
            <v>1.1429E-2</v>
          </cell>
          <cell r="AQ65">
            <v>1.1429E-2</v>
          </cell>
          <cell r="AR65">
            <v>1.1429E-2</v>
          </cell>
          <cell r="AS65">
            <v>1.1429E-2</v>
          </cell>
          <cell r="AT65">
            <v>1.1429E-2</v>
          </cell>
          <cell r="AU65">
            <v>1.1429E-2</v>
          </cell>
          <cell r="AV65">
            <v>1.1429E-2</v>
          </cell>
          <cell r="AW65">
            <v>1.1429E-2</v>
          </cell>
          <cell r="AX65">
            <v>1.1429E-2</v>
          </cell>
          <cell r="AY65">
            <v>1.1429E-2</v>
          </cell>
          <cell r="AZ65">
            <v>1.1429E-2</v>
          </cell>
          <cell r="BA65">
            <v>1.1429E-2</v>
          </cell>
          <cell r="BB65">
            <v>1.1429E-2</v>
          </cell>
          <cell r="BC65">
            <v>1.1429E-2</v>
          </cell>
          <cell r="BD65">
            <v>1.1429E-2</v>
          </cell>
          <cell r="BE65">
            <v>1.1429E-2</v>
          </cell>
          <cell r="BF65">
            <v>1.1429E-2</v>
          </cell>
          <cell r="BG65">
            <v>1.1429E-2</v>
          </cell>
          <cell r="BH65">
            <v>1.1429E-2</v>
          </cell>
          <cell r="BI65">
            <v>1.1429E-2</v>
          </cell>
          <cell r="BJ65">
            <v>1.1429E-2</v>
          </cell>
          <cell r="BK65">
            <v>1.1429E-2</v>
          </cell>
          <cell r="BL65">
            <v>1.1429E-2</v>
          </cell>
        </row>
        <row r="66">
          <cell r="D66">
            <v>1.1429E-2</v>
          </cell>
          <cell r="E66">
            <v>1.1429E-2</v>
          </cell>
          <cell r="F66">
            <v>1.1429E-2</v>
          </cell>
          <cell r="G66">
            <v>1.1429E-2</v>
          </cell>
          <cell r="H66">
            <v>1.1429E-2</v>
          </cell>
          <cell r="I66">
            <v>1.1429E-2</v>
          </cell>
          <cell r="J66">
            <v>1.1429E-2</v>
          </cell>
          <cell r="K66">
            <v>1.1429E-2</v>
          </cell>
          <cell r="L66">
            <v>1.1429E-2</v>
          </cell>
          <cell r="M66">
            <v>1.1429E-2</v>
          </cell>
          <cell r="N66">
            <v>1.1429E-2</v>
          </cell>
          <cell r="O66">
            <v>1.1429E-2</v>
          </cell>
          <cell r="P66">
            <v>1.1429E-2</v>
          </cell>
          <cell r="Q66">
            <v>1.1429E-2</v>
          </cell>
          <cell r="R66">
            <v>1.1429E-2</v>
          </cell>
          <cell r="S66">
            <v>1.1429E-2</v>
          </cell>
          <cell r="T66">
            <v>1.1429E-2</v>
          </cell>
          <cell r="U66">
            <v>1.1429E-2</v>
          </cell>
          <cell r="V66">
            <v>1.1429E-2</v>
          </cell>
          <cell r="W66">
            <v>1.1429E-2</v>
          </cell>
          <cell r="X66">
            <v>1.1429E-2</v>
          </cell>
          <cell r="Y66">
            <v>1.1429E-2</v>
          </cell>
          <cell r="Z66">
            <v>1.1429E-2</v>
          </cell>
          <cell r="AA66">
            <v>1.1429E-2</v>
          </cell>
          <cell r="AB66">
            <v>1.1429E-2</v>
          </cell>
          <cell r="AC66">
            <v>1.1429E-2</v>
          </cell>
          <cell r="AD66">
            <v>1.1429E-2</v>
          </cell>
          <cell r="AE66">
            <v>1.1429E-2</v>
          </cell>
          <cell r="AF66">
            <v>1.1429E-2</v>
          </cell>
          <cell r="AG66">
            <v>1.1429E-2</v>
          </cell>
          <cell r="AH66">
            <v>1.1429E-2</v>
          </cell>
          <cell r="AI66">
            <v>1.1429E-2</v>
          </cell>
          <cell r="AJ66">
            <v>1.1429E-2</v>
          </cell>
          <cell r="AK66">
            <v>1.1429E-2</v>
          </cell>
          <cell r="AL66">
            <v>1.1429E-2</v>
          </cell>
          <cell r="AM66">
            <v>1.1429E-2</v>
          </cell>
          <cell r="AN66">
            <v>1.1429E-2</v>
          </cell>
          <cell r="AO66">
            <v>1.1429E-2</v>
          </cell>
          <cell r="AP66">
            <v>1.1429E-2</v>
          </cell>
          <cell r="AQ66">
            <v>1.1429E-2</v>
          </cell>
          <cell r="AR66">
            <v>1.1429E-2</v>
          </cell>
          <cell r="AS66">
            <v>1.1429E-2</v>
          </cell>
          <cell r="AT66">
            <v>1.1429E-2</v>
          </cell>
          <cell r="AU66">
            <v>1.1429E-2</v>
          </cell>
          <cell r="AV66">
            <v>1.1429E-2</v>
          </cell>
          <cell r="AW66">
            <v>1.1429E-2</v>
          </cell>
          <cell r="AX66">
            <v>1.1429E-2</v>
          </cell>
          <cell r="AY66">
            <v>1.1429E-2</v>
          </cell>
          <cell r="AZ66">
            <v>1.1429E-2</v>
          </cell>
          <cell r="BA66">
            <v>1.1429E-2</v>
          </cell>
          <cell r="BB66">
            <v>1.1429E-2</v>
          </cell>
          <cell r="BC66">
            <v>1.1429E-2</v>
          </cell>
          <cell r="BD66">
            <v>1.1429E-2</v>
          </cell>
          <cell r="BE66">
            <v>1.1429E-2</v>
          </cell>
          <cell r="BF66">
            <v>1.1429E-2</v>
          </cell>
          <cell r="BG66">
            <v>1.1429E-2</v>
          </cell>
          <cell r="BH66">
            <v>1.1429E-2</v>
          </cell>
          <cell r="BI66">
            <v>1.1429E-2</v>
          </cell>
          <cell r="BJ66">
            <v>1.1429E-2</v>
          </cell>
          <cell r="BK66">
            <v>1.1429E-2</v>
          </cell>
          <cell r="BL66">
            <v>1.1429E-2</v>
          </cell>
        </row>
        <row r="67">
          <cell r="D67">
            <v>1.8498000000000001E-2</v>
          </cell>
          <cell r="E67">
            <v>1.8498000000000001E-2</v>
          </cell>
          <cell r="F67">
            <v>1.8498000000000001E-2</v>
          </cell>
          <cell r="G67">
            <v>1.8498000000000001E-2</v>
          </cell>
          <cell r="H67">
            <v>1.8498000000000001E-2</v>
          </cell>
          <cell r="I67">
            <v>1.8498000000000001E-2</v>
          </cell>
          <cell r="J67">
            <v>1.8498000000000001E-2</v>
          </cell>
          <cell r="K67">
            <v>1.8498000000000001E-2</v>
          </cell>
          <cell r="L67">
            <v>1.8498000000000001E-2</v>
          </cell>
          <cell r="M67">
            <v>1.8498000000000001E-2</v>
          </cell>
          <cell r="N67">
            <v>1.8498000000000001E-2</v>
          </cell>
          <cell r="O67">
            <v>1.8498000000000001E-2</v>
          </cell>
          <cell r="P67">
            <v>1.8498000000000001E-2</v>
          </cell>
          <cell r="Q67">
            <v>1.8498000000000001E-2</v>
          </cell>
          <cell r="R67">
            <v>1.8498000000000001E-2</v>
          </cell>
          <cell r="S67">
            <v>1.8498000000000001E-2</v>
          </cell>
          <cell r="T67">
            <v>1.8498000000000001E-2</v>
          </cell>
          <cell r="U67">
            <v>1.8498000000000001E-2</v>
          </cell>
          <cell r="V67">
            <v>1.8498000000000001E-2</v>
          </cell>
          <cell r="W67">
            <v>1.8498000000000001E-2</v>
          </cell>
          <cell r="X67">
            <v>1.8498000000000001E-2</v>
          </cell>
          <cell r="Y67">
            <v>1.8498000000000001E-2</v>
          </cell>
          <cell r="Z67">
            <v>1.8498000000000001E-2</v>
          </cell>
          <cell r="AA67">
            <v>1.8498000000000001E-2</v>
          </cell>
          <cell r="AB67">
            <v>1.8498000000000001E-2</v>
          </cell>
          <cell r="AC67">
            <v>1.8498000000000001E-2</v>
          </cell>
          <cell r="AD67">
            <v>1.8498000000000001E-2</v>
          </cell>
          <cell r="AE67">
            <v>1.8498000000000001E-2</v>
          </cell>
          <cell r="AF67">
            <v>1.8498000000000001E-2</v>
          </cell>
          <cell r="AG67">
            <v>1.8498000000000001E-2</v>
          </cell>
          <cell r="AH67">
            <v>1.8498000000000001E-2</v>
          </cell>
          <cell r="AI67">
            <v>1.8498000000000001E-2</v>
          </cell>
          <cell r="AJ67">
            <v>1.8498000000000001E-2</v>
          </cell>
          <cell r="AK67">
            <v>1.8498000000000001E-2</v>
          </cell>
          <cell r="AL67">
            <v>1.8498000000000001E-2</v>
          </cell>
          <cell r="AM67">
            <v>1.8498000000000001E-2</v>
          </cell>
          <cell r="AN67">
            <v>1.8498000000000001E-2</v>
          </cell>
          <cell r="AO67">
            <v>1.8498000000000001E-2</v>
          </cell>
          <cell r="AP67">
            <v>1.8498000000000001E-2</v>
          </cell>
          <cell r="AQ67">
            <v>1.8498000000000001E-2</v>
          </cell>
          <cell r="AR67">
            <v>1.8498000000000001E-2</v>
          </cell>
          <cell r="AS67">
            <v>1.8498000000000001E-2</v>
          </cell>
          <cell r="AT67">
            <v>1.8498000000000001E-2</v>
          </cell>
          <cell r="AU67">
            <v>1.8498000000000001E-2</v>
          </cell>
          <cell r="AV67">
            <v>1.8498000000000001E-2</v>
          </cell>
          <cell r="AW67">
            <v>1.8498000000000001E-2</v>
          </cell>
          <cell r="AX67">
            <v>1.8498000000000001E-2</v>
          </cell>
          <cell r="AY67">
            <v>1.8498000000000001E-2</v>
          </cell>
          <cell r="AZ67">
            <v>1.8498000000000001E-2</v>
          </cell>
          <cell r="BA67">
            <v>1.8498000000000001E-2</v>
          </cell>
          <cell r="BB67">
            <v>1.8498000000000001E-2</v>
          </cell>
          <cell r="BC67">
            <v>1.8498000000000001E-2</v>
          </cell>
          <cell r="BD67">
            <v>1.8498000000000001E-2</v>
          </cell>
          <cell r="BE67">
            <v>1.8498000000000001E-2</v>
          </cell>
          <cell r="BF67">
            <v>1.8498000000000001E-2</v>
          </cell>
          <cell r="BG67">
            <v>1.8498000000000001E-2</v>
          </cell>
          <cell r="BH67">
            <v>1.8498000000000001E-2</v>
          </cell>
          <cell r="BI67">
            <v>1.8498000000000001E-2</v>
          </cell>
          <cell r="BJ67">
            <v>1.8498000000000001E-2</v>
          </cell>
          <cell r="BK67">
            <v>1.8498000000000001E-2</v>
          </cell>
          <cell r="BL67">
            <v>1.8498000000000001E-2</v>
          </cell>
        </row>
        <row r="68">
          <cell r="D68">
            <v>1.8498000000000001E-2</v>
          </cell>
          <cell r="E68">
            <v>1.8498000000000001E-2</v>
          </cell>
          <cell r="F68">
            <v>1.8498000000000001E-2</v>
          </cell>
          <cell r="G68">
            <v>1.8498000000000001E-2</v>
          </cell>
          <cell r="H68">
            <v>1.8498000000000001E-2</v>
          </cell>
          <cell r="I68">
            <v>1.8498000000000001E-2</v>
          </cell>
          <cell r="J68">
            <v>1.8498000000000001E-2</v>
          </cell>
          <cell r="K68">
            <v>1.8498000000000001E-2</v>
          </cell>
          <cell r="L68">
            <v>1.8498000000000001E-2</v>
          </cell>
          <cell r="M68">
            <v>1.8498000000000001E-2</v>
          </cell>
          <cell r="N68">
            <v>1.8498000000000001E-2</v>
          </cell>
          <cell r="O68">
            <v>1.8498000000000001E-2</v>
          </cell>
          <cell r="P68">
            <v>1.8498000000000001E-2</v>
          </cell>
          <cell r="Q68">
            <v>1.8498000000000001E-2</v>
          </cell>
          <cell r="R68">
            <v>1.8498000000000001E-2</v>
          </cell>
          <cell r="S68">
            <v>1.8498000000000001E-2</v>
          </cell>
          <cell r="T68">
            <v>1.8498000000000001E-2</v>
          </cell>
          <cell r="U68">
            <v>1.8498000000000001E-2</v>
          </cell>
          <cell r="V68">
            <v>1.8498000000000001E-2</v>
          </cell>
          <cell r="W68">
            <v>1.8498000000000001E-2</v>
          </cell>
          <cell r="X68">
            <v>1.8498000000000001E-2</v>
          </cell>
          <cell r="Y68">
            <v>1.8498000000000001E-2</v>
          </cell>
          <cell r="Z68">
            <v>1.8498000000000001E-2</v>
          </cell>
          <cell r="AA68">
            <v>1.8498000000000001E-2</v>
          </cell>
          <cell r="AB68">
            <v>1.8498000000000001E-2</v>
          </cell>
          <cell r="AC68">
            <v>1.8498000000000001E-2</v>
          </cell>
          <cell r="AD68">
            <v>1.8498000000000001E-2</v>
          </cell>
          <cell r="AE68">
            <v>1.8498000000000001E-2</v>
          </cell>
          <cell r="AF68">
            <v>1.8498000000000001E-2</v>
          </cell>
          <cell r="AG68">
            <v>1.8498000000000001E-2</v>
          </cell>
          <cell r="AH68">
            <v>1.8498000000000001E-2</v>
          </cell>
          <cell r="AI68">
            <v>1.8498000000000001E-2</v>
          </cell>
          <cell r="AJ68">
            <v>1.8498000000000001E-2</v>
          </cell>
          <cell r="AK68">
            <v>1.8498000000000001E-2</v>
          </cell>
          <cell r="AL68">
            <v>1.8498000000000001E-2</v>
          </cell>
          <cell r="AM68">
            <v>1.8498000000000001E-2</v>
          </cell>
          <cell r="AN68">
            <v>1.8498000000000001E-2</v>
          </cell>
          <cell r="AO68">
            <v>1.8498000000000001E-2</v>
          </cell>
          <cell r="AP68">
            <v>1.8498000000000001E-2</v>
          </cell>
          <cell r="AQ68">
            <v>1.8498000000000001E-2</v>
          </cell>
          <cell r="AR68">
            <v>1.8498000000000001E-2</v>
          </cell>
          <cell r="AS68">
            <v>1.8498000000000001E-2</v>
          </cell>
          <cell r="AT68">
            <v>1.8498000000000001E-2</v>
          </cell>
          <cell r="AU68">
            <v>1.8498000000000001E-2</v>
          </cell>
          <cell r="AV68">
            <v>1.8498000000000001E-2</v>
          </cell>
          <cell r="AW68">
            <v>1.8498000000000001E-2</v>
          </cell>
          <cell r="AX68">
            <v>1.8498000000000001E-2</v>
          </cell>
          <cell r="AY68">
            <v>1.8498000000000001E-2</v>
          </cell>
          <cell r="AZ68">
            <v>1.8498000000000001E-2</v>
          </cell>
          <cell r="BA68">
            <v>1.8498000000000001E-2</v>
          </cell>
          <cell r="BB68">
            <v>1.8498000000000001E-2</v>
          </cell>
          <cell r="BC68">
            <v>1.8498000000000001E-2</v>
          </cell>
          <cell r="BD68">
            <v>1.8498000000000001E-2</v>
          </cell>
          <cell r="BE68">
            <v>1.8498000000000001E-2</v>
          </cell>
          <cell r="BF68">
            <v>1.8498000000000001E-2</v>
          </cell>
          <cell r="BG68">
            <v>1.8498000000000001E-2</v>
          </cell>
          <cell r="BH68">
            <v>1.8498000000000001E-2</v>
          </cell>
          <cell r="BI68">
            <v>1.8498000000000001E-2</v>
          </cell>
          <cell r="BJ68">
            <v>1.8498000000000001E-2</v>
          </cell>
          <cell r="BK68">
            <v>1.8498000000000001E-2</v>
          </cell>
          <cell r="BL68">
            <v>1.8498000000000001E-2</v>
          </cell>
        </row>
        <row r="69">
          <cell r="D69">
            <v>1.8498000000000001E-2</v>
          </cell>
          <cell r="E69">
            <v>1.8498000000000001E-2</v>
          </cell>
          <cell r="F69">
            <v>1.8498000000000001E-2</v>
          </cell>
          <cell r="G69">
            <v>1.8498000000000001E-2</v>
          </cell>
          <cell r="H69">
            <v>1.8498000000000001E-2</v>
          </cell>
          <cell r="I69">
            <v>1.8498000000000001E-2</v>
          </cell>
          <cell r="J69">
            <v>1.8498000000000001E-2</v>
          </cell>
          <cell r="K69">
            <v>1.8498000000000001E-2</v>
          </cell>
          <cell r="L69">
            <v>1.8498000000000001E-2</v>
          </cell>
          <cell r="M69">
            <v>1.8498000000000001E-2</v>
          </cell>
          <cell r="N69">
            <v>1.8498000000000001E-2</v>
          </cell>
          <cell r="O69">
            <v>1.8498000000000001E-2</v>
          </cell>
          <cell r="P69">
            <v>1.8498000000000001E-2</v>
          </cell>
          <cell r="Q69">
            <v>1.8498000000000001E-2</v>
          </cell>
          <cell r="R69">
            <v>1.8498000000000001E-2</v>
          </cell>
          <cell r="S69">
            <v>1.8498000000000001E-2</v>
          </cell>
          <cell r="T69">
            <v>1.8498000000000001E-2</v>
          </cell>
          <cell r="U69">
            <v>1.8498000000000001E-2</v>
          </cell>
          <cell r="V69">
            <v>1.8498000000000001E-2</v>
          </cell>
          <cell r="W69">
            <v>1.8498000000000001E-2</v>
          </cell>
          <cell r="X69">
            <v>1.8498000000000001E-2</v>
          </cell>
          <cell r="Y69">
            <v>1.8498000000000001E-2</v>
          </cell>
          <cell r="Z69">
            <v>1.8498000000000001E-2</v>
          </cell>
          <cell r="AA69">
            <v>1.8498000000000001E-2</v>
          </cell>
          <cell r="AB69">
            <v>1.8498000000000001E-2</v>
          </cell>
          <cell r="AC69">
            <v>1.8498000000000001E-2</v>
          </cell>
          <cell r="AD69">
            <v>1.8498000000000001E-2</v>
          </cell>
          <cell r="AE69">
            <v>1.8498000000000001E-2</v>
          </cell>
          <cell r="AF69">
            <v>1.8498000000000001E-2</v>
          </cell>
          <cell r="AG69">
            <v>1.8498000000000001E-2</v>
          </cell>
          <cell r="AH69">
            <v>1.8498000000000001E-2</v>
          </cell>
          <cell r="AI69">
            <v>1.8498000000000001E-2</v>
          </cell>
          <cell r="AJ69">
            <v>1.8498000000000001E-2</v>
          </cell>
          <cell r="AK69">
            <v>1.8498000000000001E-2</v>
          </cell>
          <cell r="AL69">
            <v>1.8498000000000001E-2</v>
          </cell>
          <cell r="AM69">
            <v>1.8498000000000001E-2</v>
          </cell>
          <cell r="AN69">
            <v>1.8498000000000001E-2</v>
          </cell>
          <cell r="AO69">
            <v>1.8498000000000001E-2</v>
          </cell>
          <cell r="AP69">
            <v>1.8498000000000001E-2</v>
          </cell>
          <cell r="AQ69">
            <v>1.8498000000000001E-2</v>
          </cell>
          <cell r="AR69">
            <v>1.8498000000000001E-2</v>
          </cell>
          <cell r="AS69">
            <v>1.8498000000000001E-2</v>
          </cell>
          <cell r="AT69">
            <v>1.8498000000000001E-2</v>
          </cell>
          <cell r="AU69">
            <v>1.8498000000000001E-2</v>
          </cell>
          <cell r="AV69">
            <v>1.8498000000000001E-2</v>
          </cell>
          <cell r="AW69">
            <v>1.8498000000000001E-2</v>
          </cell>
          <cell r="AX69">
            <v>1.8498000000000001E-2</v>
          </cell>
          <cell r="AY69">
            <v>1.8498000000000001E-2</v>
          </cell>
          <cell r="AZ69">
            <v>1.8498000000000001E-2</v>
          </cell>
          <cell r="BA69">
            <v>1.8498000000000001E-2</v>
          </cell>
          <cell r="BB69">
            <v>1.8498000000000001E-2</v>
          </cell>
          <cell r="BC69">
            <v>1.8498000000000001E-2</v>
          </cell>
          <cell r="BD69">
            <v>1.8498000000000001E-2</v>
          </cell>
          <cell r="BE69">
            <v>1.8498000000000001E-2</v>
          </cell>
          <cell r="BF69">
            <v>1.8498000000000001E-2</v>
          </cell>
          <cell r="BG69">
            <v>1.8498000000000001E-2</v>
          </cell>
          <cell r="BH69">
            <v>1.8498000000000001E-2</v>
          </cell>
          <cell r="BI69">
            <v>1.8498000000000001E-2</v>
          </cell>
          <cell r="BJ69">
            <v>1.8498000000000001E-2</v>
          </cell>
          <cell r="BK69">
            <v>1.8498000000000001E-2</v>
          </cell>
          <cell r="BL69">
            <v>1.8498000000000001E-2</v>
          </cell>
        </row>
        <row r="70">
          <cell r="D70">
            <v>1.8498000000000001E-2</v>
          </cell>
          <cell r="E70">
            <v>1.8498000000000001E-2</v>
          </cell>
          <cell r="F70">
            <v>1.8498000000000001E-2</v>
          </cell>
          <cell r="G70">
            <v>1.8498000000000001E-2</v>
          </cell>
          <cell r="H70">
            <v>1.8498000000000001E-2</v>
          </cell>
          <cell r="I70">
            <v>1.8498000000000001E-2</v>
          </cell>
          <cell r="J70">
            <v>1.8498000000000001E-2</v>
          </cell>
          <cell r="K70">
            <v>1.8498000000000001E-2</v>
          </cell>
          <cell r="L70">
            <v>1.8498000000000001E-2</v>
          </cell>
          <cell r="M70">
            <v>1.8498000000000001E-2</v>
          </cell>
          <cell r="N70">
            <v>1.8498000000000001E-2</v>
          </cell>
          <cell r="O70">
            <v>1.8498000000000001E-2</v>
          </cell>
          <cell r="P70">
            <v>1.8498000000000001E-2</v>
          </cell>
          <cell r="Q70">
            <v>1.8498000000000001E-2</v>
          </cell>
          <cell r="R70">
            <v>1.8498000000000001E-2</v>
          </cell>
          <cell r="S70">
            <v>1.8498000000000001E-2</v>
          </cell>
          <cell r="T70">
            <v>1.8498000000000001E-2</v>
          </cell>
          <cell r="U70">
            <v>1.8498000000000001E-2</v>
          </cell>
          <cell r="V70">
            <v>1.8498000000000001E-2</v>
          </cell>
          <cell r="W70">
            <v>1.8498000000000001E-2</v>
          </cell>
          <cell r="X70">
            <v>1.8498000000000001E-2</v>
          </cell>
          <cell r="Y70">
            <v>1.8498000000000001E-2</v>
          </cell>
          <cell r="Z70">
            <v>1.8498000000000001E-2</v>
          </cell>
          <cell r="AA70">
            <v>1.8498000000000001E-2</v>
          </cell>
          <cell r="AB70">
            <v>1.8498000000000001E-2</v>
          </cell>
          <cell r="AC70">
            <v>1.8498000000000001E-2</v>
          </cell>
          <cell r="AD70">
            <v>1.8498000000000001E-2</v>
          </cell>
          <cell r="AE70">
            <v>1.8498000000000001E-2</v>
          </cell>
          <cell r="AF70">
            <v>1.8498000000000001E-2</v>
          </cell>
          <cell r="AG70">
            <v>1.8498000000000001E-2</v>
          </cell>
          <cell r="AH70">
            <v>1.8498000000000001E-2</v>
          </cell>
          <cell r="AI70">
            <v>1.8498000000000001E-2</v>
          </cell>
          <cell r="AJ70">
            <v>1.8498000000000001E-2</v>
          </cell>
          <cell r="AK70">
            <v>1.8498000000000001E-2</v>
          </cell>
          <cell r="AL70">
            <v>1.8498000000000001E-2</v>
          </cell>
          <cell r="AM70">
            <v>1.8498000000000001E-2</v>
          </cell>
          <cell r="AN70">
            <v>1.8498000000000001E-2</v>
          </cell>
          <cell r="AO70">
            <v>1.8498000000000001E-2</v>
          </cell>
          <cell r="AP70">
            <v>1.8498000000000001E-2</v>
          </cell>
          <cell r="AQ70">
            <v>1.8498000000000001E-2</v>
          </cell>
          <cell r="AR70">
            <v>1.8498000000000001E-2</v>
          </cell>
          <cell r="AS70">
            <v>1.8498000000000001E-2</v>
          </cell>
          <cell r="AT70">
            <v>1.8498000000000001E-2</v>
          </cell>
          <cell r="AU70">
            <v>1.8498000000000001E-2</v>
          </cell>
          <cell r="AV70">
            <v>1.8498000000000001E-2</v>
          </cell>
          <cell r="AW70">
            <v>1.8498000000000001E-2</v>
          </cell>
          <cell r="AX70">
            <v>1.8498000000000001E-2</v>
          </cell>
          <cell r="AY70">
            <v>1.8498000000000001E-2</v>
          </cell>
          <cell r="AZ70">
            <v>1.8498000000000001E-2</v>
          </cell>
          <cell r="BA70">
            <v>1.8498000000000001E-2</v>
          </cell>
          <cell r="BB70">
            <v>1.8498000000000001E-2</v>
          </cell>
          <cell r="BC70">
            <v>1.8498000000000001E-2</v>
          </cell>
          <cell r="BD70">
            <v>1.8498000000000001E-2</v>
          </cell>
          <cell r="BE70">
            <v>1.8498000000000001E-2</v>
          </cell>
          <cell r="BF70">
            <v>1.8498000000000001E-2</v>
          </cell>
          <cell r="BG70">
            <v>1.8498000000000001E-2</v>
          </cell>
          <cell r="BH70">
            <v>1.8498000000000001E-2</v>
          </cell>
          <cell r="BI70">
            <v>1.8498000000000001E-2</v>
          </cell>
          <cell r="BJ70">
            <v>1.8498000000000001E-2</v>
          </cell>
          <cell r="BK70">
            <v>1.8498000000000001E-2</v>
          </cell>
          <cell r="BL70">
            <v>1.8498000000000001E-2</v>
          </cell>
        </row>
        <row r="71">
          <cell r="D71">
            <v>2.1755E-2</v>
          </cell>
          <cell r="E71">
            <v>2.1755E-2</v>
          </cell>
          <cell r="F71">
            <v>2.1755E-2</v>
          </cell>
          <cell r="G71">
            <v>2.1755E-2</v>
          </cell>
          <cell r="H71">
            <v>2.1755E-2</v>
          </cell>
          <cell r="I71">
            <v>2.1755E-2</v>
          </cell>
          <cell r="J71">
            <v>2.1755E-2</v>
          </cell>
          <cell r="K71">
            <v>2.1755E-2</v>
          </cell>
          <cell r="L71">
            <v>2.1755E-2</v>
          </cell>
          <cell r="M71">
            <v>2.1755E-2</v>
          </cell>
          <cell r="N71">
            <v>2.1755E-2</v>
          </cell>
          <cell r="O71">
            <v>2.1755E-2</v>
          </cell>
          <cell r="P71">
            <v>2.1755E-2</v>
          </cell>
          <cell r="Q71">
            <v>2.1755E-2</v>
          </cell>
          <cell r="R71">
            <v>2.1755E-2</v>
          </cell>
          <cell r="S71">
            <v>2.1755E-2</v>
          </cell>
          <cell r="T71">
            <v>2.1755E-2</v>
          </cell>
          <cell r="U71">
            <v>2.1755E-2</v>
          </cell>
          <cell r="V71">
            <v>2.1755E-2</v>
          </cell>
          <cell r="W71">
            <v>2.1755E-2</v>
          </cell>
          <cell r="X71">
            <v>2.1755E-2</v>
          </cell>
          <cell r="Y71">
            <v>2.1755E-2</v>
          </cell>
          <cell r="Z71">
            <v>2.1755E-2</v>
          </cell>
          <cell r="AA71">
            <v>2.1755E-2</v>
          </cell>
          <cell r="AB71">
            <v>2.1755E-2</v>
          </cell>
          <cell r="AC71">
            <v>2.1755E-2</v>
          </cell>
          <cell r="AD71">
            <v>2.1755E-2</v>
          </cell>
          <cell r="AE71">
            <v>2.1755E-2</v>
          </cell>
          <cell r="AF71">
            <v>2.1755E-2</v>
          </cell>
          <cell r="AG71">
            <v>2.1755E-2</v>
          </cell>
          <cell r="AH71">
            <v>2.1755E-2</v>
          </cell>
          <cell r="AI71">
            <v>2.1755E-2</v>
          </cell>
          <cell r="AJ71">
            <v>2.1755E-2</v>
          </cell>
          <cell r="AK71">
            <v>2.1755E-2</v>
          </cell>
          <cell r="AL71">
            <v>2.1755E-2</v>
          </cell>
          <cell r="AM71">
            <v>2.1755E-2</v>
          </cell>
          <cell r="AN71">
            <v>2.1755E-2</v>
          </cell>
          <cell r="AO71">
            <v>2.1755E-2</v>
          </cell>
          <cell r="AP71">
            <v>2.1755E-2</v>
          </cell>
          <cell r="AQ71">
            <v>2.1755E-2</v>
          </cell>
          <cell r="AR71">
            <v>2.1755E-2</v>
          </cell>
          <cell r="AS71">
            <v>2.1755E-2</v>
          </cell>
          <cell r="AT71">
            <v>2.1755E-2</v>
          </cell>
          <cell r="AU71">
            <v>2.1755E-2</v>
          </cell>
          <cell r="AV71">
            <v>2.1755E-2</v>
          </cell>
          <cell r="AW71">
            <v>2.1755E-2</v>
          </cell>
          <cell r="AX71">
            <v>2.1755E-2</v>
          </cell>
          <cell r="AY71">
            <v>2.1755E-2</v>
          </cell>
          <cell r="AZ71">
            <v>2.1755E-2</v>
          </cell>
          <cell r="BA71">
            <v>2.1755E-2</v>
          </cell>
          <cell r="BB71">
            <v>2.1755E-2</v>
          </cell>
          <cell r="BC71">
            <v>2.1755E-2</v>
          </cell>
          <cell r="BD71">
            <v>2.1755E-2</v>
          </cell>
          <cell r="BE71">
            <v>2.1755E-2</v>
          </cell>
          <cell r="BF71">
            <v>2.1755E-2</v>
          </cell>
          <cell r="BG71">
            <v>2.1755E-2</v>
          </cell>
          <cell r="BH71">
            <v>2.1755E-2</v>
          </cell>
          <cell r="BI71">
            <v>2.1755E-2</v>
          </cell>
          <cell r="BJ71">
            <v>2.1755E-2</v>
          </cell>
          <cell r="BK71">
            <v>2.1755E-2</v>
          </cell>
          <cell r="BL71">
            <v>2.1755E-2</v>
          </cell>
        </row>
        <row r="72">
          <cell r="D72">
            <v>2.1755E-2</v>
          </cell>
          <cell r="E72">
            <v>2.1755E-2</v>
          </cell>
          <cell r="F72">
            <v>2.1755E-2</v>
          </cell>
          <cell r="G72">
            <v>2.1755E-2</v>
          </cell>
          <cell r="H72">
            <v>2.1755E-2</v>
          </cell>
          <cell r="I72">
            <v>2.1755E-2</v>
          </cell>
          <cell r="J72">
            <v>2.1755E-2</v>
          </cell>
          <cell r="K72">
            <v>2.1755E-2</v>
          </cell>
          <cell r="L72">
            <v>2.1755E-2</v>
          </cell>
          <cell r="M72">
            <v>2.1755E-2</v>
          </cell>
          <cell r="N72">
            <v>2.1755E-2</v>
          </cell>
          <cell r="O72">
            <v>2.1755E-2</v>
          </cell>
          <cell r="P72">
            <v>2.1755E-2</v>
          </cell>
          <cell r="Q72">
            <v>2.1755E-2</v>
          </cell>
          <cell r="R72">
            <v>2.1755E-2</v>
          </cell>
          <cell r="S72">
            <v>2.1755E-2</v>
          </cell>
          <cell r="T72">
            <v>2.1755E-2</v>
          </cell>
          <cell r="U72">
            <v>2.1755E-2</v>
          </cell>
          <cell r="V72">
            <v>2.1755E-2</v>
          </cell>
          <cell r="W72">
            <v>2.1755E-2</v>
          </cell>
          <cell r="X72">
            <v>2.1755E-2</v>
          </cell>
          <cell r="Y72">
            <v>2.1755E-2</v>
          </cell>
          <cell r="Z72">
            <v>2.1755E-2</v>
          </cell>
          <cell r="AA72">
            <v>2.1755E-2</v>
          </cell>
          <cell r="AB72">
            <v>2.1755E-2</v>
          </cell>
          <cell r="AC72">
            <v>2.1755E-2</v>
          </cell>
          <cell r="AD72">
            <v>2.1755E-2</v>
          </cell>
          <cell r="AE72">
            <v>2.1755E-2</v>
          </cell>
          <cell r="AF72">
            <v>2.1755E-2</v>
          </cell>
          <cell r="AG72">
            <v>2.1755E-2</v>
          </cell>
          <cell r="AH72">
            <v>2.1755E-2</v>
          </cell>
          <cell r="AI72">
            <v>2.1755E-2</v>
          </cell>
          <cell r="AJ72">
            <v>2.1755E-2</v>
          </cell>
          <cell r="AK72">
            <v>2.1755E-2</v>
          </cell>
          <cell r="AL72">
            <v>2.1755E-2</v>
          </cell>
          <cell r="AM72">
            <v>2.1755E-2</v>
          </cell>
          <cell r="AN72">
            <v>2.1755E-2</v>
          </cell>
          <cell r="AO72">
            <v>2.1755E-2</v>
          </cell>
          <cell r="AP72">
            <v>2.1755E-2</v>
          </cell>
          <cell r="AQ72">
            <v>2.1755E-2</v>
          </cell>
          <cell r="AR72">
            <v>2.1755E-2</v>
          </cell>
          <cell r="AS72">
            <v>2.1755E-2</v>
          </cell>
          <cell r="AT72">
            <v>2.1755E-2</v>
          </cell>
          <cell r="AU72">
            <v>2.1755E-2</v>
          </cell>
          <cell r="AV72">
            <v>2.1755E-2</v>
          </cell>
          <cell r="AW72">
            <v>2.1755E-2</v>
          </cell>
          <cell r="AX72">
            <v>2.1755E-2</v>
          </cell>
          <cell r="AY72">
            <v>2.1755E-2</v>
          </cell>
          <cell r="AZ72">
            <v>2.1755E-2</v>
          </cell>
          <cell r="BA72">
            <v>2.1755E-2</v>
          </cell>
          <cell r="BB72">
            <v>2.1755E-2</v>
          </cell>
          <cell r="BC72">
            <v>2.1755E-2</v>
          </cell>
          <cell r="BD72">
            <v>2.1755E-2</v>
          </cell>
          <cell r="BE72">
            <v>2.1755E-2</v>
          </cell>
          <cell r="BF72">
            <v>2.1755E-2</v>
          </cell>
          <cell r="BG72">
            <v>2.1755E-2</v>
          </cell>
          <cell r="BH72">
            <v>2.1755E-2</v>
          </cell>
          <cell r="BI72">
            <v>2.1755E-2</v>
          </cell>
          <cell r="BJ72">
            <v>2.1755E-2</v>
          </cell>
          <cell r="BK72">
            <v>2.1755E-2</v>
          </cell>
          <cell r="BL72">
            <v>2.1755E-2</v>
          </cell>
        </row>
        <row r="73">
          <cell r="D73">
            <v>2.1755E-2</v>
          </cell>
          <cell r="E73">
            <v>2.1755E-2</v>
          </cell>
          <cell r="F73">
            <v>2.1755E-2</v>
          </cell>
          <cell r="G73">
            <v>2.1755E-2</v>
          </cell>
          <cell r="H73">
            <v>2.1755E-2</v>
          </cell>
          <cell r="I73">
            <v>2.1755E-2</v>
          </cell>
          <cell r="J73">
            <v>2.1755E-2</v>
          </cell>
          <cell r="K73">
            <v>2.1755E-2</v>
          </cell>
          <cell r="L73">
            <v>2.1755E-2</v>
          </cell>
          <cell r="M73">
            <v>2.1755E-2</v>
          </cell>
          <cell r="N73">
            <v>2.1755E-2</v>
          </cell>
          <cell r="O73">
            <v>2.1755E-2</v>
          </cell>
          <cell r="P73">
            <v>2.1755E-2</v>
          </cell>
          <cell r="Q73">
            <v>2.1755E-2</v>
          </cell>
          <cell r="R73">
            <v>2.1755E-2</v>
          </cell>
          <cell r="S73">
            <v>2.1755E-2</v>
          </cell>
          <cell r="T73">
            <v>2.1755E-2</v>
          </cell>
          <cell r="U73">
            <v>2.1755E-2</v>
          </cell>
          <cell r="V73">
            <v>2.1755E-2</v>
          </cell>
          <cell r="W73">
            <v>2.1755E-2</v>
          </cell>
          <cell r="X73">
            <v>2.1755E-2</v>
          </cell>
          <cell r="Y73">
            <v>2.1755E-2</v>
          </cell>
          <cell r="Z73">
            <v>2.1755E-2</v>
          </cell>
          <cell r="AA73">
            <v>2.1755E-2</v>
          </cell>
          <cell r="AB73">
            <v>2.1755E-2</v>
          </cell>
          <cell r="AC73">
            <v>2.1755E-2</v>
          </cell>
          <cell r="AD73">
            <v>2.1755E-2</v>
          </cell>
          <cell r="AE73">
            <v>2.1755E-2</v>
          </cell>
          <cell r="AF73">
            <v>2.1755E-2</v>
          </cell>
          <cell r="AG73">
            <v>2.1755E-2</v>
          </cell>
          <cell r="AH73">
            <v>2.1755E-2</v>
          </cell>
          <cell r="AI73">
            <v>2.1755E-2</v>
          </cell>
          <cell r="AJ73">
            <v>2.1755E-2</v>
          </cell>
          <cell r="AK73">
            <v>2.1755E-2</v>
          </cell>
          <cell r="AL73">
            <v>2.1755E-2</v>
          </cell>
          <cell r="AM73">
            <v>2.1755E-2</v>
          </cell>
          <cell r="AN73">
            <v>2.1755E-2</v>
          </cell>
          <cell r="AO73">
            <v>2.1755E-2</v>
          </cell>
          <cell r="AP73">
            <v>2.1755E-2</v>
          </cell>
          <cell r="AQ73">
            <v>2.1755E-2</v>
          </cell>
          <cell r="AR73">
            <v>2.1755E-2</v>
          </cell>
          <cell r="AS73">
            <v>2.1755E-2</v>
          </cell>
          <cell r="AT73">
            <v>2.1755E-2</v>
          </cell>
          <cell r="AU73">
            <v>2.1755E-2</v>
          </cell>
          <cell r="AV73">
            <v>2.1755E-2</v>
          </cell>
          <cell r="AW73">
            <v>2.1755E-2</v>
          </cell>
          <cell r="AX73">
            <v>2.1755E-2</v>
          </cell>
          <cell r="AY73">
            <v>2.1755E-2</v>
          </cell>
          <cell r="AZ73">
            <v>2.1755E-2</v>
          </cell>
          <cell r="BA73">
            <v>2.1755E-2</v>
          </cell>
          <cell r="BB73">
            <v>2.1755E-2</v>
          </cell>
          <cell r="BC73">
            <v>2.1755E-2</v>
          </cell>
          <cell r="BD73">
            <v>2.1755E-2</v>
          </cell>
          <cell r="BE73">
            <v>2.1755E-2</v>
          </cell>
          <cell r="BF73">
            <v>2.1755E-2</v>
          </cell>
          <cell r="BG73">
            <v>2.1755E-2</v>
          </cell>
          <cell r="BH73">
            <v>2.1755E-2</v>
          </cell>
          <cell r="BI73">
            <v>2.1755E-2</v>
          </cell>
          <cell r="BJ73">
            <v>2.1755E-2</v>
          </cell>
          <cell r="BK73">
            <v>2.1755E-2</v>
          </cell>
          <cell r="BL73">
            <v>2.1755E-2</v>
          </cell>
        </row>
        <row r="78">
          <cell r="D78">
            <v>8.5000000000000006E-3</v>
          </cell>
          <cell r="E78">
            <v>8.5000000000000006E-3</v>
          </cell>
          <cell r="F78">
            <v>8.5000000000000006E-3</v>
          </cell>
          <cell r="G78">
            <v>8.5000000000000006E-3</v>
          </cell>
          <cell r="H78">
            <v>8.5000000000000006E-3</v>
          </cell>
          <cell r="I78">
            <v>8.5000000000000006E-3</v>
          </cell>
          <cell r="J78">
            <v>8.5000000000000006E-3</v>
          </cell>
          <cell r="K78">
            <v>8.5000000000000006E-3</v>
          </cell>
          <cell r="L78">
            <v>8.5000000000000006E-3</v>
          </cell>
          <cell r="M78">
            <v>8.5000000000000006E-3</v>
          </cell>
          <cell r="N78">
            <v>8.5000000000000006E-3</v>
          </cell>
          <cell r="O78">
            <v>8.5000000000000006E-3</v>
          </cell>
          <cell r="P78">
            <v>8.5000000000000006E-3</v>
          </cell>
          <cell r="Q78">
            <v>8.5000000000000006E-3</v>
          </cell>
          <cell r="R78">
            <v>8.5000000000000006E-3</v>
          </cell>
          <cell r="S78">
            <v>8.5000000000000006E-3</v>
          </cell>
          <cell r="T78">
            <v>8.5000000000000006E-3</v>
          </cell>
          <cell r="U78">
            <v>8.5000000000000006E-3</v>
          </cell>
          <cell r="V78">
            <v>8.5000000000000006E-3</v>
          </cell>
          <cell r="W78">
            <v>8.5000000000000006E-3</v>
          </cell>
          <cell r="X78">
            <v>8.5000000000000006E-3</v>
          </cell>
          <cell r="Y78">
            <v>8.5000000000000006E-3</v>
          </cell>
          <cell r="Z78">
            <v>8.5000000000000006E-3</v>
          </cell>
          <cell r="AA78">
            <v>8.5000000000000006E-3</v>
          </cell>
          <cell r="AB78">
            <v>8.5000000000000006E-3</v>
          </cell>
          <cell r="AC78">
            <v>8.5000000000000006E-3</v>
          </cell>
          <cell r="AD78">
            <v>8.5000000000000006E-3</v>
          </cell>
          <cell r="AE78">
            <v>8.5000000000000006E-3</v>
          </cell>
          <cell r="AF78">
            <v>8.5000000000000006E-3</v>
          </cell>
          <cell r="AG78">
            <v>8.5000000000000006E-3</v>
          </cell>
          <cell r="AH78">
            <v>8.5000000000000006E-3</v>
          </cell>
          <cell r="AI78">
            <v>8.5000000000000006E-3</v>
          </cell>
          <cell r="AJ78">
            <v>8.5000000000000006E-3</v>
          </cell>
          <cell r="AK78">
            <v>8.5000000000000006E-3</v>
          </cell>
          <cell r="AL78">
            <v>8.5000000000000006E-3</v>
          </cell>
          <cell r="AM78">
            <v>8.5000000000000006E-3</v>
          </cell>
          <cell r="AN78">
            <v>8.5000000000000006E-3</v>
          </cell>
          <cell r="AO78">
            <v>8.5000000000000006E-3</v>
          </cell>
          <cell r="AP78">
            <v>8.5000000000000006E-3</v>
          </cell>
          <cell r="AQ78">
            <v>8.5000000000000006E-3</v>
          </cell>
          <cell r="AR78">
            <v>8.5000000000000006E-3</v>
          </cell>
          <cell r="AS78">
            <v>8.5000000000000006E-3</v>
          </cell>
          <cell r="AT78">
            <v>8.5000000000000006E-3</v>
          </cell>
          <cell r="AU78">
            <v>8.5000000000000006E-3</v>
          </cell>
          <cell r="AV78">
            <v>8.5000000000000006E-3</v>
          </cell>
          <cell r="AW78">
            <v>8.5000000000000006E-3</v>
          </cell>
          <cell r="AX78">
            <v>8.5000000000000006E-3</v>
          </cell>
          <cell r="AY78">
            <v>8.5000000000000006E-3</v>
          </cell>
          <cell r="AZ78">
            <v>8.5000000000000006E-3</v>
          </cell>
          <cell r="BA78">
            <v>8.5000000000000006E-3</v>
          </cell>
          <cell r="BB78">
            <v>8.5000000000000006E-3</v>
          </cell>
          <cell r="BC78">
            <v>8.5000000000000006E-3</v>
          </cell>
          <cell r="BD78">
            <v>8.5000000000000006E-3</v>
          </cell>
          <cell r="BE78">
            <v>8.5000000000000006E-3</v>
          </cell>
          <cell r="BF78">
            <v>8.5000000000000006E-3</v>
          </cell>
          <cell r="BG78">
            <v>8.5000000000000006E-3</v>
          </cell>
          <cell r="BH78">
            <v>8.5000000000000006E-3</v>
          </cell>
          <cell r="BI78">
            <v>8.5000000000000006E-3</v>
          </cell>
          <cell r="BJ78">
            <v>8.5000000000000006E-3</v>
          </cell>
          <cell r="BK78">
            <v>8.5000000000000006E-3</v>
          </cell>
          <cell r="BL78">
            <v>8.5000000000000006E-3</v>
          </cell>
        </row>
        <row r="82">
          <cell r="D82">
            <v>1.5E-3</v>
          </cell>
          <cell r="E82">
            <v>1.5E-3</v>
          </cell>
          <cell r="F82">
            <v>1.5E-3</v>
          </cell>
          <cell r="G82">
            <v>1.5E-3</v>
          </cell>
          <cell r="H82">
            <v>1.5E-3</v>
          </cell>
          <cell r="I82">
            <v>1.5E-3</v>
          </cell>
          <cell r="J82">
            <v>1.5E-3</v>
          </cell>
          <cell r="K82">
            <v>1.5E-3</v>
          </cell>
          <cell r="L82">
            <v>1.5E-3</v>
          </cell>
          <cell r="M82">
            <v>1.5E-3</v>
          </cell>
          <cell r="N82">
            <v>1.5E-3</v>
          </cell>
          <cell r="O82">
            <v>1.5E-3</v>
          </cell>
          <cell r="P82">
            <v>1.5E-3</v>
          </cell>
          <cell r="Q82">
            <v>1.5E-3</v>
          </cell>
          <cell r="R82">
            <v>1.5E-3</v>
          </cell>
          <cell r="S82">
            <v>1.5E-3</v>
          </cell>
          <cell r="T82">
            <v>1.5E-3</v>
          </cell>
          <cell r="U82">
            <v>1.5E-3</v>
          </cell>
          <cell r="V82">
            <v>1.5E-3</v>
          </cell>
          <cell r="W82">
            <v>1.5E-3</v>
          </cell>
          <cell r="X82">
            <v>1.5E-3</v>
          </cell>
          <cell r="Y82">
            <v>1.5E-3</v>
          </cell>
          <cell r="Z82">
            <v>1.5E-3</v>
          </cell>
          <cell r="AA82">
            <v>1.5E-3</v>
          </cell>
          <cell r="AB82">
            <v>1.5E-3</v>
          </cell>
          <cell r="AC82">
            <v>1.5E-3</v>
          </cell>
          <cell r="AD82">
            <v>1.5E-3</v>
          </cell>
          <cell r="AE82">
            <v>1.5E-3</v>
          </cell>
          <cell r="AF82">
            <v>1.5E-3</v>
          </cell>
          <cell r="AG82">
            <v>1.5E-3</v>
          </cell>
          <cell r="AH82">
            <v>1.5E-3</v>
          </cell>
          <cell r="AI82">
            <v>1.5E-3</v>
          </cell>
          <cell r="AJ82">
            <v>1.5E-3</v>
          </cell>
          <cell r="AK82">
            <v>1.5E-3</v>
          </cell>
          <cell r="AL82">
            <v>1.5E-3</v>
          </cell>
          <cell r="AM82">
            <v>1.5E-3</v>
          </cell>
          <cell r="AN82">
            <v>1.5E-3</v>
          </cell>
          <cell r="AO82">
            <v>1.5E-3</v>
          </cell>
          <cell r="AP82">
            <v>1.5E-3</v>
          </cell>
          <cell r="AQ82">
            <v>1.5E-3</v>
          </cell>
          <cell r="AR82">
            <v>1.5E-3</v>
          </cell>
          <cell r="AS82">
            <v>1.5E-3</v>
          </cell>
          <cell r="AT82">
            <v>1.5E-3</v>
          </cell>
          <cell r="AU82">
            <v>1.5E-3</v>
          </cell>
          <cell r="AV82">
            <v>1.5E-3</v>
          </cell>
          <cell r="AW82">
            <v>1.5E-3</v>
          </cell>
          <cell r="AX82">
            <v>1.5E-3</v>
          </cell>
          <cell r="AY82">
            <v>1.5E-3</v>
          </cell>
          <cell r="AZ82">
            <v>1.5E-3</v>
          </cell>
          <cell r="BA82">
            <v>1.5E-3</v>
          </cell>
          <cell r="BB82">
            <v>1.5E-3</v>
          </cell>
          <cell r="BC82">
            <v>1.5E-3</v>
          </cell>
          <cell r="BD82">
            <v>1.5E-3</v>
          </cell>
          <cell r="BE82">
            <v>1.5E-3</v>
          </cell>
          <cell r="BF82">
            <v>1.5E-3</v>
          </cell>
          <cell r="BG82">
            <v>1.5E-3</v>
          </cell>
          <cell r="BH82">
            <v>1.5E-3</v>
          </cell>
          <cell r="BI82">
            <v>1.5E-3</v>
          </cell>
          <cell r="BJ82">
            <v>1.5E-3</v>
          </cell>
          <cell r="BK82">
            <v>1.5E-3</v>
          </cell>
          <cell r="BL82">
            <v>1.5E-3</v>
          </cell>
        </row>
        <row r="83">
          <cell r="D83">
            <v>1.5E-3</v>
          </cell>
          <cell r="E83">
            <v>1.5E-3</v>
          </cell>
          <cell r="F83">
            <v>1.5E-3</v>
          </cell>
          <cell r="G83">
            <v>1.5E-3</v>
          </cell>
          <cell r="H83">
            <v>1.5E-3</v>
          </cell>
          <cell r="I83">
            <v>1.5E-3</v>
          </cell>
          <cell r="J83">
            <v>1.5E-3</v>
          </cell>
          <cell r="K83">
            <v>1.5E-3</v>
          </cell>
          <cell r="L83">
            <v>1.5E-3</v>
          </cell>
          <cell r="M83">
            <v>1.5E-3</v>
          </cell>
          <cell r="N83">
            <v>1.5E-3</v>
          </cell>
          <cell r="O83">
            <v>1.5E-3</v>
          </cell>
          <cell r="P83">
            <v>1.5E-3</v>
          </cell>
          <cell r="Q83">
            <v>1.5E-3</v>
          </cell>
          <cell r="R83">
            <v>1.5E-3</v>
          </cell>
          <cell r="S83">
            <v>1.5E-3</v>
          </cell>
          <cell r="T83">
            <v>1.5E-3</v>
          </cell>
          <cell r="U83">
            <v>1.5E-3</v>
          </cell>
          <cell r="V83">
            <v>1.5E-3</v>
          </cell>
          <cell r="W83">
            <v>1.5E-3</v>
          </cell>
          <cell r="X83">
            <v>1.5E-3</v>
          </cell>
          <cell r="Y83">
            <v>1.5E-3</v>
          </cell>
          <cell r="Z83">
            <v>1.5E-3</v>
          </cell>
          <cell r="AA83">
            <v>1.5E-3</v>
          </cell>
          <cell r="AB83">
            <v>1.5E-3</v>
          </cell>
          <cell r="AC83">
            <v>1.5E-3</v>
          </cell>
          <cell r="AD83">
            <v>1.5E-3</v>
          </cell>
          <cell r="AE83">
            <v>1.5E-3</v>
          </cell>
          <cell r="AF83">
            <v>1.5E-3</v>
          </cell>
          <cell r="AG83">
            <v>1.5E-3</v>
          </cell>
          <cell r="AH83">
            <v>1.5E-3</v>
          </cell>
          <cell r="AI83">
            <v>1.5E-3</v>
          </cell>
          <cell r="AJ83">
            <v>1.5E-3</v>
          </cell>
          <cell r="AK83">
            <v>1.5E-3</v>
          </cell>
          <cell r="AL83">
            <v>1.5E-3</v>
          </cell>
          <cell r="AM83">
            <v>1.5E-3</v>
          </cell>
          <cell r="AN83">
            <v>1.5E-3</v>
          </cell>
          <cell r="AO83">
            <v>1.5E-3</v>
          </cell>
          <cell r="AP83">
            <v>1.5E-3</v>
          </cell>
          <cell r="AQ83">
            <v>1.5E-3</v>
          </cell>
          <cell r="AR83">
            <v>1.5E-3</v>
          </cell>
          <cell r="AS83">
            <v>1.5E-3</v>
          </cell>
          <cell r="AT83">
            <v>1.5E-3</v>
          </cell>
          <cell r="AU83">
            <v>1.5E-3</v>
          </cell>
          <cell r="AV83">
            <v>1.5E-3</v>
          </cell>
          <cell r="AW83">
            <v>1.5E-3</v>
          </cell>
          <cell r="AX83">
            <v>1.5E-3</v>
          </cell>
          <cell r="AY83">
            <v>1.5E-3</v>
          </cell>
          <cell r="AZ83">
            <v>1.5E-3</v>
          </cell>
          <cell r="BA83">
            <v>1.5E-3</v>
          </cell>
          <cell r="BB83">
            <v>1.5E-3</v>
          </cell>
          <cell r="BC83">
            <v>1.5E-3</v>
          </cell>
          <cell r="BD83">
            <v>1.5E-3</v>
          </cell>
          <cell r="BE83">
            <v>1.5E-3</v>
          </cell>
          <cell r="BF83">
            <v>1.5E-3</v>
          </cell>
          <cell r="BG83">
            <v>1.5E-3</v>
          </cell>
          <cell r="BH83">
            <v>1.5E-3</v>
          </cell>
          <cell r="BI83">
            <v>1.5E-3</v>
          </cell>
          <cell r="BJ83">
            <v>1.5E-3</v>
          </cell>
          <cell r="BK83">
            <v>1.5E-3</v>
          </cell>
          <cell r="BL83">
            <v>1.5E-3</v>
          </cell>
        </row>
        <row r="84">
          <cell r="D84">
            <v>1.5E-3</v>
          </cell>
          <cell r="E84">
            <v>1.5E-3</v>
          </cell>
          <cell r="F84">
            <v>1.5E-3</v>
          </cell>
          <cell r="G84">
            <v>1.5E-3</v>
          </cell>
          <cell r="H84">
            <v>1.5E-3</v>
          </cell>
          <cell r="I84">
            <v>1.5E-3</v>
          </cell>
          <cell r="J84">
            <v>1.5E-3</v>
          </cell>
          <cell r="K84">
            <v>1.5E-3</v>
          </cell>
          <cell r="L84">
            <v>1.5E-3</v>
          </cell>
          <cell r="M84">
            <v>1.5E-3</v>
          </cell>
          <cell r="N84">
            <v>1.5E-3</v>
          </cell>
          <cell r="O84">
            <v>1.5E-3</v>
          </cell>
          <cell r="P84">
            <v>1.5E-3</v>
          </cell>
          <cell r="Q84">
            <v>1.5E-3</v>
          </cell>
          <cell r="R84">
            <v>1.5E-3</v>
          </cell>
          <cell r="S84">
            <v>1.5E-3</v>
          </cell>
          <cell r="T84">
            <v>1.5E-3</v>
          </cell>
          <cell r="U84">
            <v>1.5E-3</v>
          </cell>
          <cell r="V84">
            <v>1.5E-3</v>
          </cell>
          <cell r="W84">
            <v>1.5E-3</v>
          </cell>
          <cell r="X84">
            <v>1.5E-3</v>
          </cell>
          <cell r="Y84">
            <v>1.5E-3</v>
          </cell>
          <cell r="Z84">
            <v>1.5E-3</v>
          </cell>
          <cell r="AA84">
            <v>1.5E-3</v>
          </cell>
          <cell r="AB84">
            <v>1.5E-3</v>
          </cell>
          <cell r="AC84">
            <v>1.5E-3</v>
          </cell>
          <cell r="AD84">
            <v>1.5E-3</v>
          </cell>
          <cell r="AE84">
            <v>1.5E-3</v>
          </cell>
          <cell r="AF84">
            <v>1.5E-3</v>
          </cell>
          <cell r="AG84">
            <v>1.5E-3</v>
          </cell>
          <cell r="AH84">
            <v>1.5E-3</v>
          </cell>
          <cell r="AI84">
            <v>1.5E-3</v>
          </cell>
          <cell r="AJ84">
            <v>1.5E-3</v>
          </cell>
          <cell r="AK84">
            <v>1.5E-3</v>
          </cell>
          <cell r="AL84">
            <v>1.5E-3</v>
          </cell>
          <cell r="AM84">
            <v>1.5E-3</v>
          </cell>
          <cell r="AN84">
            <v>1.5E-3</v>
          </cell>
          <cell r="AO84">
            <v>1.5E-3</v>
          </cell>
          <cell r="AP84">
            <v>1.5E-3</v>
          </cell>
          <cell r="AQ84">
            <v>1.5E-3</v>
          </cell>
          <cell r="AR84">
            <v>1.5E-3</v>
          </cell>
          <cell r="AS84">
            <v>1.5E-3</v>
          </cell>
          <cell r="AT84">
            <v>1.5E-3</v>
          </cell>
          <cell r="AU84">
            <v>1.5E-3</v>
          </cell>
          <cell r="AV84">
            <v>1.5E-3</v>
          </cell>
          <cell r="AW84">
            <v>1.5E-3</v>
          </cell>
          <cell r="AX84">
            <v>1.5E-3</v>
          </cell>
          <cell r="AY84">
            <v>1.5E-3</v>
          </cell>
          <cell r="AZ84">
            <v>1.5E-3</v>
          </cell>
          <cell r="BA84">
            <v>1.5E-3</v>
          </cell>
          <cell r="BB84">
            <v>1.5E-3</v>
          </cell>
          <cell r="BC84">
            <v>1.5E-3</v>
          </cell>
          <cell r="BD84">
            <v>1.5E-3</v>
          </cell>
          <cell r="BE84">
            <v>1.5E-3</v>
          </cell>
          <cell r="BF84">
            <v>1.5E-3</v>
          </cell>
          <cell r="BG84">
            <v>1.5E-3</v>
          </cell>
          <cell r="BH84">
            <v>1.5E-3</v>
          </cell>
          <cell r="BI84">
            <v>1.5E-3</v>
          </cell>
          <cell r="BJ84">
            <v>1.5E-3</v>
          </cell>
          <cell r="BK84">
            <v>1.5E-3</v>
          </cell>
          <cell r="BL84">
            <v>1.5E-3</v>
          </cell>
        </row>
        <row r="85">
          <cell r="D85">
            <v>1.5E-3</v>
          </cell>
          <cell r="E85">
            <v>1.5E-3</v>
          </cell>
          <cell r="F85">
            <v>1.5E-3</v>
          </cell>
          <cell r="G85">
            <v>1.5E-3</v>
          </cell>
          <cell r="H85">
            <v>1.5E-3</v>
          </cell>
          <cell r="I85">
            <v>1.5E-3</v>
          </cell>
          <cell r="J85">
            <v>1.5E-3</v>
          </cell>
          <cell r="K85">
            <v>1.5E-3</v>
          </cell>
          <cell r="L85">
            <v>1.5E-3</v>
          </cell>
          <cell r="M85">
            <v>1.5E-3</v>
          </cell>
          <cell r="N85">
            <v>1.5E-3</v>
          </cell>
          <cell r="O85">
            <v>1.5E-3</v>
          </cell>
          <cell r="P85">
            <v>1.5E-3</v>
          </cell>
          <cell r="Q85">
            <v>1.5E-3</v>
          </cell>
          <cell r="R85">
            <v>1.5E-3</v>
          </cell>
          <cell r="S85">
            <v>1.5E-3</v>
          </cell>
          <cell r="T85">
            <v>1.5E-3</v>
          </cell>
          <cell r="U85">
            <v>1.5E-3</v>
          </cell>
          <cell r="V85">
            <v>1.5E-3</v>
          </cell>
          <cell r="W85">
            <v>1.5E-3</v>
          </cell>
          <cell r="X85">
            <v>1.5E-3</v>
          </cell>
          <cell r="Y85">
            <v>1.5E-3</v>
          </cell>
          <cell r="Z85">
            <v>1.5E-3</v>
          </cell>
          <cell r="AA85">
            <v>1.5E-3</v>
          </cell>
          <cell r="AB85">
            <v>1.5E-3</v>
          </cell>
          <cell r="AC85">
            <v>1.5E-3</v>
          </cell>
          <cell r="AD85">
            <v>1.5E-3</v>
          </cell>
          <cell r="AE85">
            <v>1.5E-3</v>
          </cell>
          <cell r="AF85">
            <v>1.5E-3</v>
          </cell>
          <cell r="AG85">
            <v>1.5E-3</v>
          </cell>
          <cell r="AH85">
            <v>1.5E-3</v>
          </cell>
          <cell r="AI85">
            <v>1.5E-3</v>
          </cell>
          <cell r="AJ85">
            <v>1.5E-3</v>
          </cell>
          <cell r="AK85">
            <v>1.5E-3</v>
          </cell>
          <cell r="AL85">
            <v>1.5E-3</v>
          </cell>
          <cell r="AM85">
            <v>1.5E-3</v>
          </cell>
          <cell r="AN85">
            <v>1.5E-3</v>
          </cell>
          <cell r="AO85">
            <v>1.5E-3</v>
          </cell>
          <cell r="AP85">
            <v>1.5E-3</v>
          </cell>
          <cell r="AQ85">
            <v>1.5E-3</v>
          </cell>
          <cell r="AR85">
            <v>1.5E-3</v>
          </cell>
          <cell r="AS85">
            <v>1.5E-3</v>
          </cell>
          <cell r="AT85">
            <v>1.5E-3</v>
          </cell>
          <cell r="AU85">
            <v>1.5E-3</v>
          </cell>
          <cell r="AV85">
            <v>1.5E-3</v>
          </cell>
          <cell r="AW85">
            <v>1.5E-3</v>
          </cell>
          <cell r="AX85">
            <v>1.5E-3</v>
          </cell>
          <cell r="AY85">
            <v>1.5E-3</v>
          </cell>
          <cell r="AZ85">
            <v>1.5E-3</v>
          </cell>
          <cell r="BA85">
            <v>1.5E-3</v>
          </cell>
          <cell r="BB85">
            <v>1.5E-3</v>
          </cell>
          <cell r="BC85">
            <v>1.5E-3</v>
          </cell>
          <cell r="BD85">
            <v>1.5E-3</v>
          </cell>
          <cell r="BE85">
            <v>1.5E-3</v>
          </cell>
          <cell r="BF85">
            <v>1.5E-3</v>
          </cell>
          <cell r="BG85">
            <v>1.5E-3</v>
          </cell>
          <cell r="BH85">
            <v>1.5E-3</v>
          </cell>
          <cell r="BI85">
            <v>1.5E-3</v>
          </cell>
          <cell r="BJ85">
            <v>1.5E-3</v>
          </cell>
          <cell r="BK85">
            <v>1.5E-3</v>
          </cell>
          <cell r="BL85">
            <v>1.5E-3</v>
          </cell>
        </row>
        <row r="86">
          <cell r="D86">
            <v>1.5E-3</v>
          </cell>
          <cell r="E86">
            <v>1.5E-3</v>
          </cell>
          <cell r="F86">
            <v>1.5E-3</v>
          </cell>
          <cell r="G86">
            <v>1.5E-3</v>
          </cell>
          <cell r="H86">
            <v>1.5E-3</v>
          </cell>
          <cell r="I86">
            <v>1.5E-3</v>
          </cell>
          <cell r="J86">
            <v>1.5E-3</v>
          </cell>
          <cell r="K86">
            <v>1.5E-3</v>
          </cell>
          <cell r="L86">
            <v>1.5E-3</v>
          </cell>
          <cell r="M86">
            <v>1.5E-3</v>
          </cell>
          <cell r="N86">
            <v>1.5E-3</v>
          </cell>
          <cell r="O86">
            <v>1.5E-3</v>
          </cell>
          <cell r="P86">
            <v>1.5E-3</v>
          </cell>
          <cell r="Q86">
            <v>1.5E-3</v>
          </cell>
          <cell r="R86">
            <v>1.5E-3</v>
          </cell>
          <cell r="S86">
            <v>1.5E-3</v>
          </cell>
          <cell r="T86">
            <v>1.5E-3</v>
          </cell>
          <cell r="U86">
            <v>1.5E-3</v>
          </cell>
          <cell r="V86">
            <v>1.5E-3</v>
          </cell>
          <cell r="W86">
            <v>1.5E-3</v>
          </cell>
          <cell r="X86">
            <v>1.5E-3</v>
          </cell>
          <cell r="Y86">
            <v>1.5E-3</v>
          </cell>
          <cell r="Z86">
            <v>1.5E-3</v>
          </cell>
          <cell r="AA86">
            <v>1.5E-3</v>
          </cell>
          <cell r="AB86">
            <v>1.5E-3</v>
          </cell>
          <cell r="AC86">
            <v>1.5E-3</v>
          </cell>
          <cell r="AD86">
            <v>1.5E-3</v>
          </cell>
          <cell r="AE86">
            <v>1.5E-3</v>
          </cell>
          <cell r="AF86">
            <v>1.5E-3</v>
          </cell>
          <cell r="AG86">
            <v>1.5E-3</v>
          </cell>
          <cell r="AH86">
            <v>1.5E-3</v>
          </cell>
          <cell r="AI86">
            <v>1.5E-3</v>
          </cell>
          <cell r="AJ86">
            <v>1.5E-3</v>
          </cell>
          <cell r="AK86">
            <v>1.5E-3</v>
          </cell>
          <cell r="AL86">
            <v>1.5E-3</v>
          </cell>
          <cell r="AM86">
            <v>1.5E-3</v>
          </cell>
          <cell r="AN86">
            <v>1.5E-3</v>
          </cell>
          <cell r="AO86">
            <v>1.5E-3</v>
          </cell>
          <cell r="AP86">
            <v>1.5E-3</v>
          </cell>
          <cell r="AQ86">
            <v>1.5E-3</v>
          </cell>
          <cell r="AR86">
            <v>1.5E-3</v>
          </cell>
          <cell r="AS86">
            <v>1.5E-3</v>
          </cell>
          <cell r="AT86">
            <v>1.5E-3</v>
          </cell>
          <cell r="AU86">
            <v>1.5E-3</v>
          </cell>
          <cell r="AV86">
            <v>1.5E-3</v>
          </cell>
          <cell r="AW86">
            <v>1.5E-3</v>
          </cell>
          <cell r="AX86">
            <v>1.5E-3</v>
          </cell>
          <cell r="AY86">
            <v>1.5E-3</v>
          </cell>
          <cell r="AZ86">
            <v>1.5E-3</v>
          </cell>
          <cell r="BA86">
            <v>1.5E-3</v>
          </cell>
          <cell r="BB86">
            <v>1.5E-3</v>
          </cell>
          <cell r="BC86">
            <v>1.5E-3</v>
          </cell>
          <cell r="BD86">
            <v>1.5E-3</v>
          </cell>
          <cell r="BE86">
            <v>1.5E-3</v>
          </cell>
          <cell r="BF86">
            <v>1.5E-3</v>
          </cell>
          <cell r="BG86">
            <v>1.5E-3</v>
          </cell>
          <cell r="BH86">
            <v>1.5E-3</v>
          </cell>
          <cell r="BI86">
            <v>1.5E-3</v>
          </cell>
          <cell r="BJ86">
            <v>1.5E-3</v>
          </cell>
          <cell r="BK86">
            <v>1.5E-3</v>
          </cell>
          <cell r="BL86">
            <v>1.5E-3</v>
          </cell>
        </row>
        <row r="87">
          <cell r="D87">
            <v>1.5E-3</v>
          </cell>
          <cell r="E87">
            <v>1.5E-3</v>
          </cell>
          <cell r="F87">
            <v>1.5E-3</v>
          </cell>
          <cell r="G87">
            <v>1.5E-3</v>
          </cell>
          <cell r="H87">
            <v>1.5E-3</v>
          </cell>
          <cell r="I87">
            <v>1.5E-3</v>
          </cell>
          <cell r="J87">
            <v>1.5E-3</v>
          </cell>
          <cell r="K87">
            <v>1.5E-3</v>
          </cell>
          <cell r="L87">
            <v>1.5E-3</v>
          </cell>
          <cell r="M87">
            <v>1.5E-3</v>
          </cell>
          <cell r="N87">
            <v>1.5E-3</v>
          </cell>
          <cell r="O87">
            <v>1.5E-3</v>
          </cell>
          <cell r="P87">
            <v>1.5E-3</v>
          </cell>
          <cell r="Q87">
            <v>1.5E-3</v>
          </cell>
          <cell r="R87">
            <v>1.5E-3</v>
          </cell>
          <cell r="S87">
            <v>1.5E-3</v>
          </cell>
          <cell r="T87">
            <v>1.5E-3</v>
          </cell>
          <cell r="U87">
            <v>1.5E-3</v>
          </cell>
          <cell r="V87">
            <v>1.5E-3</v>
          </cell>
          <cell r="W87">
            <v>1.5E-3</v>
          </cell>
          <cell r="X87">
            <v>1.5E-3</v>
          </cell>
          <cell r="Y87">
            <v>1.5E-3</v>
          </cell>
          <cell r="Z87">
            <v>1.5E-3</v>
          </cell>
          <cell r="AA87">
            <v>1.5E-3</v>
          </cell>
          <cell r="AB87">
            <v>1.5E-3</v>
          </cell>
          <cell r="AC87">
            <v>1.5E-3</v>
          </cell>
          <cell r="AD87">
            <v>1.5E-3</v>
          </cell>
          <cell r="AE87">
            <v>1.5E-3</v>
          </cell>
          <cell r="AF87">
            <v>1.5E-3</v>
          </cell>
          <cell r="AG87">
            <v>1.5E-3</v>
          </cell>
          <cell r="AH87">
            <v>1.5E-3</v>
          </cell>
          <cell r="AI87">
            <v>1.5E-3</v>
          </cell>
          <cell r="AJ87">
            <v>1.5E-3</v>
          </cell>
          <cell r="AK87">
            <v>1.5E-3</v>
          </cell>
          <cell r="AL87">
            <v>1.5E-3</v>
          </cell>
          <cell r="AM87">
            <v>1.5E-3</v>
          </cell>
          <cell r="AN87">
            <v>1.5E-3</v>
          </cell>
          <cell r="AO87">
            <v>1.5E-3</v>
          </cell>
          <cell r="AP87">
            <v>1.5E-3</v>
          </cell>
          <cell r="AQ87">
            <v>1.5E-3</v>
          </cell>
          <cell r="AR87">
            <v>1.5E-3</v>
          </cell>
          <cell r="AS87">
            <v>1.5E-3</v>
          </cell>
          <cell r="AT87">
            <v>1.5E-3</v>
          </cell>
          <cell r="AU87">
            <v>1.5E-3</v>
          </cell>
          <cell r="AV87">
            <v>1.5E-3</v>
          </cell>
          <cell r="AW87">
            <v>1.5E-3</v>
          </cell>
          <cell r="AX87">
            <v>1.5E-3</v>
          </cell>
          <cell r="AY87">
            <v>1.5E-3</v>
          </cell>
          <cell r="AZ87">
            <v>1.5E-3</v>
          </cell>
          <cell r="BA87">
            <v>1.5E-3</v>
          </cell>
          <cell r="BB87">
            <v>1.5E-3</v>
          </cell>
          <cell r="BC87">
            <v>1.5E-3</v>
          </cell>
          <cell r="BD87">
            <v>1.5E-3</v>
          </cell>
          <cell r="BE87">
            <v>1.5E-3</v>
          </cell>
          <cell r="BF87">
            <v>1.5E-3</v>
          </cell>
          <cell r="BG87">
            <v>1.5E-3</v>
          </cell>
          <cell r="BH87">
            <v>1.5E-3</v>
          </cell>
          <cell r="BI87">
            <v>1.5E-3</v>
          </cell>
          <cell r="BJ87">
            <v>1.5E-3</v>
          </cell>
          <cell r="BK87">
            <v>1.5E-3</v>
          </cell>
          <cell r="BL87">
            <v>1.5E-3</v>
          </cell>
        </row>
        <row r="88">
          <cell r="D88">
            <v>1.5E-3</v>
          </cell>
          <cell r="E88">
            <v>1.5E-3</v>
          </cell>
          <cell r="F88">
            <v>1.5E-3</v>
          </cell>
          <cell r="G88">
            <v>1.5E-3</v>
          </cell>
          <cell r="H88">
            <v>1.5E-3</v>
          </cell>
          <cell r="I88">
            <v>1.5E-3</v>
          </cell>
          <cell r="J88">
            <v>1.5E-3</v>
          </cell>
          <cell r="K88">
            <v>1.5E-3</v>
          </cell>
          <cell r="L88">
            <v>1.5E-3</v>
          </cell>
          <cell r="M88">
            <v>1.5E-3</v>
          </cell>
          <cell r="N88">
            <v>1.5E-3</v>
          </cell>
          <cell r="O88">
            <v>1.5E-3</v>
          </cell>
          <cell r="P88">
            <v>1.5E-3</v>
          </cell>
          <cell r="Q88">
            <v>1.5E-3</v>
          </cell>
          <cell r="R88">
            <v>1.5E-3</v>
          </cell>
          <cell r="S88">
            <v>1.5E-3</v>
          </cell>
          <cell r="T88">
            <v>1.5E-3</v>
          </cell>
          <cell r="U88">
            <v>1.5E-3</v>
          </cell>
          <cell r="V88">
            <v>1.5E-3</v>
          </cell>
          <cell r="W88">
            <v>1.5E-3</v>
          </cell>
          <cell r="X88">
            <v>1.5E-3</v>
          </cell>
          <cell r="Y88">
            <v>1.5E-3</v>
          </cell>
          <cell r="Z88">
            <v>1.5E-3</v>
          </cell>
          <cell r="AA88">
            <v>1.5E-3</v>
          </cell>
          <cell r="AB88">
            <v>1.5E-3</v>
          </cell>
          <cell r="AC88">
            <v>1.5E-3</v>
          </cell>
          <cell r="AD88">
            <v>1.5E-3</v>
          </cell>
          <cell r="AE88">
            <v>1.5E-3</v>
          </cell>
          <cell r="AF88">
            <v>1.5E-3</v>
          </cell>
          <cell r="AG88">
            <v>1.5E-3</v>
          </cell>
          <cell r="AH88">
            <v>1.5E-3</v>
          </cell>
          <cell r="AI88">
            <v>1.5E-3</v>
          </cell>
          <cell r="AJ88">
            <v>1.5E-3</v>
          </cell>
          <cell r="AK88">
            <v>1.5E-3</v>
          </cell>
          <cell r="AL88">
            <v>1.5E-3</v>
          </cell>
          <cell r="AM88">
            <v>1.5E-3</v>
          </cell>
          <cell r="AN88">
            <v>1.5E-3</v>
          </cell>
          <cell r="AO88">
            <v>1.5E-3</v>
          </cell>
          <cell r="AP88">
            <v>1.5E-3</v>
          </cell>
          <cell r="AQ88">
            <v>1.5E-3</v>
          </cell>
          <cell r="AR88">
            <v>1.5E-3</v>
          </cell>
          <cell r="AS88">
            <v>1.5E-3</v>
          </cell>
          <cell r="AT88">
            <v>1.5E-3</v>
          </cell>
          <cell r="AU88">
            <v>1.5E-3</v>
          </cell>
          <cell r="AV88">
            <v>1.5E-3</v>
          </cell>
          <cell r="AW88">
            <v>1.5E-3</v>
          </cell>
          <cell r="AX88">
            <v>1.5E-3</v>
          </cell>
          <cell r="AY88">
            <v>1.5E-3</v>
          </cell>
          <cell r="AZ88">
            <v>1.5E-3</v>
          </cell>
          <cell r="BA88">
            <v>1.5E-3</v>
          </cell>
          <cell r="BB88">
            <v>1.5E-3</v>
          </cell>
          <cell r="BC88">
            <v>1.5E-3</v>
          </cell>
          <cell r="BD88">
            <v>1.5E-3</v>
          </cell>
          <cell r="BE88">
            <v>1.5E-3</v>
          </cell>
          <cell r="BF88">
            <v>1.5E-3</v>
          </cell>
          <cell r="BG88">
            <v>1.5E-3</v>
          </cell>
          <cell r="BH88">
            <v>1.5E-3</v>
          </cell>
          <cell r="BI88">
            <v>1.5E-3</v>
          </cell>
          <cell r="BJ88">
            <v>1.5E-3</v>
          </cell>
          <cell r="BK88">
            <v>1.5E-3</v>
          </cell>
          <cell r="BL88">
            <v>1.5E-3</v>
          </cell>
        </row>
        <row r="89">
          <cell r="D89">
            <v>1.5E-3</v>
          </cell>
          <cell r="E89">
            <v>1.5E-3</v>
          </cell>
          <cell r="F89">
            <v>1.5E-3</v>
          </cell>
          <cell r="G89">
            <v>1.5E-3</v>
          </cell>
          <cell r="H89">
            <v>1.5E-3</v>
          </cell>
          <cell r="I89">
            <v>1.5E-3</v>
          </cell>
          <cell r="J89">
            <v>1.5E-3</v>
          </cell>
          <cell r="K89">
            <v>1.5E-3</v>
          </cell>
          <cell r="L89">
            <v>1.5E-3</v>
          </cell>
          <cell r="M89">
            <v>1.5E-3</v>
          </cell>
          <cell r="N89">
            <v>1.5E-3</v>
          </cell>
          <cell r="O89">
            <v>1.5E-3</v>
          </cell>
          <cell r="P89">
            <v>1.5E-3</v>
          </cell>
          <cell r="Q89">
            <v>1.5E-3</v>
          </cell>
          <cell r="R89">
            <v>1.5E-3</v>
          </cell>
          <cell r="S89">
            <v>1.5E-3</v>
          </cell>
          <cell r="T89">
            <v>1.5E-3</v>
          </cell>
          <cell r="U89">
            <v>1.5E-3</v>
          </cell>
          <cell r="V89">
            <v>1.5E-3</v>
          </cell>
          <cell r="W89">
            <v>1.5E-3</v>
          </cell>
          <cell r="X89">
            <v>1.5E-3</v>
          </cell>
          <cell r="Y89">
            <v>1.5E-3</v>
          </cell>
          <cell r="Z89">
            <v>1.5E-3</v>
          </cell>
          <cell r="AA89">
            <v>1.5E-3</v>
          </cell>
          <cell r="AB89">
            <v>1.5E-3</v>
          </cell>
          <cell r="AC89">
            <v>1.5E-3</v>
          </cell>
          <cell r="AD89">
            <v>1.5E-3</v>
          </cell>
          <cell r="AE89">
            <v>1.5E-3</v>
          </cell>
          <cell r="AF89">
            <v>1.5E-3</v>
          </cell>
          <cell r="AG89">
            <v>1.5E-3</v>
          </cell>
          <cell r="AH89">
            <v>1.5E-3</v>
          </cell>
          <cell r="AI89">
            <v>1.5E-3</v>
          </cell>
          <cell r="AJ89">
            <v>1.5E-3</v>
          </cell>
          <cell r="AK89">
            <v>1.5E-3</v>
          </cell>
          <cell r="AL89">
            <v>1.5E-3</v>
          </cell>
          <cell r="AM89">
            <v>1.5E-3</v>
          </cell>
          <cell r="AN89">
            <v>1.5E-3</v>
          </cell>
          <cell r="AO89">
            <v>1.5E-3</v>
          </cell>
          <cell r="AP89">
            <v>1.5E-3</v>
          </cell>
          <cell r="AQ89">
            <v>1.5E-3</v>
          </cell>
          <cell r="AR89">
            <v>1.5E-3</v>
          </cell>
          <cell r="AS89">
            <v>1.5E-3</v>
          </cell>
          <cell r="AT89">
            <v>1.5E-3</v>
          </cell>
          <cell r="AU89">
            <v>1.5E-3</v>
          </cell>
          <cell r="AV89">
            <v>1.5E-3</v>
          </cell>
          <cell r="AW89">
            <v>1.5E-3</v>
          </cell>
          <cell r="AX89">
            <v>1.5E-3</v>
          </cell>
          <cell r="AY89">
            <v>1.5E-3</v>
          </cell>
          <cell r="AZ89">
            <v>1.5E-3</v>
          </cell>
          <cell r="BA89">
            <v>1.5E-3</v>
          </cell>
          <cell r="BB89">
            <v>1.5E-3</v>
          </cell>
          <cell r="BC89">
            <v>1.5E-3</v>
          </cell>
          <cell r="BD89">
            <v>1.5E-3</v>
          </cell>
          <cell r="BE89">
            <v>1.5E-3</v>
          </cell>
          <cell r="BF89">
            <v>1.5E-3</v>
          </cell>
          <cell r="BG89">
            <v>1.5E-3</v>
          </cell>
          <cell r="BH89">
            <v>1.5E-3</v>
          </cell>
          <cell r="BI89">
            <v>1.5E-3</v>
          </cell>
          <cell r="BJ89">
            <v>1.5E-3</v>
          </cell>
          <cell r="BK89">
            <v>1.5E-3</v>
          </cell>
          <cell r="BL89">
            <v>1.5E-3</v>
          </cell>
        </row>
        <row r="90">
          <cell r="D90">
            <v>1.5E-3</v>
          </cell>
          <cell r="E90">
            <v>1.5E-3</v>
          </cell>
          <cell r="F90">
            <v>1.5E-3</v>
          </cell>
          <cell r="G90">
            <v>1.5E-3</v>
          </cell>
          <cell r="H90">
            <v>1.5E-3</v>
          </cell>
          <cell r="I90">
            <v>1.5E-3</v>
          </cell>
          <cell r="J90">
            <v>1.5E-3</v>
          </cell>
          <cell r="K90">
            <v>1.5E-3</v>
          </cell>
          <cell r="L90">
            <v>1.5E-3</v>
          </cell>
          <cell r="M90">
            <v>1.5E-3</v>
          </cell>
          <cell r="N90">
            <v>1.5E-3</v>
          </cell>
          <cell r="O90">
            <v>1.5E-3</v>
          </cell>
          <cell r="P90">
            <v>1.5E-3</v>
          </cell>
          <cell r="Q90">
            <v>1.5E-3</v>
          </cell>
          <cell r="R90">
            <v>1.5E-3</v>
          </cell>
          <cell r="S90">
            <v>1.5E-3</v>
          </cell>
          <cell r="T90">
            <v>1.5E-3</v>
          </cell>
          <cell r="U90">
            <v>1.5E-3</v>
          </cell>
          <cell r="V90">
            <v>1.5E-3</v>
          </cell>
          <cell r="W90">
            <v>1.5E-3</v>
          </cell>
          <cell r="X90">
            <v>1.5E-3</v>
          </cell>
          <cell r="Y90">
            <v>1.5E-3</v>
          </cell>
          <cell r="Z90">
            <v>1.5E-3</v>
          </cell>
          <cell r="AA90">
            <v>1.5E-3</v>
          </cell>
          <cell r="AB90">
            <v>1.5E-3</v>
          </cell>
          <cell r="AC90">
            <v>1.5E-3</v>
          </cell>
          <cell r="AD90">
            <v>1.5E-3</v>
          </cell>
          <cell r="AE90">
            <v>1.5E-3</v>
          </cell>
          <cell r="AF90">
            <v>1.5E-3</v>
          </cell>
          <cell r="AG90">
            <v>1.5E-3</v>
          </cell>
          <cell r="AH90">
            <v>1.5E-3</v>
          </cell>
          <cell r="AI90">
            <v>1.5E-3</v>
          </cell>
          <cell r="AJ90">
            <v>1.5E-3</v>
          </cell>
          <cell r="AK90">
            <v>1.5E-3</v>
          </cell>
          <cell r="AL90">
            <v>1.5E-3</v>
          </cell>
          <cell r="AM90">
            <v>1.5E-3</v>
          </cell>
          <cell r="AN90">
            <v>1.5E-3</v>
          </cell>
          <cell r="AO90">
            <v>1.5E-3</v>
          </cell>
          <cell r="AP90">
            <v>1.5E-3</v>
          </cell>
          <cell r="AQ90">
            <v>1.5E-3</v>
          </cell>
          <cell r="AR90">
            <v>1.5E-3</v>
          </cell>
          <cell r="AS90">
            <v>1.5E-3</v>
          </cell>
          <cell r="AT90">
            <v>1.5E-3</v>
          </cell>
          <cell r="AU90">
            <v>1.5E-3</v>
          </cell>
          <cell r="AV90">
            <v>1.5E-3</v>
          </cell>
          <cell r="AW90">
            <v>1.5E-3</v>
          </cell>
          <cell r="AX90">
            <v>1.5E-3</v>
          </cell>
          <cell r="AY90">
            <v>1.5E-3</v>
          </cell>
          <cell r="AZ90">
            <v>1.5E-3</v>
          </cell>
          <cell r="BA90">
            <v>1.5E-3</v>
          </cell>
          <cell r="BB90">
            <v>1.5E-3</v>
          </cell>
          <cell r="BC90">
            <v>1.5E-3</v>
          </cell>
          <cell r="BD90">
            <v>1.5E-3</v>
          </cell>
          <cell r="BE90">
            <v>1.5E-3</v>
          </cell>
          <cell r="BF90">
            <v>1.5E-3</v>
          </cell>
          <cell r="BG90">
            <v>1.5E-3</v>
          </cell>
          <cell r="BH90">
            <v>1.5E-3</v>
          </cell>
          <cell r="BI90">
            <v>1.5E-3</v>
          </cell>
          <cell r="BJ90">
            <v>1.5E-3</v>
          </cell>
          <cell r="BK90">
            <v>1.5E-3</v>
          </cell>
          <cell r="BL90">
            <v>1.5E-3</v>
          </cell>
        </row>
        <row r="91">
          <cell r="D91">
            <v>1.5E-3</v>
          </cell>
          <cell r="E91">
            <v>1.5E-3</v>
          </cell>
          <cell r="F91">
            <v>1.5E-3</v>
          </cell>
          <cell r="G91">
            <v>1.5E-3</v>
          </cell>
          <cell r="H91">
            <v>1.5E-3</v>
          </cell>
          <cell r="I91">
            <v>1.5E-3</v>
          </cell>
          <cell r="J91">
            <v>1.5E-3</v>
          </cell>
          <cell r="K91">
            <v>1.5E-3</v>
          </cell>
          <cell r="L91">
            <v>1.5E-3</v>
          </cell>
          <cell r="M91">
            <v>1.5E-3</v>
          </cell>
          <cell r="N91">
            <v>1.5E-3</v>
          </cell>
          <cell r="O91">
            <v>1.5E-3</v>
          </cell>
          <cell r="P91">
            <v>1.5E-3</v>
          </cell>
          <cell r="Q91">
            <v>1.5E-3</v>
          </cell>
          <cell r="R91">
            <v>1.5E-3</v>
          </cell>
          <cell r="S91">
            <v>1.5E-3</v>
          </cell>
          <cell r="T91">
            <v>1.5E-3</v>
          </cell>
          <cell r="U91">
            <v>1.5E-3</v>
          </cell>
          <cell r="V91">
            <v>1.5E-3</v>
          </cell>
          <cell r="W91">
            <v>1.5E-3</v>
          </cell>
          <cell r="X91">
            <v>1.5E-3</v>
          </cell>
          <cell r="Y91">
            <v>1.5E-3</v>
          </cell>
          <cell r="Z91">
            <v>1.5E-3</v>
          </cell>
          <cell r="AA91">
            <v>1.5E-3</v>
          </cell>
          <cell r="AB91">
            <v>1.5E-3</v>
          </cell>
          <cell r="AC91">
            <v>1.5E-3</v>
          </cell>
          <cell r="AD91">
            <v>1.5E-3</v>
          </cell>
          <cell r="AE91">
            <v>1.5E-3</v>
          </cell>
          <cell r="AF91">
            <v>1.5E-3</v>
          </cell>
          <cell r="AG91">
            <v>1.5E-3</v>
          </cell>
          <cell r="AH91">
            <v>1.5E-3</v>
          </cell>
          <cell r="AI91">
            <v>1.5E-3</v>
          </cell>
          <cell r="AJ91">
            <v>1.5E-3</v>
          </cell>
          <cell r="AK91">
            <v>1.5E-3</v>
          </cell>
          <cell r="AL91">
            <v>1.5E-3</v>
          </cell>
          <cell r="AM91">
            <v>1.5E-3</v>
          </cell>
          <cell r="AN91">
            <v>1.5E-3</v>
          </cell>
          <cell r="AO91">
            <v>1.5E-3</v>
          </cell>
          <cell r="AP91">
            <v>1.5E-3</v>
          </cell>
          <cell r="AQ91">
            <v>1.5E-3</v>
          </cell>
          <cell r="AR91">
            <v>1.5E-3</v>
          </cell>
          <cell r="AS91">
            <v>1.5E-3</v>
          </cell>
          <cell r="AT91">
            <v>1.5E-3</v>
          </cell>
          <cell r="AU91">
            <v>1.5E-3</v>
          </cell>
          <cell r="AV91">
            <v>1.5E-3</v>
          </cell>
          <cell r="AW91">
            <v>1.5E-3</v>
          </cell>
          <cell r="AX91">
            <v>1.5E-3</v>
          </cell>
          <cell r="AY91">
            <v>1.5E-3</v>
          </cell>
          <cell r="AZ91">
            <v>1.5E-3</v>
          </cell>
          <cell r="BA91">
            <v>1.5E-3</v>
          </cell>
          <cell r="BB91">
            <v>1.5E-3</v>
          </cell>
          <cell r="BC91">
            <v>1.5E-3</v>
          </cell>
          <cell r="BD91">
            <v>1.5E-3</v>
          </cell>
          <cell r="BE91">
            <v>1.5E-3</v>
          </cell>
          <cell r="BF91">
            <v>1.5E-3</v>
          </cell>
          <cell r="BG91">
            <v>1.5E-3</v>
          </cell>
          <cell r="BH91">
            <v>1.5E-3</v>
          </cell>
          <cell r="BI91">
            <v>1.5E-3</v>
          </cell>
          <cell r="BJ91">
            <v>1.5E-3</v>
          </cell>
          <cell r="BK91">
            <v>1.5E-3</v>
          </cell>
          <cell r="BL91">
            <v>1.5E-3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</row>
        <row r="192">
          <cell r="D192">
            <v>1.5389E-2</v>
          </cell>
          <cell r="E192">
            <v>1.5389E-2</v>
          </cell>
          <cell r="F192">
            <v>1.5733999999999998E-2</v>
          </cell>
          <cell r="G192">
            <v>1.6E-2</v>
          </cell>
          <cell r="H192">
            <v>1.6254000000000001E-2</v>
          </cell>
          <cell r="I192">
            <v>1.6521000000000001E-2</v>
          </cell>
          <cell r="J192">
            <v>1.6789999999999999E-2</v>
          </cell>
          <cell r="K192">
            <v>1.7020999999999998E-2</v>
          </cell>
          <cell r="L192">
            <v>1.7242999999999998E-2</v>
          </cell>
          <cell r="M192">
            <v>1.7489999999999999E-2</v>
          </cell>
          <cell r="N192">
            <v>1.7735000000000001E-2</v>
          </cell>
          <cell r="O192">
            <v>1.7961999999999999E-2</v>
          </cell>
          <cell r="P192">
            <v>1.8187999999999999E-2</v>
          </cell>
          <cell r="Q192">
            <v>1.8416999999999999E-2</v>
          </cell>
          <cell r="R192">
            <v>1.8636999999999997E-2</v>
          </cell>
          <cell r="S192">
            <v>1.8865999999999997E-2</v>
          </cell>
          <cell r="T192">
            <v>1.9108E-2</v>
          </cell>
          <cell r="U192">
            <v>1.9314999999999999E-2</v>
          </cell>
          <cell r="V192">
            <v>1.9563999999999998E-2</v>
          </cell>
          <cell r="W192">
            <v>1.9767999999999997E-2</v>
          </cell>
          <cell r="X192">
            <v>1.9972E-2</v>
          </cell>
          <cell r="Y192">
            <v>2.0194E-2</v>
          </cell>
          <cell r="Z192">
            <v>2.0441999999999998E-2</v>
          </cell>
          <cell r="AA192">
            <v>2.0627E-2</v>
          </cell>
          <cell r="AB192">
            <v>2.0832E-2</v>
          </cell>
          <cell r="AC192">
            <v>2.1051E-2</v>
          </cell>
          <cell r="AD192">
            <v>2.1245999999999998E-2</v>
          </cell>
          <cell r="AE192">
            <v>2.1436E-2</v>
          </cell>
          <cell r="AF192">
            <v>2.163E-2</v>
          </cell>
          <cell r="AG192">
            <v>2.1817999999999997E-2</v>
          </cell>
          <cell r="AH192">
            <v>2.2019E-2</v>
          </cell>
          <cell r="AI192">
            <v>2.2197999999999999E-2</v>
          </cell>
          <cell r="AJ192">
            <v>2.2365999999999997E-2</v>
          </cell>
          <cell r="AK192">
            <v>2.2546E-2</v>
          </cell>
          <cell r="AL192">
            <v>2.2745999999999999E-2</v>
          </cell>
          <cell r="AM192">
            <v>2.2901999999999999E-2</v>
          </cell>
          <cell r="AN192">
            <v>2.307E-2</v>
          </cell>
          <cell r="AO192">
            <v>2.3243E-2</v>
          </cell>
          <cell r="AP192">
            <v>2.341E-2</v>
          </cell>
          <cell r="AQ192">
            <v>2.3578999999999999E-2</v>
          </cell>
          <cell r="AR192">
            <v>2.3734999999999999E-2</v>
          </cell>
          <cell r="AS192">
            <v>2.3885E-2</v>
          </cell>
          <cell r="AT192">
            <v>2.4055E-2</v>
          </cell>
          <cell r="AU192">
            <v>2.4198999999999998E-2</v>
          </cell>
          <cell r="AV192">
            <v>2.4336999999999998E-2</v>
          </cell>
          <cell r="AW192">
            <v>2.4494999999999999E-2</v>
          </cell>
          <cell r="AX192">
            <v>2.4628999999999998E-2</v>
          </cell>
          <cell r="AY192">
            <v>2.4774999999999998E-2</v>
          </cell>
          <cell r="AZ192">
            <v>2.4922999999999997E-2</v>
          </cell>
          <cell r="BA192">
            <v>2.5058999999999998E-2</v>
          </cell>
          <cell r="BB192">
            <v>2.5198999999999999E-2</v>
          </cell>
          <cell r="BC192">
            <v>2.5339999999999998E-2</v>
          </cell>
          <cell r="BD192">
            <v>2.5478999999999998E-2</v>
          </cell>
          <cell r="BE192">
            <v>2.5609E-2</v>
          </cell>
          <cell r="BF192">
            <v>2.5755E-2</v>
          </cell>
          <cell r="BG192">
            <v>2.5878999999999999E-2</v>
          </cell>
          <cell r="BH192">
            <v>2.5999999999999999E-2</v>
          </cell>
          <cell r="BI192">
            <v>2.6128999999999999E-2</v>
          </cell>
          <cell r="BJ192">
            <v>2.6128999999999999E-2</v>
          </cell>
          <cell r="BK192">
            <v>2.6128999999999999E-2</v>
          </cell>
          <cell r="BL192">
            <v>2.6128999999999999E-2</v>
          </cell>
        </row>
        <row r="193">
          <cell r="D193">
            <v>1.5389E-2</v>
          </cell>
          <cell r="E193">
            <v>1.5389E-2</v>
          </cell>
          <cell r="F193">
            <v>1.5733999999999998E-2</v>
          </cell>
          <cell r="G193">
            <v>1.6E-2</v>
          </cell>
          <cell r="H193">
            <v>1.6254000000000001E-2</v>
          </cell>
          <cell r="I193">
            <v>1.6521000000000001E-2</v>
          </cell>
          <cell r="J193">
            <v>1.6789999999999999E-2</v>
          </cell>
          <cell r="K193">
            <v>1.7020999999999998E-2</v>
          </cell>
          <cell r="L193">
            <v>1.7242999999999998E-2</v>
          </cell>
          <cell r="M193">
            <v>1.7489999999999999E-2</v>
          </cell>
          <cell r="N193">
            <v>1.7735000000000001E-2</v>
          </cell>
          <cell r="O193">
            <v>1.7961999999999999E-2</v>
          </cell>
          <cell r="P193">
            <v>1.8187999999999999E-2</v>
          </cell>
          <cell r="Q193">
            <v>1.8416999999999999E-2</v>
          </cell>
          <cell r="R193">
            <v>1.8636999999999997E-2</v>
          </cell>
          <cell r="S193">
            <v>1.8865999999999997E-2</v>
          </cell>
          <cell r="T193">
            <v>1.9108E-2</v>
          </cell>
          <cell r="U193">
            <v>1.9314999999999999E-2</v>
          </cell>
          <cell r="V193">
            <v>1.9563999999999998E-2</v>
          </cell>
          <cell r="W193">
            <v>1.9767999999999997E-2</v>
          </cell>
          <cell r="X193">
            <v>1.9972E-2</v>
          </cell>
          <cell r="Y193">
            <v>2.0194E-2</v>
          </cell>
          <cell r="Z193">
            <v>2.0441999999999998E-2</v>
          </cell>
          <cell r="AA193">
            <v>2.0627E-2</v>
          </cell>
          <cell r="AB193">
            <v>2.0832E-2</v>
          </cell>
          <cell r="AC193">
            <v>2.1051E-2</v>
          </cell>
          <cell r="AD193">
            <v>2.1245999999999998E-2</v>
          </cell>
          <cell r="AE193">
            <v>2.1436E-2</v>
          </cell>
          <cell r="AF193">
            <v>2.163E-2</v>
          </cell>
          <cell r="AG193">
            <v>2.1817999999999997E-2</v>
          </cell>
          <cell r="AH193">
            <v>2.2019E-2</v>
          </cell>
          <cell r="AI193">
            <v>2.2197999999999999E-2</v>
          </cell>
          <cell r="AJ193">
            <v>2.2365999999999997E-2</v>
          </cell>
          <cell r="AK193">
            <v>2.2546E-2</v>
          </cell>
          <cell r="AL193">
            <v>2.2745999999999999E-2</v>
          </cell>
          <cell r="AM193">
            <v>2.2901999999999999E-2</v>
          </cell>
          <cell r="AN193">
            <v>2.307E-2</v>
          </cell>
          <cell r="AO193">
            <v>2.3243E-2</v>
          </cell>
          <cell r="AP193">
            <v>2.341E-2</v>
          </cell>
          <cell r="AQ193">
            <v>2.3578999999999999E-2</v>
          </cell>
          <cell r="AR193">
            <v>2.3734999999999999E-2</v>
          </cell>
          <cell r="AS193">
            <v>2.3885E-2</v>
          </cell>
          <cell r="AT193">
            <v>2.4055E-2</v>
          </cell>
          <cell r="AU193">
            <v>2.4198999999999998E-2</v>
          </cell>
          <cell r="AV193">
            <v>2.4336999999999998E-2</v>
          </cell>
          <cell r="AW193">
            <v>2.4494999999999999E-2</v>
          </cell>
          <cell r="AX193">
            <v>2.4628999999999998E-2</v>
          </cell>
          <cell r="AY193">
            <v>2.4774999999999998E-2</v>
          </cell>
          <cell r="AZ193">
            <v>2.4922999999999997E-2</v>
          </cell>
          <cell r="BA193">
            <v>2.5058999999999998E-2</v>
          </cell>
          <cell r="BB193">
            <v>2.5198999999999999E-2</v>
          </cell>
          <cell r="BC193">
            <v>2.5339999999999998E-2</v>
          </cell>
          <cell r="BD193">
            <v>2.5478999999999998E-2</v>
          </cell>
          <cell r="BE193">
            <v>2.5609E-2</v>
          </cell>
          <cell r="BF193">
            <v>2.5755E-2</v>
          </cell>
          <cell r="BG193">
            <v>2.5878999999999999E-2</v>
          </cell>
          <cell r="BH193">
            <v>2.5999999999999999E-2</v>
          </cell>
          <cell r="BI193">
            <v>2.6128999999999999E-2</v>
          </cell>
          <cell r="BJ193">
            <v>2.6128999999999999E-2</v>
          </cell>
          <cell r="BK193">
            <v>2.6128999999999999E-2</v>
          </cell>
          <cell r="BL193">
            <v>2.6128999999999999E-2</v>
          </cell>
        </row>
        <row r="194">
          <cell r="D194">
            <v>1.5389E-2</v>
          </cell>
          <cell r="E194">
            <v>1.5389E-2</v>
          </cell>
          <cell r="F194">
            <v>1.5733999999999998E-2</v>
          </cell>
          <cell r="G194">
            <v>1.6E-2</v>
          </cell>
          <cell r="H194">
            <v>1.6254000000000001E-2</v>
          </cell>
          <cell r="I194">
            <v>1.6521000000000001E-2</v>
          </cell>
          <cell r="J194">
            <v>1.6789999999999999E-2</v>
          </cell>
          <cell r="K194">
            <v>1.7020999999999998E-2</v>
          </cell>
          <cell r="L194">
            <v>1.7242999999999998E-2</v>
          </cell>
          <cell r="M194">
            <v>1.7489999999999999E-2</v>
          </cell>
          <cell r="N194">
            <v>1.7735000000000001E-2</v>
          </cell>
          <cell r="O194">
            <v>1.7961999999999999E-2</v>
          </cell>
          <cell r="P194">
            <v>1.8187999999999999E-2</v>
          </cell>
          <cell r="Q194">
            <v>1.8416999999999999E-2</v>
          </cell>
          <cell r="R194">
            <v>1.8636999999999997E-2</v>
          </cell>
          <cell r="S194">
            <v>1.8865999999999997E-2</v>
          </cell>
          <cell r="T194">
            <v>1.9108E-2</v>
          </cell>
          <cell r="U194">
            <v>1.9314999999999999E-2</v>
          </cell>
          <cell r="V194">
            <v>1.9563999999999998E-2</v>
          </cell>
          <cell r="W194">
            <v>1.9767999999999997E-2</v>
          </cell>
          <cell r="X194">
            <v>1.9972E-2</v>
          </cell>
          <cell r="Y194">
            <v>2.0194E-2</v>
          </cell>
          <cell r="Z194">
            <v>2.0441999999999998E-2</v>
          </cell>
          <cell r="AA194">
            <v>2.0627E-2</v>
          </cell>
          <cell r="AB194">
            <v>2.0832E-2</v>
          </cell>
          <cell r="AC194">
            <v>2.1051E-2</v>
          </cell>
          <cell r="AD194">
            <v>2.1245999999999998E-2</v>
          </cell>
          <cell r="AE194">
            <v>2.1436E-2</v>
          </cell>
          <cell r="AF194">
            <v>2.163E-2</v>
          </cell>
          <cell r="AG194">
            <v>2.1817999999999997E-2</v>
          </cell>
          <cell r="AH194">
            <v>2.2019E-2</v>
          </cell>
          <cell r="AI194">
            <v>2.2197999999999999E-2</v>
          </cell>
          <cell r="AJ194">
            <v>2.2365999999999997E-2</v>
          </cell>
          <cell r="AK194">
            <v>2.2546E-2</v>
          </cell>
          <cell r="AL194">
            <v>2.2745999999999999E-2</v>
          </cell>
          <cell r="AM194">
            <v>2.2901999999999999E-2</v>
          </cell>
          <cell r="AN194">
            <v>2.307E-2</v>
          </cell>
          <cell r="AO194">
            <v>2.3243E-2</v>
          </cell>
          <cell r="AP194">
            <v>2.341E-2</v>
          </cell>
          <cell r="AQ194">
            <v>2.3578999999999999E-2</v>
          </cell>
          <cell r="AR194">
            <v>2.3734999999999999E-2</v>
          </cell>
          <cell r="AS194">
            <v>2.3885E-2</v>
          </cell>
          <cell r="AT194">
            <v>2.4055E-2</v>
          </cell>
          <cell r="AU194">
            <v>2.4198999999999998E-2</v>
          </cell>
          <cell r="AV194">
            <v>2.4336999999999998E-2</v>
          </cell>
          <cell r="AW194">
            <v>2.4494999999999999E-2</v>
          </cell>
          <cell r="AX194">
            <v>2.4628999999999998E-2</v>
          </cell>
          <cell r="AY194">
            <v>2.4774999999999998E-2</v>
          </cell>
          <cell r="AZ194">
            <v>2.4922999999999997E-2</v>
          </cell>
          <cell r="BA194">
            <v>2.5058999999999998E-2</v>
          </cell>
          <cell r="BB194">
            <v>2.5198999999999999E-2</v>
          </cell>
          <cell r="BC194">
            <v>2.5339999999999998E-2</v>
          </cell>
          <cell r="BD194">
            <v>2.5478999999999998E-2</v>
          </cell>
          <cell r="BE194">
            <v>2.5609E-2</v>
          </cell>
          <cell r="BF194">
            <v>2.5755E-2</v>
          </cell>
          <cell r="BG194">
            <v>2.5878999999999999E-2</v>
          </cell>
          <cell r="BH194">
            <v>2.5999999999999999E-2</v>
          </cell>
          <cell r="BI194">
            <v>2.6128999999999999E-2</v>
          </cell>
          <cell r="BJ194">
            <v>2.6128999999999999E-2</v>
          </cell>
          <cell r="BK194">
            <v>2.6128999999999999E-2</v>
          </cell>
          <cell r="BL194">
            <v>2.6128999999999999E-2</v>
          </cell>
        </row>
        <row r="195">
          <cell r="D195">
            <v>1.5389E-2</v>
          </cell>
          <cell r="E195">
            <v>1.5389E-2</v>
          </cell>
          <cell r="F195">
            <v>1.5733999999999998E-2</v>
          </cell>
          <cell r="G195">
            <v>1.6E-2</v>
          </cell>
          <cell r="H195">
            <v>1.6254000000000001E-2</v>
          </cell>
          <cell r="I195">
            <v>1.6521000000000001E-2</v>
          </cell>
          <cell r="J195">
            <v>1.6789999999999999E-2</v>
          </cell>
          <cell r="K195">
            <v>1.7020999999999998E-2</v>
          </cell>
          <cell r="L195">
            <v>1.7242999999999998E-2</v>
          </cell>
          <cell r="M195">
            <v>1.7489999999999999E-2</v>
          </cell>
          <cell r="N195">
            <v>1.7735000000000001E-2</v>
          </cell>
          <cell r="O195">
            <v>1.7961999999999999E-2</v>
          </cell>
          <cell r="P195">
            <v>1.8187999999999999E-2</v>
          </cell>
          <cell r="Q195">
            <v>1.8416999999999999E-2</v>
          </cell>
          <cell r="R195">
            <v>1.8636999999999997E-2</v>
          </cell>
          <cell r="S195">
            <v>1.8865999999999997E-2</v>
          </cell>
          <cell r="T195">
            <v>1.9108E-2</v>
          </cell>
          <cell r="U195">
            <v>1.9314999999999999E-2</v>
          </cell>
          <cell r="V195">
            <v>1.9563999999999998E-2</v>
          </cell>
          <cell r="W195">
            <v>1.9767999999999997E-2</v>
          </cell>
          <cell r="X195">
            <v>1.9972E-2</v>
          </cell>
          <cell r="Y195">
            <v>2.0194E-2</v>
          </cell>
          <cell r="Z195">
            <v>2.0441999999999998E-2</v>
          </cell>
          <cell r="AA195">
            <v>2.0627E-2</v>
          </cell>
          <cell r="AB195">
            <v>2.0832E-2</v>
          </cell>
          <cell r="AC195">
            <v>2.1051E-2</v>
          </cell>
          <cell r="AD195">
            <v>2.1245999999999998E-2</v>
          </cell>
          <cell r="AE195">
            <v>2.1436E-2</v>
          </cell>
          <cell r="AF195">
            <v>2.163E-2</v>
          </cell>
          <cell r="AG195">
            <v>2.1817999999999997E-2</v>
          </cell>
          <cell r="AH195">
            <v>2.2019E-2</v>
          </cell>
          <cell r="AI195">
            <v>2.2197999999999999E-2</v>
          </cell>
          <cell r="AJ195">
            <v>2.2365999999999997E-2</v>
          </cell>
          <cell r="AK195">
            <v>2.2546E-2</v>
          </cell>
          <cell r="AL195">
            <v>2.2745999999999999E-2</v>
          </cell>
          <cell r="AM195">
            <v>2.2901999999999999E-2</v>
          </cell>
          <cell r="AN195">
            <v>2.307E-2</v>
          </cell>
          <cell r="AO195">
            <v>2.3243E-2</v>
          </cell>
          <cell r="AP195">
            <v>2.341E-2</v>
          </cell>
          <cell r="AQ195">
            <v>2.3578999999999999E-2</v>
          </cell>
          <cell r="AR195">
            <v>2.3734999999999999E-2</v>
          </cell>
          <cell r="AS195">
            <v>2.3885E-2</v>
          </cell>
          <cell r="AT195">
            <v>2.4055E-2</v>
          </cell>
          <cell r="AU195">
            <v>2.4198999999999998E-2</v>
          </cell>
          <cell r="AV195">
            <v>2.4336999999999998E-2</v>
          </cell>
          <cell r="AW195">
            <v>2.4494999999999999E-2</v>
          </cell>
          <cell r="AX195">
            <v>2.4628999999999998E-2</v>
          </cell>
          <cell r="AY195">
            <v>2.4774999999999998E-2</v>
          </cell>
          <cell r="AZ195">
            <v>2.4922999999999997E-2</v>
          </cell>
          <cell r="BA195">
            <v>2.5058999999999998E-2</v>
          </cell>
          <cell r="BB195">
            <v>2.5198999999999999E-2</v>
          </cell>
          <cell r="BC195">
            <v>2.5339999999999998E-2</v>
          </cell>
          <cell r="BD195">
            <v>2.5478999999999998E-2</v>
          </cell>
          <cell r="BE195">
            <v>2.5609E-2</v>
          </cell>
          <cell r="BF195">
            <v>2.5755E-2</v>
          </cell>
          <cell r="BG195">
            <v>2.5878999999999999E-2</v>
          </cell>
          <cell r="BH195">
            <v>2.5999999999999999E-2</v>
          </cell>
          <cell r="BI195">
            <v>2.6128999999999999E-2</v>
          </cell>
          <cell r="BJ195">
            <v>2.6128999999999999E-2</v>
          </cell>
          <cell r="BK195">
            <v>2.6128999999999999E-2</v>
          </cell>
          <cell r="BL195">
            <v>2.6128999999999999E-2</v>
          </cell>
        </row>
        <row r="196">
          <cell r="D196">
            <v>2.5409999999999999E-2</v>
          </cell>
          <cell r="E196">
            <v>2.5409999999999999E-2</v>
          </cell>
          <cell r="F196">
            <v>2.5586999999999999E-2</v>
          </cell>
          <cell r="G196">
            <v>2.5731E-2</v>
          </cell>
          <cell r="H196">
            <v>2.588E-2</v>
          </cell>
          <cell r="I196">
            <v>2.6030000000000001E-2</v>
          </cell>
          <cell r="J196">
            <v>2.6180999999999999E-2</v>
          </cell>
          <cell r="K196">
            <v>2.632E-2</v>
          </cell>
          <cell r="L196">
            <v>2.6447000000000002E-2</v>
          </cell>
          <cell r="M196">
            <v>2.6584E-2</v>
          </cell>
          <cell r="N196">
            <v>2.6721999999999999E-2</v>
          </cell>
          <cell r="O196">
            <v>2.6853999999999999E-2</v>
          </cell>
          <cell r="P196">
            <v>2.6983E-2</v>
          </cell>
          <cell r="Q196">
            <v>2.7120000000000002E-2</v>
          </cell>
          <cell r="R196">
            <v>2.7244999999999998E-2</v>
          </cell>
          <cell r="S196">
            <v>2.7372E-2</v>
          </cell>
          <cell r="T196">
            <v>2.7512000000000002E-2</v>
          </cell>
          <cell r="U196">
            <v>2.7629000000000001E-2</v>
          </cell>
          <cell r="V196">
            <v>2.7768000000000001E-2</v>
          </cell>
          <cell r="W196">
            <v>2.7882000000000001E-2</v>
          </cell>
          <cell r="X196">
            <v>2.7996E-2</v>
          </cell>
          <cell r="Y196">
            <v>2.8119000000000002E-2</v>
          </cell>
          <cell r="Z196">
            <v>2.8256E-2</v>
          </cell>
          <cell r="AA196">
            <v>2.8358000000000001E-2</v>
          </cell>
          <cell r="AB196">
            <v>2.8473000000000002E-2</v>
          </cell>
          <cell r="AC196">
            <v>2.8594000000000001E-2</v>
          </cell>
          <cell r="AD196">
            <v>2.8704E-2</v>
          </cell>
          <cell r="AE196">
            <v>2.8813999999999999E-2</v>
          </cell>
          <cell r="AF196">
            <v>2.8927000000000001E-2</v>
          </cell>
          <cell r="AG196">
            <v>2.9033E-2</v>
          </cell>
          <cell r="AH196">
            <v>2.9149000000000001E-2</v>
          </cell>
          <cell r="AI196">
            <v>2.9250000000000002E-2</v>
          </cell>
          <cell r="AJ196">
            <v>2.9346000000000001E-2</v>
          </cell>
          <cell r="AK196">
            <v>2.945E-2</v>
          </cell>
          <cell r="AL196">
            <v>2.9562999999999999E-2</v>
          </cell>
          <cell r="AM196">
            <v>2.9651E-2</v>
          </cell>
          <cell r="AN196">
            <v>2.9748E-2</v>
          </cell>
          <cell r="AO196">
            <v>2.9846999999999999E-2</v>
          </cell>
          <cell r="AP196">
            <v>2.9943999999999998E-2</v>
          </cell>
          <cell r="AQ196">
            <v>3.0044999999999999E-2</v>
          </cell>
          <cell r="AR196">
            <v>3.0134000000000001E-2</v>
          </cell>
          <cell r="AS196">
            <v>3.0224999999999998E-2</v>
          </cell>
          <cell r="AT196">
            <v>3.0324E-2</v>
          </cell>
          <cell r="AU196">
            <v>3.041E-2</v>
          </cell>
          <cell r="AV196">
            <v>3.0492000000000002E-2</v>
          </cell>
          <cell r="AW196">
            <v>3.0585999999999999E-2</v>
          </cell>
          <cell r="AX196">
            <v>3.0667E-2</v>
          </cell>
          <cell r="AY196">
            <v>3.0751000000000001E-2</v>
          </cell>
          <cell r="AZ196">
            <v>3.0838999999999998E-2</v>
          </cell>
          <cell r="BA196">
            <v>3.0917E-2</v>
          </cell>
          <cell r="BB196">
            <v>3.1002000000000002E-2</v>
          </cell>
          <cell r="BC196">
            <v>3.1085999999999999E-2</v>
          </cell>
          <cell r="BD196">
            <v>3.1165000000000002E-2</v>
          </cell>
          <cell r="BE196">
            <v>3.1244000000000001E-2</v>
          </cell>
          <cell r="BF196">
            <v>3.1328999999999996E-2</v>
          </cell>
          <cell r="BG196">
            <v>3.1403E-2</v>
          </cell>
          <cell r="BH196">
            <v>3.1475000000000003E-2</v>
          </cell>
          <cell r="BI196">
            <v>3.1551999999999997E-2</v>
          </cell>
          <cell r="BJ196">
            <v>3.1551999999999997E-2</v>
          </cell>
          <cell r="BK196">
            <v>3.1551999999999997E-2</v>
          </cell>
          <cell r="BL196">
            <v>3.1551999999999997E-2</v>
          </cell>
        </row>
        <row r="197">
          <cell r="D197">
            <v>1.6767000000000001E-2</v>
          </cell>
          <cell r="E197">
            <v>1.6767000000000001E-2</v>
          </cell>
          <cell r="F197">
            <v>1.7083000000000001E-2</v>
          </cell>
          <cell r="G197">
            <v>1.7326000000000001E-2</v>
          </cell>
          <cell r="H197">
            <v>1.7566999999999999E-2</v>
          </cell>
          <cell r="I197">
            <v>1.7817E-2</v>
          </cell>
          <cell r="J197">
            <v>1.8065999999999999E-2</v>
          </cell>
          <cell r="K197">
            <v>1.8286999999999998E-2</v>
          </cell>
          <cell r="L197">
            <v>1.8495999999999999E-2</v>
          </cell>
          <cell r="M197">
            <v>1.8720000000000001E-2</v>
          </cell>
          <cell r="N197">
            <v>1.8951999999999997E-2</v>
          </cell>
          <cell r="O197">
            <v>1.9167999999999998E-2</v>
          </cell>
          <cell r="P197">
            <v>1.9374000000000002E-2</v>
          </cell>
          <cell r="Q197">
            <v>1.9596000000000002E-2</v>
          </cell>
          <cell r="R197">
            <v>1.9798000000000003E-2</v>
          </cell>
          <cell r="S197">
            <v>2.0008999999999999E-2</v>
          </cell>
          <cell r="T197">
            <v>2.0237999999999999E-2</v>
          </cell>
          <cell r="U197">
            <v>2.0429000000000003E-2</v>
          </cell>
          <cell r="V197">
            <v>2.0662E-2</v>
          </cell>
          <cell r="W197">
            <v>2.0851000000000001E-2</v>
          </cell>
          <cell r="X197">
            <v>2.1038000000000001E-2</v>
          </cell>
          <cell r="Y197">
            <v>2.1241999999999997E-2</v>
          </cell>
          <cell r="Z197">
            <v>2.1470999999999997E-2</v>
          </cell>
          <cell r="AA197">
            <v>2.164E-2</v>
          </cell>
          <cell r="AB197">
            <v>2.1831999999999997E-2</v>
          </cell>
          <cell r="AC197">
            <v>2.2036E-2</v>
          </cell>
          <cell r="AD197">
            <v>2.2213999999999998E-2</v>
          </cell>
          <cell r="AE197">
            <v>2.2393000000000003E-2</v>
          </cell>
          <cell r="AF197">
            <v>2.2577E-2</v>
          </cell>
          <cell r="AG197">
            <v>2.2747999999999997E-2</v>
          </cell>
          <cell r="AH197">
            <v>2.2938E-2</v>
          </cell>
          <cell r="AI197">
            <v>2.3100999999999997E-2</v>
          </cell>
          <cell r="AJ197">
            <v>2.3258000000000001E-2</v>
          </cell>
          <cell r="AK197">
            <v>2.3427000000000003E-2</v>
          </cell>
          <cell r="AL197">
            <v>2.3613000000000002E-2</v>
          </cell>
          <cell r="AM197">
            <v>2.3755999999999999E-2</v>
          </cell>
          <cell r="AN197">
            <v>2.3913999999999998E-2</v>
          </cell>
          <cell r="AO197">
            <v>2.4077000000000001E-2</v>
          </cell>
          <cell r="AP197">
            <v>2.4233999999999999E-2</v>
          </cell>
          <cell r="AQ197">
            <v>2.4397000000000002E-2</v>
          </cell>
          <cell r="AR197">
            <v>2.4542000000000001E-2</v>
          </cell>
          <cell r="AS197">
            <v>2.4688000000000002E-2</v>
          </cell>
          <cell r="AT197">
            <v>2.4849000000000003E-2</v>
          </cell>
          <cell r="AU197">
            <v>2.4987000000000002E-2</v>
          </cell>
          <cell r="AV197">
            <v>2.5119999999999996E-2</v>
          </cell>
          <cell r="AW197">
            <v>2.5272999999999997E-2</v>
          </cell>
          <cell r="AX197">
            <v>2.5403000000000002E-2</v>
          </cell>
          <cell r="AY197">
            <v>2.5541000000000001E-2</v>
          </cell>
          <cell r="AZ197">
            <v>2.5683999999999998E-2</v>
          </cell>
          <cell r="BA197">
            <v>2.5812000000000002E-2</v>
          </cell>
          <cell r="BB197">
            <v>2.5946999999999998E-2</v>
          </cell>
          <cell r="BC197">
            <v>2.6083000000000002E-2</v>
          </cell>
          <cell r="BD197">
            <v>2.6211999999999999E-2</v>
          </cell>
          <cell r="BE197">
            <v>2.6338E-2</v>
          </cell>
          <cell r="BF197">
            <v>2.6476E-2</v>
          </cell>
          <cell r="BG197">
            <v>2.6595000000000001E-2</v>
          </cell>
          <cell r="BH197">
            <v>2.6712E-2</v>
          </cell>
          <cell r="BI197">
            <v>2.6835999999999999E-2</v>
          </cell>
          <cell r="BJ197">
            <v>2.6835999999999999E-2</v>
          </cell>
          <cell r="BK197">
            <v>2.6835999999999999E-2</v>
          </cell>
          <cell r="BL197">
            <v>2.6835999999999999E-2</v>
          </cell>
        </row>
        <row r="198">
          <cell r="D198">
            <v>1.6767000000000001E-2</v>
          </cell>
          <cell r="E198">
            <v>1.6767000000000001E-2</v>
          </cell>
          <cell r="F198">
            <v>1.7083000000000001E-2</v>
          </cell>
          <cell r="G198">
            <v>1.7326000000000001E-2</v>
          </cell>
          <cell r="H198">
            <v>1.7566999999999999E-2</v>
          </cell>
          <cell r="I198">
            <v>1.7817E-2</v>
          </cell>
          <cell r="J198">
            <v>1.8065999999999999E-2</v>
          </cell>
          <cell r="K198">
            <v>1.8286999999999998E-2</v>
          </cell>
          <cell r="L198">
            <v>1.8495999999999999E-2</v>
          </cell>
          <cell r="M198">
            <v>1.8720000000000001E-2</v>
          </cell>
          <cell r="N198">
            <v>1.8951999999999997E-2</v>
          </cell>
          <cell r="O198">
            <v>1.9167999999999998E-2</v>
          </cell>
          <cell r="P198">
            <v>1.9374000000000002E-2</v>
          </cell>
          <cell r="Q198">
            <v>1.9596000000000002E-2</v>
          </cell>
          <cell r="R198">
            <v>1.9798000000000003E-2</v>
          </cell>
          <cell r="S198">
            <v>2.0008999999999999E-2</v>
          </cell>
          <cell r="T198">
            <v>2.0237999999999999E-2</v>
          </cell>
          <cell r="U198">
            <v>2.0429000000000003E-2</v>
          </cell>
          <cell r="V198">
            <v>2.0662E-2</v>
          </cell>
          <cell r="W198">
            <v>2.0851000000000001E-2</v>
          </cell>
          <cell r="X198">
            <v>2.1038000000000001E-2</v>
          </cell>
          <cell r="Y198">
            <v>2.1241999999999997E-2</v>
          </cell>
          <cell r="Z198">
            <v>2.1470999999999997E-2</v>
          </cell>
          <cell r="AA198">
            <v>2.164E-2</v>
          </cell>
          <cell r="AB198">
            <v>2.1831999999999997E-2</v>
          </cell>
          <cell r="AC198">
            <v>2.2036E-2</v>
          </cell>
          <cell r="AD198">
            <v>2.2213999999999998E-2</v>
          </cell>
          <cell r="AE198">
            <v>2.2393000000000003E-2</v>
          </cell>
          <cell r="AF198">
            <v>2.2577E-2</v>
          </cell>
          <cell r="AG198">
            <v>2.2747999999999997E-2</v>
          </cell>
          <cell r="AH198">
            <v>2.2938E-2</v>
          </cell>
          <cell r="AI198">
            <v>2.3100999999999997E-2</v>
          </cell>
          <cell r="AJ198">
            <v>2.3258000000000001E-2</v>
          </cell>
          <cell r="AK198">
            <v>2.3427000000000003E-2</v>
          </cell>
          <cell r="AL198">
            <v>2.3613000000000002E-2</v>
          </cell>
          <cell r="AM198">
            <v>2.3755999999999999E-2</v>
          </cell>
          <cell r="AN198">
            <v>2.3913999999999998E-2</v>
          </cell>
          <cell r="AO198">
            <v>2.4077000000000001E-2</v>
          </cell>
          <cell r="AP198">
            <v>2.4233999999999999E-2</v>
          </cell>
          <cell r="AQ198">
            <v>2.4397000000000002E-2</v>
          </cell>
          <cell r="AR198">
            <v>2.4542000000000001E-2</v>
          </cell>
          <cell r="AS198">
            <v>2.4688000000000002E-2</v>
          </cell>
          <cell r="AT198">
            <v>2.4849000000000003E-2</v>
          </cell>
          <cell r="AU198">
            <v>2.4987000000000002E-2</v>
          </cell>
          <cell r="AV198">
            <v>2.5119999999999996E-2</v>
          </cell>
          <cell r="AW198">
            <v>2.5272999999999997E-2</v>
          </cell>
          <cell r="AX198">
            <v>2.5403000000000002E-2</v>
          </cell>
          <cell r="AY198">
            <v>2.5541000000000001E-2</v>
          </cell>
          <cell r="AZ198">
            <v>2.5683999999999998E-2</v>
          </cell>
          <cell r="BA198">
            <v>2.5812000000000002E-2</v>
          </cell>
          <cell r="BB198">
            <v>2.5946999999999998E-2</v>
          </cell>
          <cell r="BC198">
            <v>2.6083000000000002E-2</v>
          </cell>
          <cell r="BD198">
            <v>2.6211999999999999E-2</v>
          </cell>
          <cell r="BE198">
            <v>2.6338E-2</v>
          </cell>
          <cell r="BF198">
            <v>2.6476E-2</v>
          </cell>
          <cell r="BG198">
            <v>2.6595000000000001E-2</v>
          </cell>
          <cell r="BH198">
            <v>2.6712E-2</v>
          </cell>
          <cell r="BI198">
            <v>2.6835999999999999E-2</v>
          </cell>
          <cell r="BJ198">
            <v>2.6835999999999999E-2</v>
          </cell>
          <cell r="BK198">
            <v>2.6835999999999999E-2</v>
          </cell>
          <cell r="BL198">
            <v>2.6835999999999999E-2</v>
          </cell>
        </row>
        <row r="199">
          <cell r="D199">
            <v>1.6767000000000001E-2</v>
          </cell>
          <cell r="E199">
            <v>1.6767000000000001E-2</v>
          </cell>
          <cell r="F199">
            <v>1.7083000000000001E-2</v>
          </cell>
          <cell r="G199">
            <v>1.7326000000000001E-2</v>
          </cell>
          <cell r="H199">
            <v>1.7566999999999999E-2</v>
          </cell>
          <cell r="I199">
            <v>1.7817E-2</v>
          </cell>
          <cell r="J199">
            <v>1.8065999999999999E-2</v>
          </cell>
          <cell r="K199">
            <v>1.8286999999999998E-2</v>
          </cell>
          <cell r="L199">
            <v>1.8495999999999999E-2</v>
          </cell>
          <cell r="M199">
            <v>1.8720000000000001E-2</v>
          </cell>
          <cell r="N199">
            <v>1.8951999999999997E-2</v>
          </cell>
          <cell r="O199">
            <v>1.9167999999999998E-2</v>
          </cell>
          <cell r="P199">
            <v>1.9374000000000002E-2</v>
          </cell>
          <cell r="Q199">
            <v>1.9596000000000002E-2</v>
          </cell>
          <cell r="R199">
            <v>1.9798000000000003E-2</v>
          </cell>
          <cell r="S199">
            <v>2.0008999999999999E-2</v>
          </cell>
          <cell r="T199">
            <v>2.0237999999999999E-2</v>
          </cell>
          <cell r="U199">
            <v>2.0429000000000003E-2</v>
          </cell>
          <cell r="V199">
            <v>2.0662E-2</v>
          </cell>
          <cell r="W199">
            <v>2.0851000000000001E-2</v>
          </cell>
          <cell r="X199">
            <v>2.1038000000000001E-2</v>
          </cell>
          <cell r="Y199">
            <v>2.1241999999999997E-2</v>
          </cell>
          <cell r="Z199">
            <v>2.1470999999999997E-2</v>
          </cell>
          <cell r="AA199">
            <v>2.164E-2</v>
          </cell>
          <cell r="AB199">
            <v>2.1831999999999997E-2</v>
          </cell>
          <cell r="AC199">
            <v>2.2036E-2</v>
          </cell>
          <cell r="AD199">
            <v>2.2213999999999998E-2</v>
          </cell>
          <cell r="AE199">
            <v>2.2393000000000003E-2</v>
          </cell>
          <cell r="AF199">
            <v>2.2577E-2</v>
          </cell>
          <cell r="AG199">
            <v>2.2747999999999997E-2</v>
          </cell>
          <cell r="AH199">
            <v>2.2938E-2</v>
          </cell>
          <cell r="AI199">
            <v>2.3100999999999997E-2</v>
          </cell>
          <cell r="AJ199">
            <v>2.3258000000000001E-2</v>
          </cell>
          <cell r="AK199">
            <v>2.3427000000000003E-2</v>
          </cell>
          <cell r="AL199">
            <v>2.3613000000000002E-2</v>
          </cell>
          <cell r="AM199">
            <v>2.3755999999999999E-2</v>
          </cell>
          <cell r="AN199">
            <v>2.3913999999999998E-2</v>
          </cell>
          <cell r="AO199">
            <v>2.4077000000000001E-2</v>
          </cell>
          <cell r="AP199">
            <v>2.4233999999999999E-2</v>
          </cell>
          <cell r="AQ199">
            <v>2.4397000000000002E-2</v>
          </cell>
          <cell r="AR199">
            <v>2.4542000000000001E-2</v>
          </cell>
          <cell r="AS199">
            <v>2.4688000000000002E-2</v>
          </cell>
          <cell r="AT199">
            <v>2.4849000000000003E-2</v>
          </cell>
          <cell r="AU199">
            <v>2.4987000000000002E-2</v>
          </cell>
          <cell r="AV199">
            <v>2.5119999999999996E-2</v>
          </cell>
          <cell r="AW199">
            <v>2.5272999999999997E-2</v>
          </cell>
          <cell r="AX199">
            <v>2.5403000000000002E-2</v>
          </cell>
          <cell r="AY199">
            <v>2.5541000000000001E-2</v>
          </cell>
          <cell r="AZ199">
            <v>2.5683999999999998E-2</v>
          </cell>
          <cell r="BA199">
            <v>2.5812000000000002E-2</v>
          </cell>
          <cell r="BB199">
            <v>2.5946999999999998E-2</v>
          </cell>
          <cell r="BC199">
            <v>2.6083000000000002E-2</v>
          </cell>
          <cell r="BD199">
            <v>2.6211999999999999E-2</v>
          </cell>
          <cell r="BE199">
            <v>2.6338E-2</v>
          </cell>
          <cell r="BF199">
            <v>2.6476E-2</v>
          </cell>
          <cell r="BG199">
            <v>2.6595000000000001E-2</v>
          </cell>
          <cell r="BH199">
            <v>2.6712E-2</v>
          </cell>
          <cell r="BI199">
            <v>2.6835999999999999E-2</v>
          </cell>
          <cell r="BJ199">
            <v>2.6835999999999999E-2</v>
          </cell>
          <cell r="BK199">
            <v>2.6835999999999999E-2</v>
          </cell>
          <cell r="BL199">
            <v>2.6835999999999999E-2</v>
          </cell>
        </row>
        <row r="214">
          <cell r="D214">
            <v>1.1169999999999999E-2</v>
          </cell>
          <cell r="E214">
            <v>1.1169999999999999E-2</v>
          </cell>
          <cell r="F214">
            <v>1.1169999999999999E-2</v>
          </cell>
          <cell r="G214">
            <v>1.1169999999999999E-2</v>
          </cell>
          <cell r="H214">
            <v>1.1169999999999999E-2</v>
          </cell>
          <cell r="I214">
            <v>1.1169999999999999E-2</v>
          </cell>
          <cell r="J214">
            <v>1.1169999999999999E-2</v>
          </cell>
          <cell r="K214">
            <v>1.1169999999999999E-2</v>
          </cell>
          <cell r="L214">
            <v>1.1169999999999999E-2</v>
          </cell>
          <cell r="M214">
            <v>1.1169999999999999E-2</v>
          </cell>
          <cell r="N214">
            <v>1.1169999999999999E-2</v>
          </cell>
          <cell r="O214">
            <v>1.1169999999999999E-2</v>
          </cell>
          <cell r="P214">
            <v>1.1169999999999999E-2</v>
          </cell>
          <cell r="Q214">
            <v>1.1169999999999999E-2</v>
          </cell>
          <cell r="R214">
            <v>1.1169999999999999E-2</v>
          </cell>
          <cell r="S214">
            <v>1.1169999999999999E-2</v>
          </cell>
          <cell r="T214">
            <v>1.1169999999999999E-2</v>
          </cell>
          <cell r="U214">
            <v>1.1169999999999999E-2</v>
          </cell>
          <cell r="V214">
            <v>1.1169999999999999E-2</v>
          </cell>
          <cell r="W214">
            <v>1.1169999999999999E-2</v>
          </cell>
          <cell r="X214">
            <v>1.1169999999999999E-2</v>
          </cell>
          <cell r="Y214">
            <v>1.1169999999999999E-2</v>
          </cell>
          <cell r="Z214">
            <v>1.1169999999999999E-2</v>
          </cell>
          <cell r="AA214">
            <v>1.1169999999999999E-2</v>
          </cell>
          <cell r="AB214">
            <v>1.1169999999999999E-2</v>
          </cell>
          <cell r="AC214">
            <v>1.1169999999999999E-2</v>
          </cell>
          <cell r="AD214">
            <v>1.1169999999999999E-2</v>
          </cell>
          <cell r="AE214">
            <v>1.1169999999999999E-2</v>
          </cell>
          <cell r="AF214">
            <v>1.1169999999999999E-2</v>
          </cell>
          <cell r="AG214">
            <v>1.1169999999999999E-2</v>
          </cell>
          <cell r="AH214">
            <v>1.1169999999999999E-2</v>
          </cell>
          <cell r="AI214">
            <v>1.1169999999999999E-2</v>
          </cell>
          <cell r="AJ214">
            <v>1.1169999999999999E-2</v>
          </cell>
          <cell r="AK214">
            <v>1.1169999999999999E-2</v>
          </cell>
          <cell r="AL214">
            <v>1.1169999999999999E-2</v>
          </cell>
          <cell r="AM214">
            <v>1.1169999999999999E-2</v>
          </cell>
          <cell r="AN214">
            <v>1.1169999999999999E-2</v>
          </cell>
          <cell r="AO214">
            <v>1.1169999999999999E-2</v>
          </cell>
          <cell r="AP214">
            <v>1.1169999999999999E-2</v>
          </cell>
          <cell r="AQ214">
            <v>1.1169999999999999E-2</v>
          </cell>
          <cell r="AR214">
            <v>1.1169999999999999E-2</v>
          </cell>
          <cell r="AS214">
            <v>1.1169999999999999E-2</v>
          </cell>
          <cell r="AT214">
            <v>1.1169999999999999E-2</v>
          </cell>
          <cell r="AU214">
            <v>1.1169999999999999E-2</v>
          </cell>
          <cell r="AV214">
            <v>1.1169999999999999E-2</v>
          </cell>
          <cell r="AW214">
            <v>1.1169999999999999E-2</v>
          </cell>
          <cell r="AX214">
            <v>1.1169999999999999E-2</v>
          </cell>
          <cell r="AY214">
            <v>1.1169999999999999E-2</v>
          </cell>
          <cell r="AZ214">
            <v>1.1169999999999999E-2</v>
          </cell>
          <cell r="BA214">
            <v>1.1169999999999999E-2</v>
          </cell>
          <cell r="BB214">
            <v>1.1169999999999999E-2</v>
          </cell>
          <cell r="BC214">
            <v>1.1169999999999999E-2</v>
          </cell>
          <cell r="BD214">
            <v>1.1169999999999999E-2</v>
          </cell>
          <cell r="BE214">
            <v>1.1169999999999999E-2</v>
          </cell>
          <cell r="BF214">
            <v>1.1169999999999999E-2</v>
          </cell>
          <cell r="BG214">
            <v>1.1169999999999999E-2</v>
          </cell>
          <cell r="BH214">
            <v>1.1169999999999999E-2</v>
          </cell>
          <cell r="BI214">
            <v>1.1169999999999999E-2</v>
          </cell>
          <cell r="BJ214">
            <v>1.1169999999999999E-2</v>
          </cell>
          <cell r="BK214">
            <v>1.1169999999999999E-2</v>
          </cell>
          <cell r="BL214">
            <v>1.1169999999999999E-2</v>
          </cell>
        </row>
        <row r="215">
          <cell r="D215">
            <v>2.5000000000000001E-2</v>
          </cell>
          <cell r="E215">
            <v>2.5000000000000001E-2</v>
          </cell>
          <cell r="F215">
            <v>2.5000000000000001E-2</v>
          </cell>
          <cell r="G215">
            <v>2.5000000000000001E-2</v>
          </cell>
          <cell r="H215">
            <v>2.5000000000000001E-2</v>
          </cell>
          <cell r="I215">
            <v>2.5000000000000001E-2</v>
          </cell>
          <cell r="J215">
            <v>2.5000000000000001E-2</v>
          </cell>
          <cell r="K215">
            <v>2.5000000000000001E-2</v>
          </cell>
          <cell r="L215">
            <v>2.5000000000000001E-2</v>
          </cell>
          <cell r="M215">
            <v>2.5000000000000001E-2</v>
          </cell>
          <cell r="N215">
            <v>2.5000000000000001E-2</v>
          </cell>
          <cell r="O215">
            <v>2.5000000000000001E-2</v>
          </cell>
          <cell r="P215">
            <v>2.5000000000000001E-2</v>
          </cell>
          <cell r="Q215">
            <v>2.5000000000000001E-2</v>
          </cell>
          <cell r="R215">
            <v>2.5000000000000001E-2</v>
          </cell>
          <cell r="S215">
            <v>2.5000000000000001E-2</v>
          </cell>
          <cell r="T215">
            <v>2.5000000000000001E-2</v>
          </cell>
          <cell r="U215">
            <v>2.5000000000000001E-2</v>
          </cell>
          <cell r="V215">
            <v>2.5000000000000001E-2</v>
          </cell>
          <cell r="W215">
            <v>2.5000000000000001E-2</v>
          </cell>
          <cell r="X215">
            <v>2.5000000000000001E-2</v>
          </cell>
          <cell r="Y215">
            <v>2.5000000000000001E-2</v>
          </cell>
          <cell r="Z215">
            <v>2.5000000000000001E-2</v>
          </cell>
          <cell r="AA215">
            <v>2.5000000000000001E-2</v>
          </cell>
          <cell r="AB215">
            <v>2.5000000000000001E-2</v>
          </cell>
          <cell r="AC215">
            <v>2.5000000000000001E-2</v>
          </cell>
          <cell r="AD215">
            <v>2.5000000000000001E-2</v>
          </cell>
          <cell r="AE215">
            <v>2.5000000000000001E-2</v>
          </cell>
          <cell r="AF215">
            <v>2.5000000000000001E-2</v>
          </cell>
          <cell r="AG215">
            <v>2.5000000000000001E-2</v>
          </cell>
          <cell r="AH215">
            <v>2.5000000000000001E-2</v>
          </cell>
          <cell r="AI215">
            <v>2.5000000000000001E-2</v>
          </cell>
          <cell r="AJ215">
            <v>2.5000000000000001E-2</v>
          </cell>
          <cell r="AK215">
            <v>2.5000000000000001E-2</v>
          </cell>
          <cell r="AL215">
            <v>2.5000000000000001E-2</v>
          </cell>
          <cell r="AM215">
            <v>2.5000000000000001E-2</v>
          </cell>
          <cell r="AN215">
            <v>2.5000000000000001E-2</v>
          </cell>
          <cell r="AO215">
            <v>2.5000000000000001E-2</v>
          </cell>
          <cell r="AP215">
            <v>2.5000000000000001E-2</v>
          </cell>
          <cell r="AQ215">
            <v>2.5000000000000001E-2</v>
          </cell>
          <cell r="AR215">
            <v>2.5000000000000001E-2</v>
          </cell>
          <cell r="AS215">
            <v>2.5000000000000001E-2</v>
          </cell>
          <cell r="AT215">
            <v>2.5000000000000001E-2</v>
          </cell>
          <cell r="AU215">
            <v>2.5000000000000001E-2</v>
          </cell>
          <cell r="AV215">
            <v>2.5000000000000001E-2</v>
          </cell>
          <cell r="AW215">
            <v>2.5000000000000001E-2</v>
          </cell>
          <cell r="AX215">
            <v>2.5000000000000001E-2</v>
          </cell>
          <cell r="AY215">
            <v>2.5000000000000001E-2</v>
          </cell>
          <cell r="AZ215">
            <v>2.5000000000000001E-2</v>
          </cell>
          <cell r="BA215">
            <v>2.5000000000000001E-2</v>
          </cell>
          <cell r="BB215">
            <v>2.5000000000000001E-2</v>
          </cell>
          <cell r="BC215">
            <v>2.5000000000000001E-2</v>
          </cell>
          <cell r="BD215">
            <v>2.5000000000000001E-2</v>
          </cell>
          <cell r="BE215">
            <v>2.5000000000000001E-2</v>
          </cell>
          <cell r="BF215">
            <v>2.5000000000000001E-2</v>
          </cell>
          <cell r="BG215">
            <v>2.5000000000000001E-2</v>
          </cell>
          <cell r="BH215">
            <v>2.5000000000000001E-2</v>
          </cell>
          <cell r="BI215">
            <v>2.5000000000000001E-2</v>
          </cell>
          <cell r="BJ215">
            <v>2.5000000000000001E-2</v>
          </cell>
          <cell r="BK215">
            <v>2.5000000000000001E-2</v>
          </cell>
          <cell r="BL215">
            <v>2.5000000000000001E-2</v>
          </cell>
        </row>
        <row r="216">
          <cell r="D216">
            <v>2.5000000000000001E-2</v>
          </cell>
          <cell r="E216">
            <v>2.5000000000000001E-2</v>
          </cell>
          <cell r="F216">
            <v>2.5000000000000001E-2</v>
          </cell>
          <cell r="G216">
            <v>2.5000000000000001E-2</v>
          </cell>
          <cell r="H216">
            <v>2.5000000000000001E-2</v>
          </cell>
          <cell r="I216">
            <v>2.5000000000000001E-2</v>
          </cell>
          <cell r="J216">
            <v>2.5000000000000001E-2</v>
          </cell>
          <cell r="K216">
            <v>2.5000000000000001E-2</v>
          </cell>
          <cell r="L216">
            <v>2.5000000000000001E-2</v>
          </cell>
          <cell r="M216">
            <v>2.5000000000000001E-2</v>
          </cell>
          <cell r="N216">
            <v>2.5000000000000001E-2</v>
          </cell>
          <cell r="O216">
            <v>2.5000000000000001E-2</v>
          </cell>
          <cell r="P216">
            <v>2.5000000000000001E-2</v>
          </cell>
          <cell r="Q216">
            <v>2.5000000000000001E-2</v>
          </cell>
          <cell r="R216">
            <v>2.5000000000000001E-2</v>
          </cell>
          <cell r="S216">
            <v>2.5000000000000001E-2</v>
          </cell>
          <cell r="T216">
            <v>2.5000000000000001E-2</v>
          </cell>
          <cell r="U216">
            <v>2.5000000000000001E-2</v>
          </cell>
          <cell r="V216">
            <v>2.5000000000000001E-2</v>
          </cell>
          <cell r="W216">
            <v>2.5000000000000001E-2</v>
          </cell>
          <cell r="X216">
            <v>2.5000000000000001E-2</v>
          </cell>
          <cell r="Y216">
            <v>2.5000000000000001E-2</v>
          </cell>
          <cell r="Z216">
            <v>2.5000000000000001E-2</v>
          </cell>
          <cell r="AA216">
            <v>2.5000000000000001E-2</v>
          </cell>
          <cell r="AB216">
            <v>2.5000000000000001E-2</v>
          </cell>
          <cell r="AC216">
            <v>2.5000000000000001E-2</v>
          </cell>
          <cell r="AD216">
            <v>2.5000000000000001E-2</v>
          </cell>
          <cell r="AE216">
            <v>2.5000000000000001E-2</v>
          </cell>
          <cell r="AF216">
            <v>2.5000000000000001E-2</v>
          </cell>
          <cell r="AG216">
            <v>2.5000000000000001E-2</v>
          </cell>
          <cell r="AH216">
            <v>2.5000000000000001E-2</v>
          </cell>
          <cell r="AI216">
            <v>2.5000000000000001E-2</v>
          </cell>
          <cell r="AJ216">
            <v>2.5000000000000001E-2</v>
          </cell>
          <cell r="AK216">
            <v>2.5000000000000001E-2</v>
          </cell>
          <cell r="AL216">
            <v>2.5000000000000001E-2</v>
          </cell>
          <cell r="AM216">
            <v>2.5000000000000001E-2</v>
          </cell>
          <cell r="AN216">
            <v>2.5000000000000001E-2</v>
          </cell>
          <cell r="AO216">
            <v>2.5000000000000001E-2</v>
          </cell>
          <cell r="AP216">
            <v>2.5000000000000001E-2</v>
          </cell>
          <cell r="AQ216">
            <v>2.5000000000000001E-2</v>
          </cell>
          <cell r="AR216">
            <v>2.5000000000000001E-2</v>
          </cell>
          <cell r="AS216">
            <v>2.5000000000000001E-2</v>
          </cell>
          <cell r="AT216">
            <v>2.5000000000000001E-2</v>
          </cell>
          <cell r="AU216">
            <v>2.5000000000000001E-2</v>
          </cell>
          <cell r="AV216">
            <v>2.5000000000000001E-2</v>
          </cell>
          <cell r="AW216">
            <v>2.5000000000000001E-2</v>
          </cell>
          <cell r="AX216">
            <v>2.5000000000000001E-2</v>
          </cell>
          <cell r="AY216">
            <v>2.5000000000000001E-2</v>
          </cell>
          <cell r="AZ216">
            <v>2.5000000000000001E-2</v>
          </cell>
          <cell r="BA216">
            <v>2.5000000000000001E-2</v>
          </cell>
          <cell r="BB216">
            <v>2.5000000000000001E-2</v>
          </cell>
          <cell r="BC216">
            <v>2.5000000000000001E-2</v>
          </cell>
          <cell r="BD216">
            <v>2.5000000000000001E-2</v>
          </cell>
          <cell r="BE216">
            <v>2.5000000000000001E-2</v>
          </cell>
          <cell r="BF216">
            <v>2.5000000000000001E-2</v>
          </cell>
          <cell r="BG216">
            <v>2.5000000000000001E-2</v>
          </cell>
          <cell r="BH216">
            <v>2.5000000000000001E-2</v>
          </cell>
          <cell r="BI216">
            <v>2.5000000000000001E-2</v>
          </cell>
          <cell r="BJ216">
            <v>2.5000000000000001E-2</v>
          </cell>
          <cell r="BK216">
            <v>2.5000000000000001E-2</v>
          </cell>
          <cell r="BL216">
            <v>2.5000000000000001E-2</v>
          </cell>
        </row>
      </sheetData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シート"/>
      <sheetName val="オペレーティングリース計画入力"/>
      <sheetName val="不動産計画入力"/>
      <sheetName val="商品別目標結果シート"/>
      <sheetName val="検収実績率"/>
      <sheetName val="金利マトリック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貸引制御"/>
      <sheetName val="HOST実績制御"/>
      <sheetName val="実績制御"/>
      <sheetName val="未検収制御"/>
      <sheetName val="成約済制御"/>
      <sheetName val="既存展開制御"/>
      <sheetName val="新規展開制御"/>
      <sheetName val="メイン"/>
      <sheetName val="TEMP"/>
      <sheetName val="新規設定"/>
      <sheetName val="主要商品入力"/>
      <sheetName val="台数計画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再リース後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再リース_展開"/>
      <sheetName val="金利シナリオ入力"/>
      <sheetName val="金利一覧"/>
      <sheetName val="解約展開"/>
      <sheetName val="主要商品結果_解約後"/>
      <sheetName val="解約ラダー"/>
      <sheetName val="ラダーデータ予測_検収済み"/>
      <sheetName val="ラダーデータ予測_成約後未検収"/>
      <sheetName val="PEOPLE実績"/>
      <sheetName val="HOST実績"/>
      <sheetName val="月次HOST実績"/>
      <sheetName val="月次PEOPLE"/>
      <sheetName val="月次DAL保有台数実績"/>
      <sheetName val="最終結果表_実績"/>
      <sheetName val="最終結果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"/>
      <sheetName val="TEMP"/>
      <sheetName val="新規設定"/>
      <sheetName val="台数計画"/>
      <sheetName val="主要商品入力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解約後"/>
      <sheetName val="主要商品結果_再リース後"/>
      <sheetName val="再検金融"/>
      <sheetName val="再検割賦"/>
      <sheetName val="再検BK"/>
      <sheetName val="再検LB"/>
      <sheetName val="再検ML"/>
      <sheetName val="再検FL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解約展開"/>
      <sheetName val="再リース_展開"/>
      <sheetName val="金利シナリオ入力"/>
      <sheetName val="金利一覧"/>
      <sheetName val="ラダーデータ予測_検収済み"/>
      <sheetName val="ラダーデータ予測_成約後未検収"/>
      <sheetName val="PEOPLE実績"/>
      <sheetName val="HOST実績"/>
      <sheetName val="月次PEOPLE"/>
      <sheetName val="月次HOST実績"/>
      <sheetName val="月次DAL保有台数実績"/>
      <sheetName val="最終結果表_実績"/>
      <sheetName val="最終結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F33">
            <v>3811302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メイン"/>
      <sheetName val="収束計算結果"/>
      <sheetName val="年度集約結果"/>
      <sheetName val="半期集約結果"/>
      <sheetName val="四半期集約結果"/>
      <sheetName val="月次展開結果"/>
      <sheetName val="補正シートマスタ"/>
      <sheetName val="補正シート"/>
      <sheetName val="ＢS月次"/>
      <sheetName val="ＰＬ月次"/>
      <sheetName val="台数計画"/>
      <sheetName val="ＢS①"/>
      <sheetName val="ＢS②"/>
      <sheetName val="ＢS③"/>
      <sheetName val="ＰＬ①"/>
      <sheetName val="ＰＬ②"/>
      <sheetName val="ＰＬ③"/>
      <sheetName val="ＰＬ④"/>
      <sheetName val="ＰＬ⑤"/>
      <sheetName val="ＰＬ⑥"/>
      <sheetName val="ＰＬ⑥ (2)"/>
      <sheetName val="ＣＦ"/>
      <sheetName val="区分別収支"/>
      <sheetName val="資産残高推移"/>
    </sheetNames>
    <sheetDataSet>
      <sheetData sheetId="0"/>
      <sheetData sheetId="1"/>
      <sheetData sheetId="2"/>
      <sheetData sheetId="3">
        <row r="5">
          <cell r="F5">
            <v>50730341.369048238</v>
          </cell>
          <cell r="G5">
            <v>30960498.672815941</v>
          </cell>
          <cell r="H5">
            <v>25280936.168294147</v>
          </cell>
          <cell r="I5">
            <v>28085177.051863059</v>
          </cell>
          <cell r="J5">
            <v>-82702742.66109246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EG5">
            <v>52866.666666666664</v>
          </cell>
          <cell r="EH5">
            <v>59085</v>
          </cell>
          <cell r="EI5">
            <v>65085</v>
          </cell>
          <cell r="EJ5">
            <v>71085</v>
          </cell>
          <cell r="EK5">
            <v>0</v>
          </cell>
        </row>
        <row r="6">
          <cell r="F6">
            <v>22772014.668876395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EG6">
            <v>25666.666666666668</v>
          </cell>
          <cell r="EH6">
            <v>27666.666666666668</v>
          </cell>
          <cell r="EI6">
            <v>29666.666666666668</v>
          </cell>
          <cell r="EJ6">
            <v>31666.666666666668</v>
          </cell>
          <cell r="EK6">
            <v>0</v>
          </cell>
        </row>
        <row r="7">
          <cell r="F7">
            <v>0</v>
          </cell>
          <cell r="G7">
            <v>16806658.483023833</v>
          </cell>
          <cell r="H7">
            <v>11633069.785879064</v>
          </cell>
          <cell r="I7">
            <v>6457028.4819505196</v>
          </cell>
          <cell r="J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EG7">
            <v>31982.333333333332</v>
          </cell>
          <cell r="EH7">
            <v>36383</v>
          </cell>
          <cell r="EI7">
            <v>40933.333333333336</v>
          </cell>
          <cell r="EJ7">
            <v>45283.333333333336</v>
          </cell>
          <cell r="EK7">
            <v>0</v>
          </cell>
        </row>
        <row r="8">
          <cell r="F8">
            <v>2221894.1971001113</v>
          </cell>
          <cell r="G8">
            <v>6685759.4568241136</v>
          </cell>
          <cell r="H8">
            <v>5777091.2132576061</v>
          </cell>
          <cell r="I8">
            <v>4763864.7870230358</v>
          </cell>
          <cell r="J8">
            <v>2918755.9152788152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</row>
        <row r="9">
          <cell r="F9">
            <v>1753980.418017891</v>
          </cell>
          <cell r="G9">
            <v>5303581.8966046982</v>
          </cell>
          <cell r="H9">
            <v>4660398.4969253661</v>
          </cell>
          <cell r="I9">
            <v>3847137.8029512572</v>
          </cell>
          <cell r="J9">
            <v>2385246.2411483801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</row>
        <row r="10">
          <cell r="F10">
            <v>0</v>
          </cell>
          <cell r="G10">
            <v>389402.83456980926</v>
          </cell>
          <cell r="H10">
            <v>316940.39414040744</v>
          </cell>
          <cell r="I10">
            <v>1201829.7270608752</v>
          </cell>
          <cell r="J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</row>
        <row r="11">
          <cell r="F11">
            <v>1162646.7488072559</v>
          </cell>
          <cell r="G11">
            <v>177403.03511054427</v>
          </cell>
          <cell r="H11">
            <v>666955.42821957602</v>
          </cell>
          <cell r="I11">
            <v>476386.47870230355</v>
          </cell>
          <cell r="J11">
            <v>291875.59152788157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EG11">
            <v>49810.666666666664</v>
          </cell>
          <cell r="EH11">
            <v>57880</v>
          </cell>
          <cell r="EI11">
            <v>64431</v>
          </cell>
          <cell r="EJ11">
            <v>70836</v>
          </cell>
          <cell r="EK11">
            <v>0</v>
          </cell>
        </row>
        <row r="12">
          <cell r="F12">
            <v>17501299.05403984</v>
          </cell>
          <cell r="G12">
            <v>5806407.8310400639</v>
          </cell>
          <cell r="H12">
            <v>3947220.3806105787</v>
          </cell>
          <cell r="I12">
            <v>3510294.2528074421</v>
          </cell>
          <cell r="J12">
            <v>-19847778.753789131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EG12">
            <v>22024.666666666664</v>
          </cell>
          <cell r="EH12">
            <v>30094</v>
          </cell>
          <cell r="EI12">
            <v>36645</v>
          </cell>
          <cell r="EJ12">
            <v>43050</v>
          </cell>
          <cell r="EK12">
            <v>0</v>
          </cell>
        </row>
        <row r="13">
          <cell r="F13">
            <v>8130989.9036227576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EG13">
            <v>24326</v>
          </cell>
          <cell r="EH13">
            <v>24326</v>
          </cell>
          <cell r="EI13">
            <v>24326</v>
          </cell>
          <cell r="EJ13">
            <v>24326</v>
          </cell>
          <cell r="EK13">
            <v>0</v>
          </cell>
        </row>
        <row r="14">
          <cell r="F14">
            <v>0</v>
          </cell>
          <cell r="G14">
            <v>6329631.8159536337</v>
          </cell>
          <cell r="H14">
            <v>4710854.080161457</v>
          </cell>
          <cell r="I14">
            <v>3022794.6560677062</v>
          </cell>
          <cell r="J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EG14">
            <v>3460</v>
          </cell>
          <cell r="EH14">
            <v>3460</v>
          </cell>
          <cell r="EI14">
            <v>3460</v>
          </cell>
          <cell r="EJ14">
            <v>3460</v>
          </cell>
          <cell r="EK14">
            <v>0</v>
          </cell>
        </row>
        <row r="15">
          <cell r="F15">
            <v>773489.96551164158</v>
          </cell>
          <cell r="G15">
            <v>3261629.9929493605</v>
          </cell>
          <cell r="H15">
            <v>2760155.0577999442</v>
          </cell>
          <cell r="I15">
            <v>2609459.2625158923</v>
          </cell>
          <cell r="J15">
            <v>2222247.1075081923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</row>
        <row r="16">
          <cell r="F16">
            <v>396775.53679610451</v>
          </cell>
          <cell r="G16">
            <v>1706893.3141799306</v>
          </cell>
          <cell r="H16">
            <v>1569507.4489318244</v>
          </cell>
          <cell r="I16">
            <v>1495906.0506946428</v>
          </cell>
          <cell r="J16">
            <v>1271620.6877278357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</row>
        <row r="17">
          <cell r="F17">
            <v>0</v>
          </cell>
          <cell r="G17">
            <v>58227.774031488858</v>
          </cell>
          <cell r="H17">
            <v>21543.575926302721</v>
          </cell>
          <cell r="I17">
            <v>172504.27875552679</v>
          </cell>
          <cell r="J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</row>
        <row r="18">
          <cell r="F18">
            <v>852068.1864426526</v>
          </cell>
          <cell r="G18">
            <v>125202.91559703415</v>
          </cell>
          <cell r="H18">
            <v>539969.38225848461</v>
          </cell>
          <cell r="I18">
            <v>469702.6672528605</v>
          </cell>
          <cell r="J18">
            <v>400004.47935147467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</row>
        <row r="19">
          <cell r="F19">
            <v>132266.7841024907</v>
          </cell>
          <cell r="G19">
            <v>570885.03493202932</v>
          </cell>
          <cell r="H19">
            <v>515475.81593578425</v>
          </cell>
          <cell r="I19">
            <v>425635.59769500466</v>
          </cell>
          <cell r="J19">
            <v>310615.32731112081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</row>
        <row r="20">
          <cell r="F20">
            <v>1083650.9264593781</v>
          </cell>
          <cell r="G20">
            <v>581868.47420972947</v>
          </cell>
          <cell r="H20">
            <v>570971.0184953633</v>
          </cell>
          <cell r="I20">
            <v>558753.90686304157</v>
          </cell>
          <cell r="J20">
            <v>-1811071.1380504612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</row>
        <row r="21">
          <cell r="F21">
            <v>460329.5899427798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</row>
        <row r="22">
          <cell r="F22">
            <v>0</v>
          </cell>
          <cell r="G22">
            <v>216867.008104821</v>
          </cell>
          <cell r="H22">
            <v>95765.418741775517</v>
          </cell>
          <cell r="I22">
            <v>40237.349088569179</v>
          </cell>
          <cell r="J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</row>
        <row r="23">
          <cell r="F23">
            <v>120950.00573835081</v>
          </cell>
          <cell r="G23">
            <v>415070.31527311954</v>
          </cell>
          <cell r="H23">
            <v>194174.31451964632</v>
          </cell>
          <cell r="I23">
            <v>71274.444037648951</v>
          </cell>
          <cell r="J23">
            <v>32213.85747898597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</row>
        <row r="24">
          <cell r="F24">
            <v>61710.883178833479</v>
          </cell>
          <cell r="G24">
            <v>209790.57160378798</v>
          </cell>
          <cell r="H24">
            <v>94359.922289198876</v>
          </cell>
          <cell r="I24">
            <v>41245.202535119497</v>
          </cell>
          <cell r="J24">
            <v>19862.481136142411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</row>
        <row r="25">
          <cell r="F25">
            <v>0</v>
          </cell>
          <cell r="G25">
            <v>30841.227051232803</v>
          </cell>
          <cell r="H25">
            <v>25413.466121379173</v>
          </cell>
          <cell r="I25">
            <v>13697.188655326603</v>
          </cell>
          <cell r="J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</row>
        <row r="26">
          <cell r="F26">
            <v>23887.375710611541</v>
          </cell>
          <cell r="G26">
            <v>11494.488012127096</v>
          </cell>
          <cell r="H26">
            <v>38424.630170096156</v>
          </cell>
          <cell r="I26">
            <v>12829.39992677681</v>
          </cell>
          <cell r="J26">
            <v>5798.4943462174733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</row>
        <row r="27">
          <cell r="F27">
            <v>21771.001032903147</v>
          </cell>
          <cell r="G27">
            <v>80000.121234739971</v>
          </cell>
          <cell r="H27">
            <v>52118.01790182753</v>
          </cell>
          <cell r="I27">
            <v>16647.296675689518</v>
          </cell>
          <cell r="J27">
            <v>6431.275097305087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</row>
        <row r="28">
          <cell r="F28">
            <v>-1450553.3862978222</v>
          </cell>
          <cell r="G28">
            <v>73234.927030367311</v>
          </cell>
          <cell r="H28">
            <v>418703.31188273232</v>
          </cell>
          <cell r="I28">
            <v>77229.492277406607</v>
          </cell>
          <cell r="J28">
            <v>198003.76526806896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</row>
        <row r="29">
          <cell r="F29">
            <v>-702323.16578523442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</row>
        <row r="30">
          <cell r="F30">
            <v>0</v>
          </cell>
          <cell r="G30">
            <v>-533501.25591779524</v>
          </cell>
          <cell r="H30">
            <v>-366379.75723399548</v>
          </cell>
          <cell r="I30">
            <v>-212899.11468280089</v>
          </cell>
          <cell r="J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EG30">
            <v>16822.953481286186</v>
          </cell>
          <cell r="EH30">
            <v>9874.1680725339756</v>
          </cell>
          <cell r="EI30">
            <v>8429.737319801774</v>
          </cell>
          <cell r="EJ30">
            <v>9404.6149810449879</v>
          </cell>
          <cell r="EK30">
            <v>-39010.625776735935</v>
          </cell>
        </row>
        <row r="31">
          <cell r="F31">
            <v>-100462.2740161375</v>
          </cell>
          <cell r="G31">
            <v>-361237.70148183085</v>
          </cell>
          <cell r="H31">
            <v>-359399.00158128806</v>
          </cell>
          <cell r="I31">
            <v>-324406.6448585472</v>
          </cell>
          <cell r="J31">
            <v>-176462.10139382764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EG31">
            <v>12765.595638607991</v>
          </cell>
          <cell r="EH31">
            <v>3737.761684604839</v>
          </cell>
          <cell r="EI31">
            <v>2775.2692748572681</v>
          </cell>
          <cell r="EJ31">
            <v>2505.1367552331058</v>
          </cell>
          <cell r="EK31">
            <v>-21342.869630258003</v>
          </cell>
        </row>
        <row r="32">
          <cell r="F32">
            <v>-46071.707177860888</v>
          </cell>
          <cell r="G32">
            <v>-165634.20789109485</v>
          </cell>
          <cell r="H32">
            <v>-164791.1297729291</v>
          </cell>
          <cell r="I32">
            <v>-149644.50785085771</v>
          </cell>
          <cell r="J32">
            <v>-85773.776559556936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EG32">
            <v>1489.7033893816597</v>
          </cell>
          <cell r="EH32">
            <v>831.24681113882195</v>
          </cell>
          <cell r="EI32">
            <v>815.68237574454031</v>
          </cell>
          <cell r="EJ32">
            <v>798.23047393388322</v>
          </cell>
          <cell r="EK32">
            <v>-2658.8549819221416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-2352.456910195398</v>
          </cell>
          <cell r="J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EG33">
            <v>-2149.4880826325852</v>
          </cell>
          <cell r="EH33">
            <v>161.89875654451035</v>
          </cell>
          <cell r="EI33">
            <v>606.4602227629033</v>
          </cell>
          <cell r="EJ33">
            <v>99.236093528495999</v>
          </cell>
          <cell r="EK33">
            <v>286.941075601075</v>
          </cell>
        </row>
        <row r="34">
          <cell r="F34">
            <v>-90606.018285260623</v>
          </cell>
          <cell r="G34">
            <v>-6647.4740009669194</v>
          </cell>
          <cell r="H34">
            <v>-35278.536322298605</v>
          </cell>
          <cell r="I34">
            <v>-33113.006067576105</v>
          </cell>
          <cell r="J34">
            <v>-32835.861653151835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EG34">
            <v>-2562.6347372991263</v>
          </cell>
          <cell r="EH34">
            <v>1400.7175303636036</v>
          </cell>
          <cell r="EI34">
            <v>585.0055034087527</v>
          </cell>
          <cell r="EJ34">
            <v>139.39284546208944</v>
          </cell>
          <cell r="EK34">
            <v>-141.83170885570092</v>
          </cell>
        </row>
        <row r="35">
          <cell r="F35">
            <v>-12658.246526033325</v>
          </cell>
          <cell r="G35">
            <v>-46712.495706884729</v>
          </cell>
          <cell r="H35">
            <v>-50563.001323211123</v>
          </cell>
          <cell r="I35">
            <v>-40091.955646115581</v>
          </cell>
          <cell r="J35">
            <v>-17447.133927767474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EG35">
            <v>-415.34509453851228</v>
          </cell>
          <cell r="EH35">
            <v>148.57695832097286</v>
          </cell>
          <cell r="EI35">
            <v>90.147588984476783</v>
          </cell>
          <cell r="EJ35">
            <v>36.472216886188065</v>
          </cell>
          <cell r="EK35">
            <v>-6.7187441903379774</v>
          </cell>
        </row>
        <row r="36">
          <cell r="F36">
            <v>-7820894.3262766805</v>
          </cell>
          <cell r="G36">
            <v>3929672.8944223737</v>
          </cell>
          <cell r="H36">
            <v>2024271.4483666392</v>
          </cell>
          <cell r="I36">
            <v>527236.57078758033</v>
          </cell>
          <cell r="J36">
            <v>-406895.80758407747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EG36">
            <v>16124.192036840603</v>
          </cell>
          <cell r="EH36">
            <v>10320.166224271979</v>
          </cell>
          <cell r="EI36">
            <v>8426.9787227647157</v>
          </cell>
          <cell r="EJ36">
            <v>9361.7256839543534</v>
          </cell>
          <cell r="EK36">
            <v>-27567.580887030821</v>
          </cell>
        </row>
        <row r="37">
          <cell r="F37">
            <v>-442980.15445273987</v>
          </cell>
          <cell r="G37">
            <v>-97081.063710766728</v>
          </cell>
          <cell r="H37">
            <v>56773.761980930642</v>
          </cell>
          <cell r="I37">
            <v>96181.53335482371</v>
          </cell>
          <cell r="J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EG37">
            <v>12184.569003128441</v>
          </cell>
          <cell r="EH37">
            <v>4147.4341650286169</v>
          </cell>
          <cell r="EI37">
            <v>2819.4431290075559</v>
          </cell>
          <cell r="EJ37">
            <v>2507.3530377196012</v>
          </cell>
          <cell r="EK37">
            <v>-14176.984824135088</v>
          </cell>
        </row>
        <row r="38">
          <cell r="F38">
            <v>-394841.96570895298</v>
          </cell>
          <cell r="G38">
            <v>-94151.481162394412</v>
          </cell>
          <cell r="H38">
            <v>44343.849339386004</v>
          </cell>
          <cell r="I38">
            <v>84764.276975540648</v>
          </cell>
          <cell r="J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EG38">
            <v>1489.6540830553529</v>
          </cell>
          <cell r="EH38">
            <v>831.24067744247088</v>
          </cell>
          <cell r="EI38">
            <v>815.67288356480481</v>
          </cell>
          <cell r="EJ38">
            <v>798.21986694720226</v>
          </cell>
          <cell r="EK38">
            <v>-2587.2444829292299</v>
          </cell>
        </row>
        <row r="39">
          <cell r="F39">
            <v>-38971.507940889394</v>
          </cell>
          <cell r="G39">
            <v>-113071.95148974378</v>
          </cell>
          <cell r="H39">
            <v>-34475.893756134254</v>
          </cell>
          <cell r="I39">
            <v>-8762.7430708341089</v>
          </cell>
          <cell r="J39">
            <v>9437.1845485888916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EG39">
            <v>-2095.2370487750286</v>
          </cell>
          <cell r="EH39">
            <v>104.62132432909613</v>
          </cell>
          <cell r="EI39">
            <v>598.14758840390334</v>
          </cell>
          <cell r="EJ39">
            <v>110.32784611058085</v>
          </cell>
          <cell r="EK39">
            <v>282.86252181152707</v>
          </cell>
        </row>
        <row r="40">
          <cell r="F40">
            <v>-31705.124801298538</v>
          </cell>
          <cell r="G40">
            <v>-94563.614390515359</v>
          </cell>
          <cell r="H40">
            <v>-32938.713046418743</v>
          </cell>
          <cell r="I40">
            <v>-13320.818697424946</v>
          </cell>
          <cell r="J40">
            <v>4593.9871112211149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EG40">
            <v>-2397.8911698137972</v>
          </cell>
          <cell r="EH40">
            <v>1190.8099680067799</v>
          </cell>
          <cell r="EI40">
            <v>613.41559041413313</v>
          </cell>
          <cell r="EJ40">
            <v>159.76865781441833</v>
          </cell>
          <cell r="EK40">
            <v>-123.30175987396285</v>
          </cell>
        </row>
        <row r="41">
          <cell r="F41">
            <v>-48138.188743786923</v>
          </cell>
          <cell r="G41">
            <v>-2929.5825483722874</v>
          </cell>
          <cell r="H41">
            <v>12429.912641544606</v>
          </cell>
          <cell r="I41">
            <v>11417.25637928303</v>
          </cell>
          <cell r="J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EG41">
            <v>-415.34559153352603</v>
          </cell>
          <cell r="EH41">
            <v>148.5913027665726</v>
          </cell>
          <cell r="EI41">
            <v>90.152719143760578</v>
          </cell>
          <cell r="EJ41">
            <v>36.511766082799795</v>
          </cell>
          <cell r="EK41">
            <v>-6.6575488926786086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EG42">
            <v>16124.192036840604</v>
          </cell>
          <cell r="EH42">
            <v>25770.367033972641</v>
          </cell>
          <cell r="EI42">
            <v>32898.481276980769</v>
          </cell>
          <cell r="EJ42">
            <v>37184.630665934434</v>
          </cell>
          <cell r="EK42">
            <v>3153.8680783134187</v>
          </cell>
        </row>
        <row r="43">
          <cell r="F43">
            <v>-8242604.3001781274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EG43">
            <v>12184.569003128441</v>
          </cell>
          <cell r="EH43">
            <v>16022.515115477596</v>
          </cell>
          <cell r="EI43">
            <v>18612.33081286151</v>
          </cell>
          <cell r="EJ43">
            <v>19963.985516853547</v>
          </cell>
          <cell r="EK43">
            <v>3013.9157618373429</v>
          </cell>
        </row>
        <row r="44">
          <cell r="F44">
            <v>0</v>
          </cell>
          <cell r="G44">
            <v>-6107535.699713924</v>
          </cell>
          <cell r="H44">
            <v>-4318436.9485065974</v>
          </cell>
          <cell r="I44">
            <v>-2484537.2137562102</v>
          </cell>
          <cell r="J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EG44">
            <v>1489.6540830553527</v>
          </cell>
          <cell r="EH44">
            <v>1853.5902746433596</v>
          </cell>
          <cell r="EI44">
            <v>1974.5667233004374</v>
          </cell>
          <cell r="EJ44">
            <v>2024.2097805644578</v>
          </cell>
          <cell r="EK44">
            <v>-1357.6977248565597</v>
          </cell>
        </row>
        <row r="45">
          <cell r="F45">
            <v>-7228087.5730727967</v>
          </cell>
          <cell r="G45">
            <v>-5373175.3881346341</v>
          </cell>
          <cell r="H45">
            <v>-3823497.0022090287</v>
          </cell>
          <cell r="I45">
            <v>-2207425.7390835308</v>
          </cell>
          <cell r="J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EG45">
            <v>-2095.2370487750286</v>
          </cell>
          <cell r="EH45">
            <v>-1990.6157244459323</v>
          </cell>
          <cell r="EI45">
            <v>-1392.4681360420288</v>
          </cell>
          <cell r="EJ45">
            <v>-599.93110685029865</v>
          </cell>
          <cell r="EK45">
            <v>-351.13328824032482</v>
          </cell>
        </row>
        <row r="46">
          <cell r="F46">
            <v>-564592.97996051901</v>
          </cell>
          <cell r="G46">
            <v>-1889029.7106083329</v>
          </cell>
          <cell r="H46">
            <v>-1741966.7801600164</v>
          </cell>
          <cell r="I46">
            <v>-1579183.8978681988</v>
          </cell>
          <cell r="J46">
            <v>-1225562.7540952396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EG46">
            <v>-2397.8911698137972</v>
          </cell>
          <cell r="EH46">
            <v>-1109.2472420786139</v>
          </cell>
          <cell r="EI46">
            <v>-467.68418092511672</v>
          </cell>
          <cell r="EJ46">
            <v>-37.981714688675432</v>
          </cell>
          <cell r="EK46">
            <v>242.80132733088627</v>
          </cell>
        </row>
        <row r="47">
          <cell r="F47">
            <v>-481346.62158308341</v>
          </cell>
          <cell r="G47">
            <v>-1613573.0346413713</v>
          </cell>
          <cell r="H47">
            <v>-1505866.0326457899</v>
          </cell>
          <cell r="I47">
            <v>-1363436.3896174743</v>
          </cell>
          <cell r="J47">
            <v>-1067794.1436712197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EG47">
            <v>-415.34559153352603</v>
          </cell>
          <cell r="EH47">
            <v>-249.80818863238559</v>
          </cell>
          <cell r="EI47">
            <v>-152.4269357124283</v>
          </cell>
          <cell r="EJ47">
            <v>-66.656819595217542</v>
          </cell>
          <cell r="EK47">
            <v>4.8435774259762185</v>
          </cell>
        </row>
        <row r="48">
          <cell r="F48">
            <v>-1014516.72710533</v>
          </cell>
          <cell r="G48">
            <v>-734360.31157929183</v>
          </cell>
          <cell r="H48">
            <v>-494939.9462975678</v>
          </cell>
          <cell r="I48">
            <v>-277111.47467267688</v>
          </cell>
          <cell r="J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EG48">
            <v>16088.233043632659</v>
          </cell>
          <cell r="EH48">
            <v>25464.296006196997</v>
          </cell>
          <cell r="EI48">
            <v>32235.264002998403</v>
          </cell>
          <cell r="EJ48">
            <v>36236.595514913402</v>
          </cell>
          <cell r="EK48">
            <v>1969.1919634127553</v>
          </cell>
        </row>
        <row r="49">
          <cell r="F49">
            <v>0</v>
          </cell>
          <cell r="G49">
            <v>-207110.09153363225</v>
          </cell>
          <cell r="H49">
            <v>-19009.027630688695</v>
          </cell>
          <cell r="I49">
            <v>-235959.66463017632</v>
          </cell>
          <cell r="J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EG49">
            <v>12176.034383470824</v>
          </cell>
          <cell r="EH49">
            <v>15950.163823078617</v>
          </cell>
          <cell r="EI49">
            <v>18460.17281865003</v>
          </cell>
          <cell r="EJ49">
            <v>19735.076941853546</v>
          </cell>
          <cell r="EK49">
            <v>2738.3251962737922</v>
          </cell>
        </row>
        <row r="50">
          <cell r="F50">
            <v>-319773.15500890167</v>
          </cell>
          <cell r="G50">
            <v>-20450.383832681015</v>
          </cell>
          <cell r="H50">
            <v>-119231.09632985889</v>
          </cell>
          <cell r="I50">
            <v>-94751.033872091939</v>
          </cell>
          <cell r="J50">
            <v>-73533.765245714356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EG50">
            <v>1487.6297473271713</v>
          </cell>
          <cell r="EH50">
            <v>1842.600364816099</v>
          </cell>
          <cell r="EI50">
            <v>1957.4418290600336</v>
          </cell>
          <cell r="EJ50">
            <v>2003.05997731764</v>
          </cell>
          <cell r="EK50">
            <v>-1380.5945520064449</v>
          </cell>
        </row>
        <row r="51">
          <cell r="F51">
            <v>-25406.684098223363</v>
          </cell>
          <cell r="G51">
            <v>-83545.595275040643</v>
          </cell>
          <cell r="H51">
            <v>-68325.382065729529</v>
          </cell>
          <cell r="I51">
            <v>-54190.966755892616</v>
          </cell>
          <cell r="J51">
            <v>-36080.588913426436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EG51">
            <v>-2094.1563873047407</v>
          </cell>
          <cell r="EH51">
            <v>-1978.7559174339433</v>
          </cell>
          <cell r="EI51">
            <v>-1371.0100436678517</v>
          </cell>
          <cell r="EJ51">
            <v>-582.35490275865936</v>
          </cell>
          <cell r="EK51">
            <v>-330.34059698798796</v>
          </cell>
        </row>
        <row r="52">
          <cell r="F52">
            <v>-704767.45252013346</v>
          </cell>
          <cell r="G52">
            <v>252605.21470317341</v>
          </cell>
          <cell r="H52">
            <v>153259.62254439297</v>
          </cell>
          <cell r="I52">
            <v>62070.002340759653</v>
          </cell>
          <cell r="J52">
            <v>-11317.833117553633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EG52">
            <v>-2396.8445936548524</v>
          </cell>
          <cell r="EH52">
            <v>-1096.3468414721915</v>
          </cell>
          <cell r="EI52">
            <v>-450.21658801706872</v>
          </cell>
          <cell r="EJ52">
            <v>-23.211862002055163</v>
          </cell>
          <cell r="EK52">
            <v>247.84790970301245</v>
          </cell>
        </row>
        <row r="53">
          <cell r="F53">
            <v>-679399.37747488753</v>
          </cell>
          <cell r="G53">
            <v>-285789.67971880094</v>
          </cell>
          <cell r="H53">
            <v>-56051.69521525559</v>
          </cell>
          <cell r="I53">
            <v>82313.864048644391</v>
          </cell>
          <cell r="J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EG53">
            <v>-415.07615393296311</v>
          </cell>
          <cell r="EH53">
            <v>-246.95442880072849</v>
          </cell>
          <cell r="EI53">
            <v>-148.10699189318694</v>
          </cell>
          <cell r="EJ53">
            <v>-62.493023384824518</v>
          </cell>
          <cell r="EK53">
            <v>7.0239227988277237</v>
          </cell>
        </row>
        <row r="54">
          <cell r="F54">
            <v>-18985.433787070324</v>
          </cell>
          <cell r="G54">
            <v>-49919.305600657623</v>
          </cell>
          <cell r="H54">
            <v>-19633.79741782101</v>
          </cell>
          <cell r="I54">
            <v>-937.12223760469737</v>
          </cell>
          <cell r="J54">
            <v>8995.8693429455452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EG54">
            <v>5249.550660623594</v>
          </cell>
          <cell r="EH54">
            <v>4388.9000245960515</v>
          </cell>
          <cell r="EI54">
            <v>4166.419431222721</v>
          </cell>
          <cell r="EJ54">
            <v>6534.3814877892519</v>
          </cell>
          <cell r="EK54">
            <v>9209.8070909543349</v>
          </cell>
        </row>
        <row r="55">
          <cell r="F55">
            <v>0</v>
          </cell>
          <cell r="G55">
            <v>0</v>
          </cell>
          <cell r="H55">
            <v>-891.79110196706438</v>
          </cell>
          <cell r="I55">
            <v>-27550.160118531971</v>
          </cell>
          <cell r="J55">
            <v>1630.5698063232392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EG55">
            <v>11578.511014003305</v>
          </cell>
          <cell r="EH55">
            <v>8219.5518359830457</v>
          </cell>
          <cell r="EI55">
            <v>5748.0867461297248</v>
          </cell>
          <cell r="EJ55">
            <v>4473.0522938098229</v>
          </cell>
          <cell r="EK55">
            <v>4308.7803490169226</v>
          </cell>
        </row>
        <row r="56">
          <cell r="F56">
            <v>-17635.129083475607</v>
          </cell>
          <cell r="G56">
            <v>5696.5261754989979</v>
          </cell>
          <cell r="H56">
            <v>605.67443720906249</v>
          </cell>
          <cell r="I56">
            <v>-232.41389832680221</v>
          </cell>
          <cell r="J56">
            <v>-891.57076050924661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EG56">
            <v>1975.0393789659586</v>
          </cell>
          <cell r="EH56">
            <v>1621.1874590088935</v>
          </cell>
          <cell r="EI56">
            <v>1505.7340749246841</v>
          </cell>
          <cell r="EJ56">
            <v>1460.0099114241671</v>
          </cell>
          <cell r="EK56">
            <v>1455.2567042152077</v>
          </cell>
        </row>
        <row r="57">
          <cell r="F57">
            <v>-2996.5563364685881</v>
          </cell>
          <cell r="G57">
            <v>-8254.1079002703464</v>
          </cell>
          <cell r="H57">
            <v>-3255.4824076849773</v>
          </cell>
          <cell r="I57">
            <v>-918.11581485965462</v>
          </cell>
          <cell r="J57">
            <v>425.82276683685154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EG57">
            <v>2150.2354182661461</v>
          </cell>
          <cell r="EH57">
            <v>1985.9890457168024</v>
          </cell>
          <cell r="EI57">
            <v>1362.0272966943787</v>
          </cell>
          <cell r="EJ57">
            <v>587.29904646407363</v>
          </cell>
          <cell r="EK57">
            <v>325.23875509704618</v>
          </cell>
        </row>
        <row r="58">
          <cell r="F58">
            <v>164708.14200534218</v>
          </cell>
          <cell r="G58">
            <v>748455.92357114924</v>
          </cell>
          <cell r="H58">
            <v>879940.13520352542</v>
          </cell>
          <cell r="I58">
            <v>939391.08959953114</v>
          </cell>
          <cell r="J58">
            <v>978599.48069558793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EG58">
            <v>2563.8622157556651</v>
          </cell>
          <cell r="EH58">
            <v>1052.9469578071139</v>
          </cell>
          <cell r="EI58">
            <v>434.14416540571449</v>
          </cell>
          <cell r="EJ58">
            <v>27.060846332216283</v>
          </cell>
          <cell r="EK58">
            <v>-225.75713148914957</v>
          </cell>
        </row>
        <row r="59">
          <cell r="F59">
            <v>5388236.5482701166</v>
          </cell>
          <cell r="G59">
            <v>22175504.744280558</v>
          </cell>
          <cell r="H59">
            <v>22533790.591115911</v>
          </cell>
          <cell r="I59">
            <v>20078725.170006331</v>
          </cell>
          <cell r="J59">
            <v>13122257.062400833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EG59">
            <v>415.55841197241079</v>
          </cell>
          <cell r="EH59">
            <v>247.431387745325</v>
          </cell>
          <cell r="EI59">
            <v>148.39702113171253</v>
          </cell>
          <cell r="EJ59">
            <v>62.701754390721938</v>
          </cell>
          <cell r="EK59">
            <v>-6.8449965446412495</v>
          </cell>
        </row>
        <row r="60">
          <cell r="F60">
            <v>69162.881641874337</v>
          </cell>
          <cell r="G60">
            <v>390028.75537561777</v>
          </cell>
          <cell r="H60">
            <v>1537076.2215733838</v>
          </cell>
          <cell r="I60">
            <v>1819338.2323042396</v>
          </cell>
          <cell r="J60">
            <v>1269703.0938283526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EG60">
            <v>5237.6721785884229</v>
          </cell>
          <cell r="EH60">
            <v>4376.9407010954174</v>
          </cell>
          <cell r="EI60">
            <v>4154.2141072569648</v>
          </cell>
          <cell r="EJ60">
            <v>6514.9932982513192</v>
          </cell>
          <cell r="EK60">
            <v>9175.4417394570792</v>
          </cell>
        </row>
        <row r="61">
          <cell r="F61">
            <v>-2498.4991691517475</v>
          </cell>
          <cell r="G61">
            <v>-11086.588894820865</v>
          </cell>
          <cell r="H61">
            <v>-5966.6072432018982</v>
          </cell>
          <cell r="I61">
            <v>-1034.081846220402</v>
          </cell>
          <cell r="J61">
            <v>549.52362558497623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EG61">
            <v>11568.938981049627</v>
          </cell>
          <cell r="EH61">
            <v>8204.4820218656041</v>
          </cell>
          <cell r="EI61">
            <v>5738.6468804444712</v>
          </cell>
          <cell r="EJ61">
            <v>4465.9590397274478</v>
          </cell>
          <cell r="EK61">
            <v>4302.5955914301067</v>
          </cell>
        </row>
        <row r="62">
          <cell r="F62">
            <v>-477.39050623221408</v>
          </cell>
          <cell r="G62">
            <v>-1851.4968082711214</v>
          </cell>
          <cell r="H62">
            <v>-302.04139508800915</v>
          </cell>
          <cell r="I62">
            <v>324.24006268466388</v>
          </cell>
          <cell r="J62">
            <v>446.54205691089851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EG62">
            <v>1972.3209463465221</v>
          </cell>
          <cell r="EH62">
            <v>1617.3441951612449</v>
          </cell>
          <cell r="EI62">
            <v>1502.4932387375766</v>
          </cell>
          <cell r="EJ62">
            <v>1456.8644834932907</v>
          </cell>
          <cell r="EK62">
            <v>1452.1295118102885</v>
          </cell>
        </row>
        <row r="63">
          <cell r="F63">
            <v>-8109.2494757206814</v>
          </cell>
          <cell r="G63">
            <v>-35424.796125024128</v>
          </cell>
          <cell r="H63">
            <v>-24377.326730460703</v>
          </cell>
          <cell r="I63">
            <v>-15895.013051847909</v>
          </cell>
          <cell r="J63">
            <v>-8131.9967997637996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EG63">
            <v>2148.4074211622974</v>
          </cell>
          <cell r="EH63">
            <v>1975.7295190760858</v>
          </cell>
          <cell r="EI63">
            <v>1359.6710109509941</v>
          </cell>
          <cell r="EJ63">
            <v>582.10762262388732</v>
          </cell>
          <cell r="EK63">
            <v>326.01476306366766</v>
          </cell>
        </row>
        <row r="64">
          <cell r="F64">
            <v>-1092.3941089736361</v>
          </cell>
          <cell r="G64">
            <v>-4098.3629145798759</v>
          </cell>
          <cell r="H64">
            <v>-1591.4400408853235</v>
          </cell>
          <cell r="I64">
            <v>-96.770803569550253</v>
          </cell>
          <cell r="J64">
            <v>709.16343758907772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EG64">
            <v>2561.5881611401815</v>
          </cell>
          <cell r="EH64">
            <v>1051.1828466006959</v>
          </cell>
          <cell r="EI64">
            <v>433.46268015095387</v>
          </cell>
          <cell r="EJ64">
            <v>26.833766488268946</v>
          </cell>
          <cell r="EK64">
            <v>-225.69605623506058</v>
          </cell>
        </row>
        <row r="65">
          <cell r="F65">
            <v>72691.945765932629</v>
          </cell>
          <cell r="G65">
            <v>272371.45467804861</v>
          </cell>
          <cell r="H65">
            <v>196249.80607899622</v>
          </cell>
          <cell r="I65">
            <v>127073.77391641297</v>
          </cell>
          <cell r="J65">
            <v>68847.450119351182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EG65">
            <v>415.0756569379493</v>
          </cell>
          <cell r="EH65">
            <v>246.96827625131436</v>
          </cell>
          <cell r="EI65">
            <v>148.12596950305655</v>
          </cell>
          <cell r="EJ65">
            <v>62.5515501913059</v>
          </cell>
          <cell r="EK65">
            <v>-6.904200694686951</v>
          </cell>
        </row>
        <row r="66">
          <cell r="F66">
            <v>5922.6104821002191</v>
          </cell>
          <cell r="G66">
            <v>36236.999457705322</v>
          </cell>
          <cell r="H66">
            <v>27726.710934050036</v>
          </cell>
          <cell r="I66">
            <v>19649.094643581218</v>
          </cell>
          <cell r="J66">
            <v>11661.290272805636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EG66">
            <v>56.105760811617891</v>
          </cell>
          <cell r="EH66">
            <v>348.11257932772531</v>
          </cell>
          <cell r="EI66">
            <v>446.09729342121301</v>
          </cell>
          <cell r="EJ66">
            <v>534.48524335111711</v>
          </cell>
          <cell r="EK66">
            <v>619.06011304298158</v>
          </cell>
        </row>
        <row r="67">
          <cell r="F67">
            <v>684.86577701302554</v>
          </cell>
          <cell r="G67">
            <v>2830.7831829379802</v>
          </cell>
          <cell r="H67">
            <v>1328.2009524674329</v>
          </cell>
          <cell r="I67">
            <v>585.67846276022283</v>
          </cell>
          <cell r="J67">
            <v>233.6267241685097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EG67">
            <v>27.960553679661416</v>
          </cell>
          <cell r="EH67">
            <v>119.86103573081169</v>
          </cell>
          <cell r="EI67">
            <v>120.18052903545916</v>
          </cell>
          <cell r="EJ67">
            <v>120.24886035518558</v>
          </cell>
          <cell r="EK67">
            <v>120.18489936387041</v>
          </cell>
        </row>
        <row r="68">
          <cell r="F68">
            <v>-674.42085867756816</v>
          </cell>
          <cell r="G68">
            <v>-3187.7019763442113</v>
          </cell>
          <cell r="H68">
            <v>-2330.3689108707304</v>
          </cell>
          <cell r="I68">
            <v>-1483.6777901414962</v>
          </cell>
          <cell r="J68">
            <v>-883.18464214621054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EG68">
            <v>7.0104700710202446</v>
          </cell>
          <cell r="EH68">
            <v>28.57193975550917</v>
          </cell>
          <cell r="EI68">
            <v>28.572163869906817</v>
          </cell>
          <cell r="EJ68">
            <v>28.572413337181072</v>
          </cell>
          <cell r="EK68">
            <v>28.572372418697263</v>
          </cell>
        </row>
        <row r="69">
          <cell r="F69">
            <v>-459.02933291559043</v>
          </cell>
          <cell r="G69">
            <v>-1783.8796460796898</v>
          </cell>
          <cell r="H69">
            <v>-294.50214029642081</v>
          </cell>
          <cell r="I69">
            <v>316.69274222486109</v>
          </cell>
          <cell r="J69">
            <v>438.03025258255582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EG69">
            <v>1.8765591117545732</v>
          </cell>
          <cell r="EH69">
            <v>1.8627763081236703E-2</v>
          </cell>
          <cell r="EI69">
            <v>-5.7445902877958033E-2</v>
          </cell>
          <cell r="EJ69">
            <v>-1.5145529712464023E-2</v>
          </cell>
          <cell r="EK69">
            <v>-2.6964686795094145E-2</v>
          </cell>
        </row>
        <row r="70">
          <cell r="F70">
            <v>-7759.3538222780535</v>
          </cell>
          <cell r="G70">
            <v>-34229.058763160261</v>
          </cell>
          <cell r="H70">
            <v>-24803.325649125807</v>
          </cell>
          <cell r="I70">
            <v>-16675.208877846635</v>
          </cell>
          <cell r="J70">
            <v>-8837.3125167725466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EG70">
            <v>3.1304392394614835</v>
          </cell>
          <cell r="EH70">
            <v>-7.3751621450316329E-2</v>
          </cell>
          <cell r="EI70">
            <v>-9.5983048888149153E-2</v>
          </cell>
          <cell r="EJ70">
            <v>-3.0630696320665941E-2</v>
          </cell>
          <cell r="EK70">
            <v>8.804245256641894E-3</v>
          </cell>
        </row>
        <row r="71">
          <cell r="F71">
            <v>-1050.3789509361886</v>
          </cell>
          <cell r="G71">
            <v>-3950.0228294249678</v>
          </cell>
          <cell r="H71">
            <v>-1551.7161085075304</v>
          </cell>
          <cell r="I71">
            <v>-93.823523958985817</v>
          </cell>
          <cell r="J71">
            <v>695.79070605319589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EG71">
            <v>0.61596414654721543</v>
          </cell>
          <cell r="EH71">
            <v>-4.2987441975135265E-3</v>
          </cell>
          <cell r="EI71">
            <v>-2.6061441133537616E-3</v>
          </cell>
          <cell r="EJ71">
            <v>-1.0761755269061701E-3</v>
          </cell>
          <cell r="EK71">
            <v>1.5845937021315842E-4</v>
          </cell>
        </row>
        <row r="72">
          <cell r="F72">
            <v>38363.268061135081</v>
          </cell>
          <cell r="G72">
            <v>32104.580824374883</v>
          </cell>
          <cell r="H72">
            <v>34392.541123755254</v>
          </cell>
          <cell r="I72">
            <v>56465.65228768516</v>
          </cell>
          <cell r="J72">
            <v>78828.791904420563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EG72">
            <v>7295.7317144314975</v>
          </cell>
          <cell r="EH72">
            <v>5693.9101703769438</v>
          </cell>
          <cell r="EI72">
            <v>5476.6047240997159</v>
          </cell>
          <cell r="EJ72">
            <v>8882.6406457190387</v>
          </cell>
          <cell r="EK72">
            <v>12444.655135933492</v>
          </cell>
        </row>
        <row r="73">
          <cell r="F73">
            <v>217542.35296706425</v>
          </cell>
          <cell r="G73">
            <v>66487.67862191936</v>
          </cell>
          <cell r="H73">
            <v>50804.634399392133</v>
          </cell>
          <cell r="I73">
            <v>47157.445821534551</v>
          </cell>
          <cell r="J73">
            <v>58216.087478551999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EG73">
            <v>23824.146098931633</v>
          </cell>
          <cell r="EH73">
            <v>10160.884090029396</v>
          </cell>
          <cell r="EI73">
            <v>7455.7514896722369</v>
          </cell>
          <cell r="EJ73">
            <v>6162.8042233782016</v>
          </cell>
          <cell r="EK73">
            <v>6624.6835350282063</v>
          </cell>
        </row>
        <row r="74">
          <cell r="F74">
            <v>23900.524267763336</v>
          </cell>
          <cell r="G74">
            <v>14786.301401218483</v>
          </cell>
          <cell r="H74">
            <v>14932.044706854702</v>
          </cell>
          <cell r="I74">
            <v>15026.129910473599</v>
          </cell>
          <cell r="J74">
            <v>15634.425142291208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EG74">
            <v>3291.7322982765977</v>
          </cell>
          <cell r="EH74">
            <v>2227.148408247197</v>
          </cell>
          <cell r="EI74">
            <v>2150.9667225276748</v>
          </cell>
          <cell r="EJ74">
            <v>2093.8278635598263</v>
          </cell>
          <cell r="EK74">
            <v>2095.9420374992415</v>
          </cell>
        </row>
        <row r="75">
          <cell r="F75">
            <v>9169.3442983340319</v>
          </cell>
          <cell r="G75">
            <v>2879.8712712894044</v>
          </cell>
          <cell r="H75">
            <v>11101.98212994226</v>
          </cell>
          <cell r="I75">
            <v>1868.0499954084669</v>
          </cell>
          <cell r="J75">
            <v>5599.6837844625379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EG75">
            <v>2654.8707765218064</v>
          </cell>
          <cell r="EH75">
            <v>462.51465366122613</v>
          </cell>
          <cell r="EI75">
            <v>1732.907624759375</v>
          </cell>
          <cell r="EJ75">
            <v>-196.31416206387681</v>
          </cell>
          <cell r="EK75">
            <v>843.87095678440676</v>
          </cell>
        </row>
        <row r="76">
          <cell r="F76">
            <v>879.48708994041056</v>
          </cell>
          <cell r="G76">
            <v>721.36952813725588</v>
          </cell>
          <cell r="H76">
            <v>310.05291680663902</v>
          </cell>
          <cell r="I76">
            <v>75.969100776838786</v>
          </cell>
          <cell r="J76">
            <v>-80.134915503471063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EG76">
            <v>4288.0970392170775</v>
          </cell>
          <cell r="EH76">
            <v>2302.2139828410086</v>
          </cell>
          <cell r="EI76">
            <v>965.97157024276851</v>
          </cell>
          <cell r="EJ76">
            <v>143.9749005389254</v>
          </cell>
          <cell r="EK76">
            <v>-367.86663377099569</v>
          </cell>
        </row>
        <row r="77">
          <cell r="F77">
            <v>139.22559149203073</v>
          </cell>
          <cell r="G77">
            <v>74.288479160486432</v>
          </cell>
          <cell r="H77">
            <v>45.073794492238392</v>
          </cell>
          <cell r="I77">
            <v>18.236108443094036</v>
          </cell>
          <cell r="J77">
            <v>-3.3593720951689887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EG77">
            <v>692.59735328735132</v>
          </cell>
          <cell r="EH77">
            <v>371.45314266292593</v>
          </cell>
          <cell r="EI77">
            <v>225.37548782147533</v>
          </cell>
          <cell r="EJ77">
            <v>91.183232654287409</v>
          </cell>
          <cell r="EK77">
            <v>-16.797256624270481</v>
          </cell>
        </row>
        <row r="78">
          <cell r="F78">
            <v>0</v>
          </cell>
          <cell r="G78">
            <v>490272.33683390915</v>
          </cell>
          <cell r="H78">
            <v>987704.9866843035</v>
          </cell>
          <cell r="I78">
            <v>2562461.0295094331</v>
          </cell>
          <cell r="J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EG78">
            <v>2046.1810538079035</v>
          </cell>
          <cell r="EH78">
            <v>1456.7221598729138</v>
          </cell>
          <cell r="EI78">
            <v>1432.6400263805619</v>
          </cell>
          <cell r="EJ78">
            <v>2465.1297376938701</v>
          </cell>
          <cell r="EK78">
            <v>3420.3141102210839</v>
          </cell>
        </row>
        <row r="79">
          <cell r="F79">
            <v>8074.0998796355816</v>
          </cell>
          <cell r="G79">
            <v>155193.18409941869</v>
          </cell>
          <cell r="H79">
            <v>962434.15361934027</v>
          </cell>
          <cell r="I79">
            <v>2002002.3951302697</v>
          </cell>
          <cell r="J79">
            <v>4399222.7238339577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EG79">
            <v>12245.635084928328</v>
          </cell>
          <cell r="EH79">
            <v>3617.9006488740283</v>
          </cell>
          <cell r="EI79">
            <v>2655.0887458218094</v>
          </cell>
          <cell r="EJ79">
            <v>2384.8878948779202</v>
          </cell>
          <cell r="EK79">
            <v>2862.9454703781248</v>
          </cell>
        </row>
        <row r="80">
          <cell r="F80">
            <v>1616.3752467677921</v>
          </cell>
          <cell r="G80">
            <v>53736.591041278138</v>
          </cell>
          <cell r="H80">
            <v>333462.76310580311</v>
          </cell>
          <cell r="I80">
            <v>694528.46241968789</v>
          </cell>
          <cell r="J80">
            <v>1525991.0998397593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EG80">
            <v>1316.6929193106391</v>
          </cell>
          <cell r="EH80">
            <v>802.67487138331308</v>
          </cell>
          <cell r="EI80">
            <v>787.11021187463348</v>
          </cell>
          <cell r="EJ80">
            <v>769.65806059670217</v>
          </cell>
          <cell r="EK80">
            <v>772.57264565916091</v>
          </cell>
        </row>
        <row r="81">
          <cell r="F81">
            <v>1937.7839711125393</v>
          </cell>
          <cell r="G81">
            <v>37246.364183860482</v>
          </cell>
          <cell r="H81">
            <v>231016.87037236348</v>
          </cell>
          <cell r="I81">
            <v>480682.51243759424</v>
          </cell>
          <cell r="J81">
            <v>1056230.6926096722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EG81">
            <v>504.63535825566032</v>
          </cell>
          <cell r="EH81">
            <v>161.88012878142911</v>
          </cell>
          <cell r="EI81">
            <v>606.51766866578123</v>
          </cell>
          <cell r="EJ81">
            <v>99.251239058208455</v>
          </cell>
          <cell r="EK81">
            <v>286.96804028787011</v>
          </cell>
        </row>
        <row r="82">
          <cell r="F82">
            <v>42.425000643962697</v>
          </cell>
          <cell r="G82">
            <v>1155.040522545524</v>
          </cell>
          <cell r="H82">
            <v>8621.218992422253</v>
          </cell>
          <cell r="I82">
            <v>17598.164038206429</v>
          </cell>
          <cell r="J82">
            <v>39951.43220106497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EG82">
            <v>1724.2348234614124</v>
          </cell>
          <cell r="EH82">
            <v>1400.791281985054</v>
          </cell>
          <cell r="EI82">
            <v>585.10148645764082</v>
          </cell>
          <cell r="EJ82">
            <v>139.42347615841018</v>
          </cell>
          <cell r="EK82">
            <v>-141.84051310095765</v>
          </cell>
        </row>
        <row r="83">
          <cell r="F83">
            <v>44.12200066972121</v>
          </cell>
          <cell r="G83">
            <v>1184.6095599226896</v>
          </cell>
          <cell r="H83">
            <v>8841.9221986282628</v>
          </cell>
          <cell r="I83">
            <v>18012.285885670761</v>
          </cell>
          <cell r="J83">
            <v>40721.064260930696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EG83">
            <v>277.03894131494053</v>
          </cell>
          <cell r="EH83">
            <v>148.5812570651704</v>
          </cell>
          <cell r="EI83">
            <v>90.150195128590141</v>
          </cell>
          <cell r="EJ83">
            <v>36.473293061714976</v>
          </cell>
          <cell r="EK83">
            <v>-6.7189026497081965</v>
          </cell>
        </row>
        <row r="84">
          <cell r="F84">
            <v>64123.766029936465</v>
          </cell>
          <cell r="G84">
            <v>100896.44443117012</v>
          </cell>
          <cell r="H84">
            <v>119936.58919920377</v>
          </cell>
          <cell r="I84">
            <v>264960.73389609734</v>
          </cell>
          <cell r="J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EG84">
            <v>0.40264671264873075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</row>
        <row r="85">
          <cell r="F85">
            <v>62784.934574089813</v>
          </cell>
          <cell r="G85">
            <v>239267.96690331603</v>
          </cell>
          <cell r="H85">
            <v>402779.60355720454</v>
          </cell>
          <cell r="I85">
            <v>541945.83819451719</v>
          </cell>
          <cell r="J85">
            <v>957252.6662424095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</row>
        <row r="86">
          <cell r="F86">
            <v>7576.5100365821563</v>
          </cell>
          <cell r="G86">
            <v>32109.635256107013</v>
          </cell>
          <cell r="H86">
            <v>55342.635982545326</v>
          </cell>
          <cell r="I86">
            <v>75030.525463056241</v>
          </cell>
          <cell r="J86">
            <v>131158.19371280927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EG86">
            <v>36306.493288479134</v>
          </cell>
          <cell r="EH86">
            <v>32104.580824374883</v>
          </cell>
          <cell r="EI86">
            <v>34392.541123755254</v>
          </cell>
          <cell r="EJ86">
            <v>56465.65228768516</v>
          </cell>
          <cell r="EK86">
            <v>78828.791904420563</v>
          </cell>
        </row>
        <row r="87">
          <cell r="F87">
            <v>19777.254390838294</v>
          </cell>
          <cell r="G87">
            <v>75134.803745278899</v>
          </cell>
          <cell r="H87">
            <v>125687.32934504132</v>
          </cell>
          <cell r="I87">
            <v>168765.89206263053</v>
          </cell>
          <cell r="J87">
            <v>298938.17445160804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EG87">
            <v>211964.99667875996</v>
          </cell>
          <cell r="EH87">
            <v>66487.67862191936</v>
          </cell>
          <cell r="EI87">
            <v>50804.634399392133</v>
          </cell>
          <cell r="EJ87">
            <v>47157.445821534551</v>
          </cell>
          <cell r="EK87">
            <v>58216.087478551999</v>
          </cell>
        </row>
        <row r="88">
          <cell r="F88">
            <v>11929.137569077066</v>
          </cell>
          <cell r="G88">
            <v>45492.194488865454</v>
          </cell>
          <cell r="H88">
            <v>76686.557445932602</v>
          </cell>
          <cell r="I88">
            <v>103229.31551944395</v>
          </cell>
          <cell r="J88">
            <v>182224.19530802456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EG88">
            <v>22860.357534621256</v>
          </cell>
          <cell r="EH88">
            <v>14786.301401218483</v>
          </cell>
          <cell r="EI88">
            <v>14932.044706854702</v>
          </cell>
          <cell r="EJ88">
            <v>15026.129910473599</v>
          </cell>
          <cell r="EK88">
            <v>15634.425142291208</v>
          </cell>
        </row>
        <row r="89">
          <cell r="F89">
            <v>60.448653596303188</v>
          </cell>
          <cell r="G89">
            <v>308.89463168276961</v>
          </cell>
          <cell r="H89">
            <v>535.56662573903009</v>
          </cell>
          <cell r="I89">
            <v>693.81754870947543</v>
          </cell>
          <cell r="J89">
            <v>1297.2231165261153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EG89">
            <v>8747.4608129352546</v>
          </cell>
          <cell r="EH89">
            <v>2879.8712712894044</v>
          </cell>
          <cell r="EI89">
            <v>11101.98212994226</v>
          </cell>
          <cell r="EJ89">
            <v>1868.0499954084669</v>
          </cell>
          <cell r="EK89">
            <v>5599.6837844625379</v>
          </cell>
        </row>
        <row r="90">
          <cell r="F90">
            <v>72.538384315563832</v>
          </cell>
          <cell r="G90">
            <v>370.67355801932359</v>
          </cell>
          <cell r="H90">
            <v>642.67995088683608</v>
          </cell>
          <cell r="I90">
            <v>832.58105845137061</v>
          </cell>
          <cell r="J90">
            <v>1556.6677398313388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EG90">
            <v>863.68263135043685</v>
          </cell>
          <cell r="EH90">
            <v>721.36952813725588</v>
          </cell>
          <cell r="EI90">
            <v>310.05291680663902</v>
          </cell>
          <cell r="EJ90">
            <v>75.969100776838786</v>
          </cell>
          <cell r="EK90">
            <v>-80.134915503471063</v>
          </cell>
        </row>
        <row r="91">
          <cell r="F91">
            <v>0</v>
          </cell>
          <cell r="G91">
            <v>78806.455298934568</v>
          </cell>
          <cell r="H91">
            <v>236075.02233491876</v>
          </cell>
          <cell r="I91">
            <v>386925.34632355068</v>
          </cell>
          <cell r="J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EG91">
            <v>138.82745273074386</v>
          </cell>
          <cell r="EH91">
            <v>74.288479160486432</v>
          </cell>
          <cell r="EI91">
            <v>45.073794492238392</v>
          </cell>
          <cell r="EJ91">
            <v>18.236108443094036</v>
          </cell>
          <cell r="EK91">
            <v>-3.3593720951689887</v>
          </cell>
        </row>
        <row r="92">
          <cell r="F92">
            <v>25743.292218086823</v>
          </cell>
          <cell r="G92">
            <v>98761.637803910678</v>
          </cell>
          <cell r="H92">
            <v>998815.12727599195</v>
          </cell>
          <cell r="I92">
            <v>2111956.1034538285</v>
          </cell>
          <cell r="J92">
            <v>3038325.6710055284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EG92">
            <v>19978.042086366808</v>
          </cell>
          <cell r="EH92">
            <v>21885.617831853993</v>
          </cell>
          <cell r="EI92">
            <v>24232.600977361122</v>
          </cell>
          <cell r="EJ92">
            <v>26579.584122868251</v>
          </cell>
          <cell r="EK92">
            <v>28926.56726837538</v>
          </cell>
        </row>
        <row r="93">
          <cell r="F93">
            <v>1893.0744716788538</v>
          </cell>
          <cell r="G93">
            <v>8138.6211374116665</v>
          </cell>
          <cell r="H93">
            <v>82733.935570632384</v>
          </cell>
          <cell r="I93">
            <v>178320.29785115889</v>
          </cell>
          <cell r="J93">
            <v>259303.38258983154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EG93">
            <v>4584.2225989827475</v>
          </cell>
          <cell r="EH93">
            <v>5021.9407599481392</v>
          </cell>
          <cell r="EI93">
            <v>5560.4866859479398</v>
          </cell>
          <cell r="EJ93">
            <v>6099.0326119477404</v>
          </cell>
          <cell r="EK93">
            <v>6637.578537947541</v>
          </cell>
        </row>
        <row r="94">
          <cell r="F94">
            <v>9730.9644584368179</v>
          </cell>
          <cell r="G94">
            <v>37331.899089878229</v>
          </cell>
          <cell r="H94">
            <v>377277.85789751715</v>
          </cell>
          <cell r="I94">
            <v>795555.99828614888</v>
          </cell>
          <cell r="J94">
            <v>1142725.9220264519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EG94">
            <v>2706.7287656660351</v>
          </cell>
          <cell r="EH94">
            <v>2965.1770220404901</v>
          </cell>
          <cell r="EI94">
            <v>3283.1584721252611</v>
          </cell>
          <cell r="EJ94">
            <v>3601.1399222100322</v>
          </cell>
          <cell r="EK94">
            <v>3919.1213722948032</v>
          </cell>
        </row>
        <row r="95">
          <cell r="F95">
            <v>5148.6584436173653</v>
          </cell>
          <cell r="G95">
            <v>19752.327560782134</v>
          </cell>
          <cell r="H95">
            <v>199763.02545519837</v>
          </cell>
          <cell r="I95">
            <v>422391.22069076565</v>
          </cell>
          <cell r="J95">
            <v>607665.13420110568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</row>
        <row r="96">
          <cell r="F96">
            <v>24.394127587714372</v>
          </cell>
          <cell r="G96">
            <v>87.261915522034386</v>
          </cell>
          <cell r="H96">
            <v>1130.5074353286914</v>
          </cell>
          <cell r="I96">
            <v>2459.4162563273103</v>
          </cell>
          <cell r="J96">
            <v>3614.1685731968751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EG96">
            <v>1848.969781589708</v>
          </cell>
          <cell r="EH96">
            <v>2025.5161065124162</v>
          </cell>
          <cell r="EI96">
            <v>2242.7296299990021</v>
          </cell>
          <cell r="EJ96">
            <v>2459.943153485588</v>
          </cell>
          <cell r="EK96">
            <v>2677.1566769721744</v>
          </cell>
        </row>
        <row r="97">
          <cell r="F97">
            <v>41.713958174991575</v>
          </cell>
          <cell r="G97">
            <v>127.78213770024722</v>
          </cell>
          <cell r="H97">
            <v>1644.2100139420488</v>
          </cell>
          <cell r="I97">
            <v>3511.0281662507568</v>
          </cell>
          <cell r="J97">
            <v>4856.0828502486474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EG97">
            <v>1062.5209268308899</v>
          </cell>
          <cell r="EH97">
            <v>1163.974269472425</v>
          </cell>
          <cell r="EI97">
            <v>1288.7972474319342</v>
          </cell>
          <cell r="EJ97">
            <v>1413.6202253914435</v>
          </cell>
          <cell r="EK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-3920.0266128790136</v>
          </cell>
          <cell r="J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</row>
        <row r="99">
          <cell r="F99">
            <v>714.53063984488062</v>
          </cell>
          <cell r="G99">
            <v>0</v>
          </cell>
          <cell r="H99">
            <v>0</v>
          </cell>
          <cell r="I99">
            <v>-4509.7891618666254</v>
          </cell>
          <cell r="J99">
            <v>-23546.275862771261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</row>
        <row r="100">
          <cell r="F100">
            <v>25.329950792539172</v>
          </cell>
          <cell r="G100">
            <v>0</v>
          </cell>
          <cell r="H100">
            <v>0</v>
          </cell>
          <cell r="I100">
            <v>-312.3037258929985</v>
          </cell>
          <cell r="J100">
            <v>-1663.3087405519959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</row>
        <row r="101">
          <cell r="F101">
            <v>205.78482427532566</v>
          </cell>
          <cell r="G101">
            <v>0</v>
          </cell>
          <cell r="H101">
            <v>0</v>
          </cell>
          <cell r="I101">
            <v>-1298.8192786175882</v>
          </cell>
          <cell r="J101">
            <v>-6586.4972792591443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</row>
        <row r="102">
          <cell r="F102">
            <v>142.90612796897614</v>
          </cell>
          <cell r="G102">
            <v>0</v>
          </cell>
          <cell r="H102">
            <v>0</v>
          </cell>
          <cell r="I102">
            <v>-901.95783237332512</v>
          </cell>
          <cell r="J102">
            <v>-4709.2551725542526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</row>
        <row r="103">
          <cell r="F103">
            <v>0.15656744393572614</v>
          </cell>
          <cell r="G103">
            <v>0</v>
          </cell>
          <cell r="H103">
            <v>0</v>
          </cell>
          <cell r="I103">
            <v>-2.0920995797044597</v>
          </cell>
          <cell r="J103">
            <v>-16.068149589057871</v>
          </cell>
        </row>
        <row r="104">
          <cell r="F104">
            <v>0.27869005020559251</v>
          </cell>
          <cell r="G104">
            <v>0</v>
          </cell>
          <cell r="H104">
            <v>0</v>
          </cell>
          <cell r="I104">
            <v>-2.9276004678552328</v>
          </cell>
          <cell r="J104">
            <v>-22.237715545177352</v>
          </cell>
        </row>
        <row r="105">
          <cell r="F105">
            <v>0</v>
          </cell>
          <cell r="G105">
            <v>-119231.73434770806</v>
          </cell>
          <cell r="H105">
            <v>-41896.410731203534</v>
          </cell>
          <cell r="I105">
            <v>-146253.73805505817</v>
          </cell>
          <cell r="J105">
            <v>-121872.43352364353</v>
          </cell>
        </row>
        <row r="106">
          <cell r="F106">
            <v>0</v>
          </cell>
          <cell r="G106">
            <v>-111918.45062204186</v>
          </cell>
          <cell r="H106">
            <v>-38603.956157754103</v>
          </cell>
          <cell r="I106">
            <v>-137058.71549688393</v>
          </cell>
          <cell r="J106">
            <v>-113519.92964083973</v>
          </cell>
        </row>
        <row r="107">
          <cell r="F107">
            <v>0</v>
          </cell>
          <cell r="G107">
            <v>-7313.2837256661996</v>
          </cell>
          <cell r="H107">
            <v>-3292.4545734494272</v>
          </cell>
          <cell r="I107">
            <v>-9195.0225581742088</v>
          </cell>
          <cell r="J107">
            <v>-8352.5038828037941</v>
          </cell>
        </row>
        <row r="108">
          <cell r="F108">
            <v>3863.4121287593898</v>
          </cell>
          <cell r="G108">
            <v>-22455.069889645223</v>
          </cell>
          <cell r="H108">
            <v>-121003.16166498244</v>
          </cell>
          <cell r="I108">
            <v>-67529.430664078507</v>
          </cell>
          <cell r="J108">
            <v>-161774.56011359382</v>
          </cell>
        </row>
        <row r="109">
          <cell r="F109">
            <v>2115.6073586021967</v>
          </cell>
          <cell r="G109">
            <v>-12296.412992759098</v>
          </cell>
          <cell r="H109">
            <v>-66218.326414422409</v>
          </cell>
          <cell r="I109">
            <v>-36748.800512760274</v>
          </cell>
          <cell r="J109">
            <v>-88468.207849810497</v>
          </cell>
        </row>
        <row r="110">
          <cell r="F110">
            <v>173.85354579417259</v>
          </cell>
          <cell r="G110">
            <v>-1010.4781450340354</v>
          </cell>
          <cell r="H110">
            <v>-5440.2984729794052</v>
          </cell>
          <cell r="I110">
            <v>-3012.931658587102</v>
          </cell>
          <cell r="J110">
            <v>-7266.4054431509621</v>
          </cell>
        </row>
        <row r="111">
          <cell r="F111">
            <v>772.6824257518781</v>
          </cell>
          <cell r="G111">
            <v>-4491.0139779290448</v>
          </cell>
          <cell r="H111">
            <v>-24200.632332996487</v>
          </cell>
          <cell r="I111">
            <v>-13505.886132815704</v>
          </cell>
          <cell r="J111">
            <v>-32354.912022718763</v>
          </cell>
        </row>
        <row r="112">
          <cell r="F112">
            <v>12.952031694201578</v>
          </cell>
          <cell r="G112">
            <v>-51.191305378369883</v>
          </cell>
          <cell r="H112">
            <v>-412.5345084135746</v>
          </cell>
          <cell r="I112">
            <v>-198.1280649060092</v>
          </cell>
          <cell r="J112">
            <v>-535.26420051794798</v>
          </cell>
        </row>
        <row r="113">
          <cell r="F113">
            <v>13.470112961969642</v>
          </cell>
          <cell r="G113">
            <v>-52.501802796056154</v>
          </cell>
          <cell r="H113">
            <v>-423.09539182896219</v>
          </cell>
          <cell r="I113">
            <v>-202.7965156161722</v>
          </cell>
          <cell r="J113">
            <v>-545.77545156005465</v>
          </cell>
        </row>
        <row r="114">
          <cell r="F114">
            <v>0</v>
          </cell>
          <cell r="G114">
            <v>0</v>
          </cell>
          <cell r="H114">
            <v>-478.26769326335113</v>
          </cell>
          <cell r="I114">
            <v>-14904.44363546324</v>
          </cell>
          <cell r="J114">
            <v>-3159.823415393133</v>
          </cell>
        </row>
        <row r="115">
          <cell r="F115">
            <v>24796.717115282103</v>
          </cell>
          <cell r="G115">
            <v>0</v>
          </cell>
          <cell r="H115">
            <v>-46.660530157305516</v>
          </cell>
          <cell r="I115">
            <v>-1664.1244411258276</v>
          </cell>
          <cell r="J115">
            <v>-6851.5220069531606</v>
          </cell>
        </row>
        <row r="116">
          <cell r="F116">
            <v>2466.5210143345239</v>
          </cell>
          <cell r="G116">
            <v>0</v>
          </cell>
          <cell r="H116">
            <v>-4.6413070584272988</v>
          </cell>
          <cell r="I116">
            <v>-165.48802329681826</v>
          </cell>
          <cell r="J116">
            <v>-680.02731932529321</v>
          </cell>
        </row>
        <row r="117">
          <cell r="F117">
            <v>4138.274146272367</v>
          </cell>
          <cell r="G117">
            <v>0</v>
          </cell>
          <cell r="H117">
            <v>-7.7870818424724666</v>
          </cell>
          <cell r="I117">
            <v>-277.69739062185386</v>
          </cell>
          <cell r="J117">
            <v>-1142.546853045807</v>
          </cell>
        </row>
        <row r="118">
          <cell r="F118">
            <v>253.15098383082437</v>
          </cell>
          <cell r="G118">
            <v>0</v>
          </cell>
          <cell r="H118">
            <v>-0.32734122025305135</v>
          </cell>
          <cell r="I118">
            <v>-12.294554433538982</v>
          </cell>
          <cell r="J118">
            <v>-67.356372869889029</v>
          </cell>
        </row>
        <row r="119">
          <cell r="F119">
            <v>263.27702318405738</v>
          </cell>
          <cell r="G119">
            <v>0</v>
          </cell>
          <cell r="H119">
            <v>-0.33572115549152948</v>
          </cell>
          <cell r="I119">
            <v>-12.556274558225027</v>
          </cell>
          <cell r="J119">
            <v>-68.707471385374049</v>
          </cell>
        </row>
        <row r="120">
          <cell r="F120">
            <v>50730341.369048238</v>
          </cell>
          <cell r="G120">
            <v>30960498.672815941</v>
          </cell>
          <cell r="H120">
            <v>25280936.168294147</v>
          </cell>
          <cell r="I120">
            <v>28085177.051863059</v>
          </cell>
          <cell r="J120">
            <v>-82702742.66109246</v>
          </cell>
        </row>
        <row r="121">
          <cell r="F121">
            <v>0</v>
          </cell>
          <cell r="G121">
            <v>14189980.817295929</v>
          </cell>
          <cell r="H121">
            <v>22895378.363116473</v>
          </cell>
          <cell r="I121">
            <v>30578099.114443399</v>
          </cell>
          <cell r="J121">
            <v>-19799182.378406651</v>
          </cell>
        </row>
        <row r="122">
          <cell r="F122">
            <v>173051.53057482775</v>
          </cell>
          <cell r="G122">
            <v>2401539.7345858715</v>
          </cell>
          <cell r="H122">
            <v>5918908.5332325641</v>
          </cell>
          <cell r="I122">
            <v>8916627.1508033145</v>
          </cell>
          <cell r="J122">
            <v>10133070.561119786</v>
          </cell>
        </row>
        <row r="123">
          <cell r="F123">
            <v>84666.874195567623</v>
          </cell>
          <cell r="G123">
            <v>1199940.9107438987</v>
          </cell>
          <cell r="H123">
            <v>3244099.7466924582</v>
          </cell>
          <cell r="I123">
            <v>5269038.1974262754</v>
          </cell>
          <cell r="J123">
            <v>6445329.1425780039</v>
          </cell>
        </row>
        <row r="124">
          <cell r="F124">
            <v>0</v>
          </cell>
          <cell r="G124">
            <v>0</v>
          </cell>
          <cell r="H124">
            <v>450135.10929528985</v>
          </cell>
          <cell r="I124">
            <v>742161.49437548243</v>
          </cell>
          <cell r="J124">
            <v>2143919.9589130227</v>
          </cell>
        </row>
        <row r="125">
          <cell r="F125">
            <v>56950.700661948002</v>
          </cell>
          <cell r="G125">
            <v>747040.32783414959</v>
          </cell>
          <cell r="H125">
            <v>857982.71090573014</v>
          </cell>
          <cell r="I125">
            <v>1259501.3924517883</v>
          </cell>
          <cell r="J125">
            <v>-1211741.7728615159</v>
          </cell>
        </row>
        <row r="126">
          <cell r="F126">
            <v>25365170.684524119</v>
          </cell>
          <cell r="G126">
            <v>15480249.336407971</v>
          </cell>
          <cell r="H126">
            <v>12640468.084147073</v>
          </cell>
          <cell r="I126">
            <v>14042588.52593153</v>
          </cell>
          <cell r="J126">
            <v>-41351371.33054623</v>
          </cell>
        </row>
        <row r="127">
          <cell r="F127">
            <v>22772014.668876395</v>
          </cell>
          <cell r="G127">
            <v>30311178.738174271</v>
          </cell>
          <cell r="H127">
            <v>32616468.445572391</v>
          </cell>
          <cell r="I127">
            <v>33672802.485100523</v>
          </cell>
          <cell r="J127">
            <v>-20478465.354193799</v>
          </cell>
        </row>
        <row r="128">
          <cell r="F128">
            <v>2394945.7276749387</v>
          </cell>
          <cell r="G128">
            <v>9087299.1914099827</v>
          </cell>
          <cell r="H128">
            <v>11695999.746490169</v>
          </cell>
          <cell r="I128">
            <v>13680491.937826348</v>
          </cell>
          <cell r="J128">
            <v>13051826.4763986</v>
          </cell>
        </row>
        <row r="129">
          <cell r="F129">
            <v>1890029.4004598686</v>
          </cell>
          <cell r="G129">
            <v>7191944.7068368606</v>
          </cell>
          <cell r="H129">
            <v>9348113.2036929931</v>
          </cell>
          <cell r="I129">
            <v>10936698.759090642</v>
          </cell>
          <cell r="J129">
            <v>10471088.560567997</v>
          </cell>
        </row>
        <row r="130">
          <cell r="F130">
            <v>0</v>
          </cell>
          <cell r="G130">
            <v>389402.83456980926</v>
          </cell>
          <cell r="H130">
            <v>566174.7106122761</v>
          </cell>
          <cell r="I130">
            <v>1608198.4267915941</v>
          </cell>
          <cell r="J130">
            <v>1874379.0577832928</v>
          </cell>
        </row>
        <row r="131">
          <cell r="F131">
            <v>1219597.4494692038</v>
          </cell>
          <cell r="G131">
            <v>924443.362944694</v>
          </cell>
          <cell r="H131">
            <v>1524938.1391253064</v>
          </cell>
          <cell r="I131">
            <v>1735887.8711540918</v>
          </cell>
          <cell r="J131">
            <v>-919866.18133363407</v>
          </cell>
        </row>
        <row r="132">
          <cell r="F132">
            <v>17501299.05403984</v>
          </cell>
          <cell r="G132">
            <v>5806407.8310400639</v>
          </cell>
          <cell r="H132">
            <v>3947220.3806105787</v>
          </cell>
          <cell r="I132">
            <v>3510294.2528074421</v>
          </cell>
          <cell r="J132">
            <v>-19847778.753789131</v>
          </cell>
        </row>
        <row r="133">
          <cell r="F133">
            <v>0</v>
          </cell>
          <cell r="G133">
            <v>2792739.7586624851</v>
          </cell>
          <cell r="H133">
            <v>4305636.6086210767</v>
          </cell>
          <cell r="I133">
            <v>5304834.537768878</v>
          </cell>
          <cell r="J133">
            <v>-5714308.8263790812</v>
          </cell>
        </row>
        <row r="134">
          <cell r="F134">
            <v>36857.19280459822</v>
          </cell>
          <cell r="G134">
            <v>395927.17167929525</v>
          </cell>
          <cell r="H134">
            <v>1314406.083011603</v>
          </cell>
          <cell r="I134">
            <v>1881228.2755274922</v>
          </cell>
          <cell r="J134">
            <v>2005949.708071704</v>
          </cell>
        </row>
        <row r="135">
          <cell r="F135">
            <v>9491.2764581838219</v>
          </cell>
          <cell r="G135">
            <v>106885.43395355887</v>
          </cell>
          <cell r="H135">
            <v>423246.93307069282</v>
          </cell>
          <cell r="I135">
            <v>707002.22939455952</v>
          </cell>
          <cell r="J135">
            <v>938913.53573682543</v>
          </cell>
        </row>
        <row r="136">
          <cell r="F136">
            <v>0</v>
          </cell>
          <cell r="G136">
            <v>0</v>
          </cell>
          <cell r="H136">
            <v>22552.041962489184</v>
          </cell>
          <cell r="I136">
            <v>27484.835716282974</v>
          </cell>
          <cell r="J136">
            <v>130622.09618136713</v>
          </cell>
        </row>
        <row r="137">
          <cell r="F137">
            <v>22202.405595667158</v>
          </cell>
          <cell r="G137">
            <v>290789.32599728089</v>
          </cell>
          <cell r="H137">
            <v>262805.92395288445</v>
          </cell>
          <cell r="I137">
            <v>394523.92920179287</v>
          </cell>
          <cell r="J137">
            <v>-683636.96458658506</v>
          </cell>
        </row>
        <row r="138">
          <cell r="F138">
            <v>6302.579969586297</v>
          </cell>
          <cell r="G138">
            <v>67703.546357159488</v>
          </cell>
          <cell r="H138">
            <v>231571.34795029977</v>
          </cell>
          <cell r="I138">
            <v>337781.55523762893</v>
          </cell>
          <cell r="J138">
            <v>346280.93987055548</v>
          </cell>
        </row>
        <row r="139">
          <cell r="F139">
            <v>8750649.5270199198</v>
          </cell>
          <cell r="G139">
            <v>2903203.9155200319</v>
          </cell>
          <cell r="H139">
            <v>1973610.1903052893</v>
          </cell>
          <cell r="I139">
            <v>1755147.126403721</v>
          </cell>
          <cell r="J139">
            <v>-9923889.3768945653</v>
          </cell>
        </row>
        <row r="140">
          <cell r="F140">
            <v>5797357.0133912759</v>
          </cell>
          <cell r="G140">
            <v>6417184.8593604611</v>
          </cell>
          <cell r="H140">
            <v>6193121.7668791274</v>
          </cell>
          <cell r="I140">
            <v>5464664.0175446272</v>
          </cell>
          <cell r="J140">
            <v>-3442884.0720369848</v>
          </cell>
        </row>
        <row r="141">
          <cell r="F141">
            <v>676330.26548374363</v>
          </cell>
          <cell r="G141">
            <v>3030203.021698589</v>
          </cell>
          <cell r="H141">
            <v>3305998.0865943898</v>
          </cell>
          <cell r="I141">
            <v>3678733.8901249608</v>
          </cell>
          <cell r="J141">
            <v>3452864.5479777423</v>
          </cell>
        </row>
        <row r="142">
          <cell r="F142">
            <v>299180.23111283086</v>
          </cell>
          <cell r="G142">
            <v>1364614.8190992451</v>
          </cell>
          <cell r="H142">
            <v>1582450.6373393419</v>
          </cell>
          <cell r="I142">
            <v>1766865.6638623597</v>
          </cell>
          <cell r="J142">
            <v>1921896.8251811566</v>
          </cell>
        </row>
        <row r="143">
          <cell r="F143">
            <v>160415.04800344558</v>
          </cell>
          <cell r="G143">
            <v>139521.39310844347</v>
          </cell>
          <cell r="H143">
            <v>191864.38729971438</v>
          </cell>
          <cell r="I143">
            <v>378491.91494495387</v>
          </cell>
          <cell r="J143">
            <v>46237.732475420344</v>
          </cell>
        </row>
        <row r="144">
          <cell r="F144">
            <v>666354.08928007924</v>
          </cell>
          <cell r="G144">
            <v>419662.85482031421</v>
          </cell>
          <cell r="H144">
            <v>716764.03252186661</v>
          </cell>
          <cell r="I144">
            <v>772813.62136313121</v>
          </cell>
          <cell r="J144">
            <v>-90969.957363291178</v>
          </cell>
        </row>
        <row r="145">
          <cell r="F145">
            <v>109932.42700728134</v>
          </cell>
          <cell r="G145">
            <v>512490.22906630422</v>
          </cell>
          <cell r="H145">
            <v>625734.45726545062</v>
          </cell>
          <cell r="I145">
            <v>700434.67690610711</v>
          </cell>
          <cell r="J145">
            <v>687888.66599338164</v>
          </cell>
        </row>
        <row r="146">
          <cell r="F146">
            <v>1083650.9264593781</v>
          </cell>
          <cell r="G146">
            <v>581868.47420972947</v>
          </cell>
          <cell r="H146">
            <v>570971.0184953633</v>
          </cell>
          <cell r="I146">
            <v>558753.90686304157</v>
          </cell>
          <cell r="J146">
            <v>-1811071.1380504612</v>
          </cell>
        </row>
        <row r="147">
          <cell r="F147">
            <v>1095.060540989964</v>
          </cell>
          <cell r="G147">
            <v>84853.709685282345</v>
          </cell>
          <cell r="H147">
            <v>91858.888383978745</v>
          </cell>
          <cell r="I147">
            <v>91870.119364209531</v>
          </cell>
          <cell r="J147">
            <v>-331416.38189172663</v>
          </cell>
        </row>
        <row r="148">
          <cell r="F148">
            <v>11006.09300846722</v>
          </cell>
          <cell r="G148">
            <v>63850.791464448557</v>
          </cell>
          <cell r="H148">
            <v>210954.50261694283</v>
          </cell>
          <cell r="I148">
            <v>257745.63826020103</v>
          </cell>
          <cell r="J148">
            <v>195934.6993287662</v>
          </cell>
        </row>
        <row r="149">
          <cell r="F149">
            <v>6960.8416758789772</v>
          </cell>
          <cell r="G149">
            <v>44161.872151236123</v>
          </cell>
          <cell r="H149">
            <v>205750.5543730988</v>
          </cell>
          <cell r="I149">
            <v>277785.69088108721</v>
          </cell>
          <cell r="J149">
            <v>276876.96223237913</v>
          </cell>
        </row>
        <row r="150">
          <cell r="F150">
            <v>12374.788651772818</v>
          </cell>
          <cell r="G150">
            <v>83371.443150648192</v>
          </cell>
          <cell r="H150">
            <v>362588.38943147758</v>
          </cell>
          <cell r="I150">
            <v>589255.1735298459</v>
          </cell>
          <cell r="J150">
            <v>629765.34752224351</v>
          </cell>
        </row>
        <row r="151">
          <cell r="F151">
            <v>41188.456929863183</v>
          </cell>
          <cell r="G151">
            <v>227649.7518423461</v>
          </cell>
          <cell r="H151">
            <v>617433.49746938888</v>
          </cell>
          <cell r="I151">
            <v>910149.25233441312</v>
          </cell>
          <cell r="J151">
            <v>898684.83367522701</v>
          </cell>
        </row>
        <row r="152">
          <cell r="F152">
            <v>37281.739025164774</v>
          </cell>
          <cell r="G152">
            <v>220107.4768930992</v>
          </cell>
          <cell r="H152">
            <v>750005.02166968945</v>
          </cell>
          <cell r="I152">
            <v>1070333.8902793841</v>
          </cell>
          <cell r="J152">
            <v>937430.77137951739</v>
          </cell>
        </row>
        <row r="153">
          <cell r="F153">
            <v>541825.46322968905</v>
          </cell>
          <cell r="G153">
            <v>290934.23710486473</v>
          </cell>
          <cell r="H153">
            <v>285485.50924768165</v>
          </cell>
          <cell r="I153">
            <v>279376.95343152079</v>
          </cell>
          <cell r="J153">
            <v>-905535.56902523059</v>
          </cell>
        </row>
        <row r="154">
          <cell r="F154">
            <v>460329.5899427798</v>
          </cell>
          <cell r="G154">
            <v>472360.72383001994</v>
          </cell>
          <cell r="H154">
            <v>466730.08457589278</v>
          </cell>
          <cell r="I154">
            <v>456453.9091854553</v>
          </cell>
          <cell r="J154">
            <v>-690256.44860502717</v>
          </cell>
        </row>
        <row r="155">
          <cell r="F155">
            <v>131607.37729629775</v>
          </cell>
          <cell r="G155">
            <v>483854.48369466542</v>
          </cell>
          <cell r="H155">
            <v>492531.9050283269</v>
          </cell>
          <cell r="I155">
            <v>472077.84587491804</v>
          </cell>
          <cell r="J155">
            <v>375526.28277387749</v>
          </cell>
        </row>
        <row r="156">
          <cell r="F156">
            <v>67141.330604160321</v>
          </cell>
          <cell r="G156">
            <v>244840.32793819689</v>
          </cell>
          <cell r="H156">
            <v>245209.78942867104</v>
          </cell>
          <cell r="I156">
            <v>241646.06012692826</v>
          </cell>
          <cell r="J156">
            <v>193701.88720155222</v>
          </cell>
        </row>
        <row r="157">
          <cell r="F157">
            <v>0</v>
          </cell>
          <cell r="G157">
            <v>30841.227051232803</v>
          </cell>
          <cell r="H157">
            <v>42623.154436831675</v>
          </cell>
          <cell r="I157">
            <v>44765.515136550835</v>
          </cell>
          <cell r="J157">
            <v>44303.36477772997</v>
          </cell>
        </row>
        <row r="158">
          <cell r="F158">
            <v>24825.68728389388</v>
          </cell>
          <cell r="G158">
            <v>24841.035518728346</v>
          </cell>
          <cell r="H158">
            <v>58213.372140602063</v>
          </cell>
          <cell r="I158">
            <v>53553.525128486173</v>
          </cell>
          <cell r="J158">
            <v>-1268.2809790390966</v>
          </cell>
        </row>
        <row r="159">
          <cell r="F159">
            <v>23689.327913333593</v>
          </cell>
          <cell r="G159">
            <v>92381.271550618258</v>
          </cell>
          <cell r="H159">
            <v>108897.37776545553</v>
          </cell>
          <cell r="I159">
            <v>101329.14205160111</v>
          </cell>
          <cell r="J159">
            <v>82657.401634225214</v>
          </cell>
        </row>
        <row r="160">
          <cell r="F160">
            <v>-1450553.3862978222</v>
          </cell>
          <cell r="G160">
            <v>73234.927030367311</v>
          </cell>
          <cell r="H160">
            <v>418703.31188273232</v>
          </cell>
          <cell r="I160">
            <v>77229.492277406607</v>
          </cell>
          <cell r="J160">
            <v>198003.76526806896</v>
          </cell>
        </row>
        <row r="161">
          <cell r="F161">
            <v>0</v>
          </cell>
          <cell r="G161">
            <v>37418.934924211746</v>
          </cell>
          <cell r="H161">
            <v>238565.77631635638</v>
          </cell>
          <cell r="I161">
            <v>244584.03158430583</v>
          </cell>
          <cell r="J161">
            <v>284309.67663209722</v>
          </cell>
        </row>
        <row r="162">
          <cell r="F162">
            <v>-2536.0355827705816</v>
          </cell>
          <cell r="G162">
            <v>-2559.9613813462784</v>
          </cell>
          <cell r="H162">
            <v>42917.45486588635</v>
          </cell>
          <cell r="I162">
            <v>128299.25839233608</v>
          </cell>
          <cell r="J162">
            <v>153202.77028303131</v>
          </cell>
        </row>
        <row r="163">
          <cell r="F163">
            <v>-553.20641054575935</v>
          </cell>
          <cell r="G163">
            <v>-763.03185959068549</v>
          </cell>
          <cell r="H163">
            <v>7857.868406401717</v>
          </cell>
          <cell r="I163">
            <v>31395.691800736342</v>
          </cell>
          <cell r="J163">
            <v>58077.057335514328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-8.6212725133714109E-6</v>
          </cell>
        </row>
        <row r="165">
          <cell r="F165">
            <v>999.49520600608798</v>
          </cell>
          <cell r="G165">
            <v>4540.5578209617324</v>
          </cell>
          <cell r="H165">
            <v>25985.683322776709</v>
          </cell>
          <cell r="I165">
            <v>4793.5210867526439</v>
          </cell>
          <cell r="J165">
            <v>12314.303404082857</v>
          </cell>
        </row>
        <row r="166">
          <cell r="F166">
            <v>-319.54048342909334</v>
          </cell>
          <cell r="G166">
            <v>-322.55513404963079</v>
          </cell>
          <cell r="H166">
            <v>5361.7545518992065</v>
          </cell>
          <cell r="I166">
            <v>16979.90005917344</v>
          </cell>
          <cell r="J166">
            <v>20866.536847151092</v>
          </cell>
        </row>
        <row r="167">
          <cell r="F167">
            <v>-725276.69314891112</v>
          </cell>
          <cell r="G167">
            <v>36617.463515183656</v>
          </cell>
          <cell r="H167">
            <v>209351.65594136616</v>
          </cell>
          <cell r="I167">
            <v>38614.746138703304</v>
          </cell>
          <cell r="J167">
            <v>99001.882634034482</v>
          </cell>
        </row>
        <row r="168">
          <cell r="F168">
            <v>-702323.16578523442</v>
          </cell>
          <cell r="G168">
            <v>-495678.43148096395</v>
          </cell>
          <cell r="H168">
            <v>-139135.93042746029</v>
          </cell>
          <cell r="I168">
            <v>-6681.9267553822283</v>
          </cell>
          <cell r="J168">
            <v>107998.95049959239</v>
          </cell>
        </row>
        <row r="169">
          <cell r="F169">
            <v>-102994.3492243533</v>
          </cell>
          <cell r="G169">
            <v>-363793.66714820842</v>
          </cell>
          <cell r="H169">
            <v>-316548.09709065506</v>
          </cell>
          <cell r="I169">
            <v>-196306.1520091391</v>
          </cell>
          <cell r="J169">
            <v>-23496.182750791369</v>
          </cell>
        </row>
        <row r="170">
          <cell r="F170">
            <v>-47232.438802293218</v>
          </cell>
          <cell r="G170">
            <v>-166805.69123735736</v>
          </cell>
          <cell r="H170">
            <v>-145194.40712565131</v>
          </cell>
          <cell r="I170">
            <v>-91079.274303621234</v>
          </cell>
          <cell r="J170">
            <v>-15887.08953636467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-2352.456910195398</v>
          </cell>
          <cell r="J171">
            <v>117.46506559516381</v>
          </cell>
        </row>
        <row r="172">
          <cell r="F172">
            <v>-89608.073135720391</v>
          </cell>
          <cell r="G172">
            <v>-2113.9687827475627</v>
          </cell>
          <cell r="H172">
            <v>-9587.3896877259012</v>
          </cell>
          <cell r="I172">
            <v>-24038.326475088081</v>
          </cell>
          <cell r="J172">
            <v>-8255.5175479659247</v>
          </cell>
        </row>
        <row r="173">
          <cell r="F173">
            <v>-12977.288002268515</v>
          </cell>
          <cell r="G173">
            <v>-47034.5473808483</v>
          </cell>
          <cell r="H173">
            <v>-45209.560561811813</v>
          </cell>
          <cell r="I173">
            <v>-23138.363047318257</v>
          </cell>
          <cell r="J173">
            <v>3387.1299997285046</v>
          </cell>
        </row>
        <row r="174">
          <cell r="F174">
            <v>-7820894.3262766805</v>
          </cell>
          <cell r="G174">
            <v>3929672.8944223737</v>
          </cell>
          <cell r="H174">
            <v>2024271.4483666392</v>
          </cell>
          <cell r="I174">
            <v>527236.57078758033</v>
          </cell>
          <cell r="J174">
            <v>-406895.80758407747</v>
          </cell>
        </row>
        <row r="175">
          <cell r="F175">
            <v>0</v>
          </cell>
          <cell r="G175">
            <v>222555.98253132199</v>
          </cell>
          <cell r="H175">
            <v>270515.04564432229</v>
          </cell>
          <cell r="I175">
            <v>214557.79481885862</v>
          </cell>
          <cell r="J175">
            <v>108556.47316747493</v>
          </cell>
        </row>
        <row r="176">
          <cell r="F176">
            <v>-78963.214696823532</v>
          </cell>
          <cell r="G176">
            <v>341450.32687200216</v>
          </cell>
          <cell r="H176">
            <v>2378420.0249078847</v>
          </cell>
          <cell r="I176">
            <v>2572391.3473081775</v>
          </cell>
          <cell r="J176">
            <v>1851366.8555945395</v>
          </cell>
        </row>
        <row r="177">
          <cell r="F177">
            <v>-2275.9211248939628</v>
          </cell>
          <cell r="G177">
            <v>8221.23244803325</v>
          </cell>
          <cell r="H177">
            <v>69979.87183502168</v>
          </cell>
          <cell r="I177">
            <v>85705.402761787205</v>
          </cell>
          <cell r="J177">
            <v>81062.956404971992</v>
          </cell>
        </row>
        <row r="178">
          <cell r="F178">
            <v>-1876.9220964037315</v>
          </cell>
          <cell r="G178">
            <v>6408.8973225839527</v>
          </cell>
          <cell r="H178">
            <v>57923.414642569376</v>
          </cell>
          <cell r="I178">
            <v>73003.436021728703</v>
          </cell>
          <cell r="J178">
            <v>72171.253662835981</v>
          </cell>
        </row>
        <row r="179">
          <cell r="F179">
            <v>242.67826155798917</v>
          </cell>
          <cell r="G179">
            <v>10340.80346426976</v>
          </cell>
          <cell r="H179">
            <v>5333.5554983413977</v>
          </cell>
          <cell r="I179">
            <v>1389.3520336086046</v>
          </cell>
          <cell r="J179">
            <v>-1074.8062277387212</v>
          </cell>
        </row>
        <row r="180">
          <cell r="F180">
            <v>-102.41645062022832</v>
          </cell>
          <cell r="G180">
            <v>369.95546016149632</v>
          </cell>
          <cell r="H180">
            <v>3114.1455677784006</v>
          </cell>
          <cell r="I180">
            <v>3524.1263365296873</v>
          </cell>
          <cell r="J180">
            <v>2966.1685536756358</v>
          </cell>
        </row>
        <row r="181">
          <cell r="F181">
            <v>-38.001442837987305</v>
          </cell>
          <cell r="G181">
            <v>63.689268670197194</v>
          </cell>
          <cell r="H181">
            <v>1034.4813331539806</v>
          </cell>
          <cell r="I181">
            <v>1161.7998229868565</v>
          </cell>
          <cell r="J181">
            <v>863.01254479232387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5">
          <cell r="F185">
            <v>2218.7197473691626</v>
          </cell>
          <cell r="G185">
            <v>280370.0408902627</v>
          </cell>
          <cell r="H185">
            <v>479970.07705727051</v>
          </cell>
          <cell r="I185">
            <v>1278788.2733620624</v>
          </cell>
          <cell r="J185">
            <v>1703421.3412977129</v>
          </cell>
        </row>
        <row r="186">
          <cell r="F186">
            <v>201602.59834595906</v>
          </cell>
          <cell r="G186">
            <v>239276.49223931815</v>
          </cell>
          <cell r="H186">
            <v>285511.60627809266</v>
          </cell>
          <cell r="I186">
            <v>699962.04559428431</v>
          </cell>
          <cell r="J186">
            <v>503834.82411312906</v>
          </cell>
        </row>
        <row r="187">
          <cell r="F187">
            <v>20137.951613195582</v>
          </cell>
          <cell r="G187">
            <v>156658.20903336292</v>
          </cell>
          <cell r="H187">
            <v>465075.01078886352</v>
          </cell>
          <cell r="I187">
            <v>699535.3075074614</v>
          </cell>
          <cell r="J187">
            <v>734710.52176625654</v>
          </cell>
        </row>
        <row r="188">
          <cell r="F188">
            <v>45.843773947034769</v>
          </cell>
          <cell r="G188">
            <v>0</v>
          </cell>
          <cell r="H188">
            <v>0</v>
          </cell>
          <cell r="I188">
            <v>-2352.4569101953971</v>
          </cell>
          <cell r="J188">
            <v>58.732528486945633</v>
          </cell>
        </row>
        <row r="189">
          <cell r="F189">
            <v>6863.3699691149795</v>
          </cell>
          <cell r="G189">
            <v>-115981.65125883406</v>
          </cell>
          <cell r="H189">
            <v>-10645.055473185681</v>
          </cell>
          <cell r="I189">
            <v>-132137.41219284013</v>
          </cell>
          <cell r="J189">
            <v>-81757.018595498579</v>
          </cell>
        </row>
        <row r="190">
          <cell r="F190">
            <v>24629.11318421927</v>
          </cell>
          <cell r="G190">
            <v>0</v>
          </cell>
          <cell r="H190">
            <v>-356.71644078682579</v>
          </cell>
          <cell r="I190">
            <v>-11020.064047412789</v>
          </cell>
          <cell r="J190">
            <v>652.2279225292956</v>
          </cell>
        </row>
        <row r="191">
          <cell r="F191">
            <v>2324.2186457327825</v>
          </cell>
          <cell r="G191">
            <v>233641.70074188558</v>
          </cell>
          <cell r="H191">
            <v>399975.06421439216</v>
          </cell>
          <cell r="I191">
            <v>1065656.8944683855</v>
          </cell>
          <cell r="J191">
            <v>1419517.7844147603</v>
          </cell>
        </row>
        <row r="192">
          <cell r="F192">
            <v>92515.204797111161</v>
          </cell>
          <cell r="G192">
            <v>108762.04192696277</v>
          </cell>
          <cell r="H192">
            <v>129778.00285367847</v>
          </cell>
          <cell r="I192">
            <v>318164.5661792201</v>
          </cell>
          <cell r="J192">
            <v>229015.82914233138</v>
          </cell>
        </row>
        <row r="193">
          <cell r="F193">
            <v>7703.5907816677009</v>
          </cell>
          <cell r="G193">
            <v>58021.558901245524</v>
          </cell>
          <cell r="H193">
            <v>172250.00399587536</v>
          </cell>
          <cell r="I193">
            <v>259087.15092868934</v>
          </cell>
          <cell r="J193">
            <v>272115.00806157646</v>
          </cell>
        </row>
        <row r="194">
          <cell r="F194">
            <v>36.406035797012493</v>
          </cell>
          <cell r="G194">
            <v>0</v>
          </cell>
          <cell r="H194">
            <v>0</v>
          </cell>
          <cell r="I194">
            <v>-470.49138203907944</v>
          </cell>
          <cell r="J194">
            <v>11.746505697389127</v>
          </cell>
        </row>
        <row r="195">
          <cell r="F195">
            <v>4902.4071207964143</v>
          </cell>
          <cell r="G195">
            <v>-82844.036613452903</v>
          </cell>
          <cell r="H195">
            <v>-7603.611052275488</v>
          </cell>
          <cell r="I195">
            <v>-94383.86585202867</v>
          </cell>
          <cell r="J195">
            <v>-58397.87042535613</v>
          </cell>
        </row>
        <row r="196">
          <cell r="F196">
            <v>24629.11318421927</v>
          </cell>
          <cell r="G196">
            <v>0</v>
          </cell>
          <cell r="H196">
            <v>-356.71644078682579</v>
          </cell>
          <cell r="I196">
            <v>-11020.064047412789</v>
          </cell>
          <cell r="J196">
            <v>652.2279225292956</v>
          </cell>
        </row>
        <row r="197">
          <cell r="F197">
            <v>2951.5293777719744</v>
          </cell>
          <cell r="G197">
            <v>0</v>
          </cell>
          <cell r="H197">
            <v>254106.84639587378</v>
          </cell>
          <cell r="I197">
            <v>541097.00636747095</v>
          </cell>
          <cell r="J197">
            <v>1384848.3012681804</v>
          </cell>
        </row>
        <row r="198">
          <cell r="F198">
            <v>0</v>
          </cell>
          <cell r="G198">
            <v>79243.235387610868</v>
          </cell>
          <cell r="H198">
            <v>125148.6949794894</v>
          </cell>
          <cell r="I198">
            <v>158390.96570736644</v>
          </cell>
          <cell r="J198">
            <v>342177.64246525889</v>
          </cell>
        </row>
        <row r="199">
          <cell r="F199">
            <v>17610.70637307275</v>
          </cell>
          <cell r="G199">
            <v>0</v>
          </cell>
          <cell r="H199">
            <v>103630.33233174836</v>
          </cell>
          <cell r="I199">
            <v>342593.76280087163</v>
          </cell>
          <cell r="J199">
            <v>578106.66068442154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-109.34516838566337</v>
          </cell>
        </row>
        <row r="201">
          <cell r="F201">
            <v>0</v>
          </cell>
          <cell r="G201">
            <v>0</v>
          </cell>
          <cell r="H201">
            <v>-25352.785177094134</v>
          </cell>
          <cell r="I201">
            <v>-8653.3513527532596</v>
          </cell>
          <cell r="J201">
            <v>-31019.366194081151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-77.857884390129698</v>
          </cell>
          <cell r="J202">
            <v>-2424.6672498779012</v>
          </cell>
        </row>
        <row r="203">
          <cell r="F203">
            <v>15210.965738577654</v>
          </cell>
          <cell r="G203">
            <v>0</v>
          </cell>
          <cell r="H203">
            <v>94113.646813286585</v>
          </cell>
          <cell r="I203">
            <v>200406.29865461888</v>
          </cell>
          <cell r="J203">
            <v>512906.77824747411</v>
          </cell>
        </row>
        <row r="204">
          <cell r="F204">
            <v>0</v>
          </cell>
          <cell r="G204">
            <v>19810.808846902717</v>
          </cell>
          <cell r="H204">
            <v>31287.173744872351</v>
          </cell>
          <cell r="I204">
            <v>39597.741426841611</v>
          </cell>
          <cell r="J204">
            <v>85544.410616314723</v>
          </cell>
        </row>
        <row r="205">
          <cell r="F205">
            <v>757.58351285222807</v>
          </cell>
          <cell r="G205">
            <v>0</v>
          </cell>
          <cell r="H205">
            <v>17271.72205529139</v>
          </cell>
          <cell r="I205">
            <v>57098.960466811943</v>
          </cell>
          <cell r="J205">
            <v>96351.110114070252</v>
          </cell>
        </row>
        <row r="206">
          <cell r="F206">
            <v>932.40461274292568</v>
          </cell>
          <cell r="G206">
            <v>0</v>
          </cell>
          <cell r="H206">
            <v>0</v>
          </cell>
          <cell r="I206">
            <v>0</v>
          </cell>
          <cell r="J206">
            <v>-54.672584192831685</v>
          </cell>
        </row>
        <row r="207">
          <cell r="F207">
            <v>0</v>
          </cell>
          <cell r="G207">
            <v>0</v>
          </cell>
          <cell r="H207">
            <v>-18109.132269352955</v>
          </cell>
          <cell r="I207">
            <v>-6180.9652519666142</v>
          </cell>
          <cell r="J207">
            <v>-22156.690138629394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-77.857884390129698</v>
          </cell>
          <cell r="J208">
            <v>-2424.6672498779012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F220">
            <v>49688624.097547099</v>
          </cell>
          <cell r="G220">
            <v>40010487.034473836</v>
          </cell>
          <cell r="H220">
            <v>45345824.672125302</v>
          </cell>
          <cell r="I220">
            <v>48670849.267440625</v>
          </cell>
          <cell r="J220">
            <v>-25659461.236464854</v>
          </cell>
        </row>
        <row r="221">
          <cell r="F221">
            <v>63425956.397293955</v>
          </cell>
          <cell r="G221">
            <v>23050867.418942619</v>
          </cell>
          <cell r="H221">
            <v>7061264.515335599</v>
          </cell>
          <cell r="I221">
            <v>6330733.8485989589</v>
          </cell>
          <cell r="J221">
            <v>6633483.5185088245</v>
          </cell>
        </row>
        <row r="222">
          <cell r="F222">
            <v>476660327.28361589</v>
          </cell>
          <cell r="G222">
            <v>32729004.482015874</v>
          </cell>
          <cell r="H222">
            <v>1725926.8776841061</v>
          </cell>
          <cell r="I222">
            <v>3005709.2532836534</v>
          </cell>
          <cell r="J222">
            <v>80963794.022414297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F224">
            <v>0</v>
          </cell>
          <cell r="G224">
            <v>6.0454630921108148</v>
          </cell>
          <cell r="H224">
            <v>3.1761003293565375</v>
          </cell>
          <cell r="I224">
            <v>1.5439781390371434</v>
          </cell>
          <cell r="J224">
            <v>0.53171323500648704</v>
          </cell>
        </row>
        <row r="225">
          <cell r="F225">
            <v>0.4708862249365503</v>
          </cell>
          <cell r="G225">
            <v>3.9545369078891861</v>
          </cell>
          <cell r="H225">
            <v>2.8693627627542782</v>
          </cell>
          <cell r="I225">
            <v>1.6321221903193919</v>
          </cell>
          <cell r="J225">
            <v>0.71226490403065823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0.3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</row>
        <row r="228">
          <cell r="F228">
            <v>0</v>
          </cell>
          <cell r="G228">
            <v>24.25</v>
          </cell>
          <cell r="H228">
            <v>20.25</v>
          </cell>
          <cell r="I228">
            <v>16.25</v>
          </cell>
          <cell r="J228">
            <v>12.25</v>
          </cell>
        </row>
        <row r="229">
          <cell r="F229">
            <v>8.3333333333333329E-2</v>
          </cell>
          <cell r="G229">
            <v>1.75</v>
          </cell>
          <cell r="H229">
            <v>4</v>
          </cell>
          <cell r="I229">
            <v>4</v>
          </cell>
          <cell r="J229">
            <v>4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F231">
            <v>2100</v>
          </cell>
          <cell r="G231">
            <v>10500</v>
          </cell>
          <cell r="H231">
            <v>18900</v>
          </cell>
          <cell r="I231">
            <v>27300</v>
          </cell>
          <cell r="J231">
            <v>35700</v>
          </cell>
        </row>
        <row r="232">
          <cell r="F232">
            <v>2100</v>
          </cell>
          <cell r="G232">
            <v>10500</v>
          </cell>
          <cell r="H232">
            <v>18900</v>
          </cell>
          <cell r="I232">
            <v>27300</v>
          </cell>
          <cell r="J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F236">
            <v>1308</v>
          </cell>
          <cell r="G236">
            <v>6544</v>
          </cell>
          <cell r="H236">
            <v>11780</v>
          </cell>
          <cell r="I236">
            <v>17016</v>
          </cell>
          <cell r="J236">
            <v>22252</v>
          </cell>
        </row>
        <row r="237">
          <cell r="F237">
            <v>1380.6666666666667</v>
          </cell>
          <cell r="G237">
            <v>5236</v>
          </cell>
          <cell r="H237">
            <v>5236</v>
          </cell>
          <cell r="I237">
            <v>5236</v>
          </cell>
          <cell r="J237">
            <v>5236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F240">
            <v>1006347.51</v>
          </cell>
          <cell r="G240">
            <v>1000000</v>
          </cell>
          <cell r="H240">
            <v>1000000</v>
          </cell>
          <cell r="I240">
            <v>1000000</v>
          </cell>
          <cell r="J240">
            <v>0</v>
          </cell>
        </row>
        <row r="241">
          <cell r="F241">
            <v>2052.0651187214607</v>
          </cell>
          <cell r="G241">
            <v>12011.717999999995</v>
          </cell>
          <cell r="H241">
            <v>12000</v>
          </cell>
          <cell r="I241">
            <v>12000</v>
          </cell>
          <cell r="J241">
            <v>11013.698630136983</v>
          </cell>
        </row>
        <row r="242">
          <cell r="F242">
            <v>26619775.924645819</v>
          </cell>
          <cell r="G242">
            <v>12657567.887675533</v>
          </cell>
          <cell r="H242">
            <v>9894804.2323669773</v>
          </cell>
          <cell r="I242">
            <v>9889363.4587998763</v>
          </cell>
          <cell r="J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</row>
        <row r="247">
          <cell r="F247">
            <v>100000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</row>
        <row r="249">
          <cell r="F249">
            <v>100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F253">
            <v>246135791.45545456</v>
          </cell>
          <cell r="G253">
            <v>267365455.87959704</v>
          </cell>
          <cell r="H253">
            <v>281433342.13542593</v>
          </cell>
          <cell r="I253">
            <v>297291959.34905744</v>
          </cell>
          <cell r="J253">
            <v>356314197.47993022</v>
          </cell>
        </row>
        <row r="254">
          <cell r="F254">
            <v>22841.166666666664</v>
          </cell>
          <cell r="G254">
            <v>70414</v>
          </cell>
          <cell r="H254">
            <v>55007</v>
          </cell>
          <cell r="I254">
            <v>47775</v>
          </cell>
          <cell r="J254">
            <v>41147</v>
          </cell>
        </row>
        <row r="255">
          <cell r="F255">
            <v>47648.833333333328</v>
          </cell>
          <cell r="G255">
            <v>211460</v>
          </cell>
          <cell r="H255">
            <v>254367</v>
          </cell>
          <cell r="I255">
            <v>286406</v>
          </cell>
          <cell r="J255">
            <v>321132</v>
          </cell>
        </row>
        <row r="256">
          <cell r="F256">
            <v>22587.833333333336</v>
          </cell>
          <cell r="G256">
            <v>85598</v>
          </cell>
          <cell r="H256">
            <v>85598</v>
          </cell>
          <cell r="I256">
            <v>85598</v>
          </cell>
          <cell r="J256">
            <v>85598</v>
          </cell>
        </row>
        <row r="257">
          <cell r="F257">
            <v>6542.3333333333339</v>
          </cell>
          <cell r="G257">
            <v>24792</v>
          </cell>
          <cell r="H257">
            <v>24792</v>
          </cell>
          <cell r="I257">
            <v>24792</v>
          </cell>
          <cell r="J257">
            <v>24792</v>
          </cell>
        </row>
        <row r="258">
          <cell r="F258">
            <v>22844.333333333336</v>
          </cell>
          <cell r="G258">
            <v>123472</v>
          </cell>
          <cell r="H258">
            <v>182433</v>
          </cell>
          <cell r="I258">
            <v>220745</v>
          </cell>
          <cell r="J258">
            <v>267101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F261">
            <v>28500</v>
          </cell>
          <cell r="G261">
            <v>54000</v>
          </cell>
          <cell r="H261">
            <v>0</v>
          </cell>
          <cell r="I261">
            <v>0</v>
          </cell>
          <cell r="J261">
            <v>0</v>
          </cell>
        </row>
        <row r="262">
          <cell r="F262">
            <v>24652.5</v>
          </cell>
          <cell r="G262">
            <v>134671</v>
          </cell>
          <cell r="H262">
            <v>200945</v>
          </cell>
          <cell r="I262">
            <v>243143</v>
          </cell>
          <cell r="J262">
            <v>294203</v>
          </cell>
        </row>
        <row r="263">
          <cell r="F263">
            <v>34409</v>
          </cell>
          <cell r="G263">
            <v>152703</v>
          </cell>
          <cell r="H263">
            <v>183688</v>
          </cell>
          <cell r="I263">
            <v>206391</v>
          </cell>
          <cell r="J263">
            <v>231901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F268">
            <v>994618.62694444449</v>
          </cell>
          <cell r="G268">
            <v>2995119.9249999998</v>
          </cell>
          <cell r="H268">
            <v>3122482.5012499997</v>
          </cell>
          <cell r="I268">
            <v>3239507.7149924999</v>
          </cell>
          <cell r="J268">
            <v>3060003.2856902052</v>
          </cell>
        </row>
        <row r="269">
          <cell r="F269">
            <v>870430.69633333338</v>
          </cell>
          <cell r="G269">
            <v>2396095.94</v>
          </cell>
          <cell r="H269">
            <v>2185737.7508750004</v>
          </cell>
          <cell r="I269">
            <v>1943704.6289955</v>
          </cell>
          <cell r="J269">
            <v>1530001.6428451026</v>
          </cell>
        </row>
        <row r="270">
          <cell r="F270">
            <v>1621958.4028749997</v>
          </cell>
          <cell r="G270">
            <v>1591279.3</v>
          </cell>
          <cell r="H270">
            <v>1641021.8333333333</v>
          </cell>
          <cell r="I270">
            <v>1657533.4333333331</v>
          </cell>
          <cell r="J270">
            <v>1676524.6333333331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F272">
            <v>2536.0339999999997</v>
          </cell>
          <cell r="G272">
            <v>7956.3965000000007</v>
          </cell>
          <cell r="H272">
            <v>8205.1091666666653</v>
          </cell>
          <cell r="I272">
            <v>8287.6671666666662</v>
          </cell>
          <cell r="J272">
            <v>8382.6231666666681</v>
          </cell>
        </row>
        <row r="273">
          <cell r="F273">
            <v>132575.66666666666</v>
          </cell>
          <cell r="G273">
            <v>566192</v>
          </cell>
          <cell r="H273">
            <v>583689</v>
          </cell>
          <cell r="I273">
            <v>610810</v>
          </cell>
          <cell r="J273">
            <v>599135</v>
          </cell>
        </row>
        <row r="274">
          <cell r="F274">
            <v>57247</v>
          </cell>
          <cell r="G274">
            <v>252404</v>
          </cell>
          <cell r="H274">
            <v>265024</v>
          </cell>
          <cell r="I274">
            <v>265024</v>
          </cell>
          <cell r="J274">
            <v>265024</v>
          </cell>
        </row>
        <row r="275">
          <cell r="F275">
            <v>24719</v>
          </cell>
          <cell r="G275">
            <v>140502</v>
          </cell>
          <cell r="H275">
            <v>140502</v>
          </cell>
          <cell r="I275">
            <v>140502</v>
          </cell>
          <cell r="J275">
            <v>140502</v>
          </cell>
        </row>
        <row r="276">
          <cell r="F276">
            <v>16257.666666666668</v>
          </cell>
          <cell r="G276">
            <v>92382</v>
          </cell>
          <cell r="H276">
            <v>92382</v>
          </cell>
          <cell r="I276">
            <v>92382</v>
          </cell>
          <cell r="J276">
            <v>92382</v>
          </cell>
        </row>
        <row r="277">
          <cell r="F277">
            <v>13939.666666666668</v>
          </cell>
          <cell r="G277">
            <v>77394</v>
          </cell>
          <cell r="H277">
            <v>77394</v>
          </cell>
          <cell r="I277">
            <v>77394</v>
          </cell>
          <cell r="J277">
            <v>77394</v>
          </cell>
        </row>
        <row r="278">
          <cell r="F278">
            <v>15871.333333333332</v>
          </cell>
          <cell r="G278">
            <v>74442</v>
          </cell>
          <cell r="H278">
            <v>82342</v>
          </cell>
          <cell r="I278">
            <v>94388</v>
          </cell>
          <cell r="J278">
            <v>108064</v>
          </cell>
        </row>
        <row r="279">
          <cell r="F279">
            <v>14595.166666666668</v>
          </cell>
          <cell r="G279">
            <v>64358</v>
          </cell>
          <cell r="H279">
            <v>69266</v>
          </cell>
          <cell r="I279">
            <v>76366</v>
          </cell>
          <cell r="J279">
            <v>84195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F291">
            <v>-301129041.14121747</v>
          </cell>
          <cell r="G291">
            <v>-320227548.56964326</v>
          </cell>
          <cell r="H291">
            <v>-335997861.13902879</v>
          </cell>
          <cell r="I291">
            <v>-353466516.74163908</v>
          </cell>
          <cell r="J291">
            <v>-199875111.66459417</v>
          </cell>
        </row>
        <row r="292">
          <cell r="F292">
            <v>-809701.39363844972</v>
          </cell>
          <cell r="G292">
            <v>-3151374.5277661849</v>
          </cell>
          <cell r="H292">
            <v>-4256742.0618934222</v>
          </cell>
          <cell r="I292">
            <v>-5206327.5824559294</v>
          </cell>
          <cell r="J292">
            <v>-5747347.4634082671</v>
          </cell>
        </row>
        <row r="293">
          <cell r="F293">
            <v>514639.49486825196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F294">
            <v>294139.37725555222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F295">
            <v>22568.725402090509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F296">
            <v>1351.5666376141571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F297">
            <v>-137483.08350328144</v>
          </cell>
          <cell r="G297">
            <v>20377.401642599238</v>
          </cell>
          <cell r="H297">
            <v>160973.05340670046</v>
          </cell>
          <cell r="I297">
            <v>12327.200722212336</v>
          </cell>
          <cell r="J297">
            <v>-382159.24745824741</v>
          </cell>
        </row>
        <row r="298">
          <cell r="F298">
            <v>-25974.376730912925</v>
          </cell>
          <cell r="G298">
            <v>953.08962734081297</v>
          </cell>
          <cell r="H298">
            <v>5822.2629202942371</v>
          </cell>
          <cell r="I298">
            <v>13522.663723502181</v>
          </cell>
          <cell r="J298">
            <v>23037.51919598729</v>
          </cell>
        </row>
        <row r="299">
          <cell r="F299">
            <v>6558.8355297070984</v>
          </cell>
          <cell r="G299">
            <v>-2036.999898762183</v>
          </cell>
          <cell r="H299">
            <v>-28850.358535560837</v>
          </cell>
          <cell r="I299">
            <v>221920.07024718821</v>
          </cell>
          <cell r="J299">
            <v>666638.45588710147</v>
          </cell>
        </row>
        <row r="300">
          <cell r="F300">
            <v>1637.613577007337</v>
          </cell>
          <cell r="G300">
            <v>-361.51806018630884</v>
          </cell>
          <cell r="H300">
            <v>-4178.5118397175165</v>
          </cell>
          <cell r="I300">
            <v>19784.910551417583</v>
          </cell>
          <cell r="J300">
            <v>60476.75429466497</v>
          </cell>
        </row>
        <row r="301">
          <cell r="F301">
            <v>831.9719160460462</v>
          </cell>
          <cell r="G301">
            <v>-267.88028333421761</v>
          </cell>
          <cell r="H301">
            <v>-6482.9857098519997</v>
          </cell>
          <cell r="I301">
            <v>17608.707079501677</v>
          </cell>
          <cell r="J301">
            <v>101628.83669580505</v>
          </cell>
        </row>
        <row r="302">
          <cell r="F302">
            <v>907.18303793448069</v>
          </cell>
          <cell r="G302">
            <v>0</v>
          </cell>
          <cell r="H302">
            <v>0</v>
          </cell>
          <cell r="I302">
            <v>-346.85824094006659</v>
          </cell>
          <cell r="J302">
            <v>-753.75748701653947</v>
          </cell>
        </row>
        <row r="303">
          <cell r="F303">
            <v>540.8789526738118</v>
          </cell>
          <cell r="G303">
            <v>305.51381085902574</v>
          </cell>
          <cell r="H303">
            <v>2264.6751058406421</v>
          </cell>
          <cell r="I303">
            <v>-8943.2374513428003</v>
          </cell>
          <cell r="J303">
            <v>-23138.237230079387</v>
          </cell>
        </row>
        <row r="304">
          <cell r="F304">
            <v>6950.7660268400241</v>
          </cell>
          <cell r="G304">
            <v>0</v>
          </cell>
          <cell r="H304">
            <v>6.3906921762408722</v>
          </cell>
          <cell r="I304">
            <v>-1220.9358943430198</v>
          </cell>
          <cell r="J304">
            <v>-2395.4150209399104</v>
          </cell>
        </row>
        <row r="305">
          <cell r="F305">
            <v>244241.59849187106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  <row r="306">
          <cell r="F306">
            <v>84128.803711057684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</row>
        <row r="307">
          <cell r="F307">
            <v>1961.4918882269531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</row>
        <row r="308">
          <cell r="F308">
            <v>9899.3471419602647</v>
          </cell>
          <cell r="G308">
            <v>-181.7888708073136</v>
          </cell>
          <cell r="H308">
            <v>-2980.2164495487818</v>
          </cell>
          <cell r="I308">
            <v>21856.63201748643</v>
          </cell>
          <cell r="J308">
            <v>79545.725545065754</v>
          </cell>
        </row>
        <row r="309">
          <cell r="F309">
            <v>-25631.222054041125</v>
          </cell>
          <cell r="G309">
            <v>953.08962734081297</v>
          </cell>
          <cell r="H309">
            <v>5822.2629202942371</v>
          </cell>
          <cell r="I309">
            <v>13522.663723502181</v>
          </cell>
          <cell r="J309">
            <v>23037.51919598729</v>
          </cell>
        </row>
        <row r="310">
          <cell r="F310">
            <v>7861.7256222867099</v>
          </cell>
          <cell r="G310">
            <v>-2036.999898762183</v>
          </cell>
          <cell r="H310">
            <v>-28850.358535560837</v>
          </cell>
          <cell r="I310">
            <v>221920.07024718821</v>
          </cell>
          <cell r="J310">
            <v>666638.45588710147</v>
          </cell>
        </row>
        <row r="311">
          <cell r="F311">
            <v>1504.1882805458249</v>
          </cell>
          <cell r="G311">
            <v>-361.51806018630884</v>
          </cell>
          <cell r="H311">
            <v>-4178.5118397175165</v>
          </cell>
          <cell r="I311">
            <v>19784.910551417583</v>
          </cell>
          <cell r="J311">
            <v>60476.75429466497</v>
          </cell>
        </row>
        <row r="312">
          <cell r="F312">
            <v>222.04666543324981</v>
          </cell>
          <cell r="G312">
            <v>-267.88028333421761</v>
          </cell>
          <cell r="H312">
            <v>-6482.9857098519997</v>
          </cell>
          <cell r="I312">
            <v>17608.707079501677</v>
          </cell>
          <cell r="J312">
            <v>101628.83669580505</v>
          </cell>
        </row>
        <row r="313">
          <cell r="F313">
            <v>-1517.5547563235723</v>
          </cell>
          <cell r="G313">
            <v>0</v>
          </cell>
          <cell r="H313">
            <v>0</v>
          </cell>
          <cell r="I313">
            <v>-346.85824094006659</v>
          </cell>
          <cell r="J313">
            <v>-753.75748701653947</v>
          </cell>
        </row>
        <row r="314">
          <cell r="F314">
            <v>540.8789526738118</v>
          </cell>
          <cell r="G314">
            <v>305.51381085902574</v>
          </cell>
          <cell r="H314">
            <v>2264.6751058406421</v>
          </cell>
          <cell r="I314">
            <v>-8943.2374513428003</v>
          </cell>
          <cell r="J314">
            <v>-23138.237230079387</v>
          </cell>
        </row>
        <row r="315">
          <cell r="F315">
            <v>-1567227.0975648877</v>
          </cell>
          <cell r="G315">
            <v>-3158332.4166047019</v>
          </cell>
          <cell r="H315">
            <v>-4374296.5879333038</v>
          </cell>
          <cell r="I315">
            <v>-5468980.1031931248</v>
          </cell>
          <cell r="J315">
            <v>-6179668.6736554047</v>
          </cell>
        </row>
        <row r="316">
          <cell r="F316">
            <v>170906417.98265111</v>
          </cell>
          <cell r="G316">
            <v>14752817.650675273</v>
          </cell>
          <cell r="H316">
            <v>9775988.7540505752</v>
          </cell>
          <cell r="I316">
            <v>11020395.012862625</v>
          </cell>
          <cell r="J316">
            <v>41015453.616369218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</sheetData>
      <sheetData sheetId="4">
        <row r="5">
          <cell r="F5">
            <v>0</v>
          </cell>
          <cell r="G5">
            <v>50730341.369048238</v>
          </cell>
          <cell r="H5">
            <v>14807903.144970985</v>
          </cell>
          <cell r="I5">
            <v>16152595.52784496</v>
          </cell>
          <cell r="J5">
            <v>10639545.599839782</v>
          </cell>
          <cell r="K5">
            <v>14641390.568454364</v>
          </cell>
          <cell r="L5">
            <v>11052227.929970937</v>
          </cell>
          <cell r="M5">
            <v>17032949.121892121</v>
          </cell>
          <cell r="N5">
            <v>12019245.898850828</v>
          </cell>
          <cell r="O5">
            <v>-94721988.559943289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EG5">
            <v>0</v>
          </cell>
          <cell r="EH5">
            <v>52866.666666666664</v>
          </cell>
          <cell r="EI5">
            <v>56085</v>
          </cell>
          <cell r="EJ5">
            <v>59085</v>
          </cell>
          <cell r="EK5">
            <v>62085</v>
          </cell>
          <cell r="EL5">
            <v>65085</v>
          </cell>
          <cell r="EM5">
            <v>68085</v>
          </cell>
          <cell r="EN5">
            <v>71085</v>
          </cell>
          <cell r="EO5">
            <v>74085</v>
          </cell>
          <cell r="EP5">
            <v>0</v>
          </cell>
        </row>
        <row r="6">
          <cell r="F6">
            <v>0</v>
          </cell>
          <cell r="G6">
            <v>22772014.668876395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EG6">
            <v>0</v>
          </cell>
          <cell r="EH6">
            <v>25666.666666666668</v>
          </cell>
          <cell r="EI6">
            <v>26666.666666666668</v>
          </cell>
          <cell r="EJ6">
            <v>27666.666666666668</v>
          </cell>
          <cell r="EK6">
            <v>28666.666666666668</v>
          </cell>
          <cell r="EL6">
            <v>29666.666666666668</v>
          </cell>
          <cell r="EM6">
            <v>30666.666666666668</v>
          </cell>
          <cell r="EN6">
            <v>31666.666666666668</v>
          </cell>
          <cell r="EO6">
            <v>32666.666666666668</v>
          </cell>
          <cell r="EP6">
            <v>0</v>
          </cell>
        </row>
        <row r="7">
          <cell r="F7">
            <v>0</v>
          </cell>
          <cell r="G7">
            <v>0</v>
          </cell>
          <cell r="H7">
            <v>19889235.284289051</v>
          </cell>
          <cell r="I7">
            <v>16806658.483023833</v>
          </cell>
          <cell r="J7">
            <v>14302571.663509374</v>
          </cell>
          <cell r="K7">
            <v>11633069.785879064</v>
          </cell>
          <cell r="L7">
            <v>9431593.9557739347</v>
          </cell>
          <cell r="M7">
            <v>6457028.4819505196</v>
          </cell>
          <cell r="N7">
            <v>5112385.5495956289</v>
          </cell>
          <cell r="O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EG7">
            <v>0</v>
          </cell>
          <cell r="EH7">
            <v>31982.333333333332</v>
          </cell>
          <cell r="EI7">
            <v>34133.833333333336</v>
          </cell>
          <cell r="EJ7">
            <v>36383</v>
          </cell>
          <cell r="EK7">
            <v>38640.166666666664</v>
          </cell>
          <cell r="EL7">
            <v>40933.333333333336</v>
          </cell>
          <cell r="EM7">
            <v>43193.333333333336</v>
          </cell>
          <cell r="EN7">
            <v>45283.333333333336</v>
          </cell>
          <cell r="EO7">
            <v>47373.333333333336</v>
          </cell>
          <cell r="EP7">
            <v>0</v>
          </cell>
        </row>
        <row r="8">
          <cell r="F8">
            <v>0</v>
          </cell>
          <cell r="G8">
            <v>2221894.1971001113</v>
          </cell>
          <cell r="H8">
            <v>3466399.3330641552</v>
          </cell>
          <cell r="I8">
            <v>3219360.1237599584</v>
          </cell>
          <cell r="J8">
            <v>2970417.2881690506</v>
          </cell>
          <cell r="K8">
            <v>2806673.9250885546</v>
          </cell>
          <cell r="L8">
            <v>2641739.3627561769</v>
          </cell>
          <cell r="M8">
            <v>2122125.4242668585</v>
          </cell>
          <cell r="N8">
            <v>1597989.4273156668</v>
          </cell>
          <cell r="O8">
            <v>1320766.4879631484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</row>
        <row r="9">
          <cell r="F9">
            <v>0</v>
          </cell>
          <cell r="G9">
            <v>1753980.418017891</v>
          </cell>
          <cell r="H9">
            <v>2736288.3541905838</v>
          </cell>
          <cell r="I9">
            <v>2567293.5424141148</v>
          </cell>
          <cell r="J9">
            <v>2397038.854453709</v>
          </cell>
          <cell r="K9">
            <v>2263359.6424716576</v>
          </cell>
          <cell r="L9">
            <v>2128709.0079718097</v>
          </cell>
          <cell r="M9">
            <v>1718428.7949794477</v>
          </cell>
          <cell r="N9">
            <v>1304601.2813921629</v>
          </cell>
          <cell r="O9">
            <v>1080644.9597562179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389402.83456980926</v>
          </cell>
          <cell r="J10">
            <v>0</v>
          </cell>
          <cell r="K10">
            <v>316940.39414040744</v>
          </cell>
          <cell r="L10">
            <v>0</v>
          </cell>
          <cell r="M10">
            <v>1201829.7270608752</v>
          </cell>
          <cell r="N10">
            <v>0</v>
          </cell>
          <cell r="O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F11">
            <v>0</v>
          </cell>
          <cell r="G11">
            <v>1162646.7488072559</v>
          </cell>
          <cell r="H11">
            <v>0</v>
          </cell>
          <cell r="I11">
            <v>177403.03511054427</v>
          </cell>
          <cell r="J11">
            <v>356450.07458028605</v>
          </cell>
          <cell r="K11">
            <v>310505.35363928997</v>
          </cell>
          <cell r="L11">
            <v>264173.93627561769</v>
          </cell>
          <cell r="M11">
            <v>212212.54242668583</v>
          </cell>
          <cell r="N11">
            <v>159798.94273156667</v>
          </cell>
          <cell r="O11">
            <v>132076.64879631484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EG11">
            <v>0</v>
          </cell>
          <cell r="EH11">
            <v>49810.666666666664</v>
          </cell>
          <cell r="EI11">
            <v>54162</v>
          </cell>
          <cell r="EJ11">
            <v>57880</v>
          </cell>
          <cell r="EK11">
            <v>61116</v>
          </cell>
          <cell r="EL11">
            <v>64431</v>
          </cell>
          <cell r="EM11">
            <v>67650</v>
          </cell>
          <cell r="EN11">
            <v>70836</v>
          </cell>
          <cell r="EO11">
            <v>73908</v>
          </cell>
          <cell r="EP11">
            <v>0</v>
          </cell>
        </row>
        <row r="12">
          <cell r="F12">
            <v>0</v>
          </cell>
          <cell r="G12">
            <v>17501299.05403984</v>
          </cell>
          <cell r="H12">
            <v>891571.61206419289</v>
          </cell>
          <cell r="I12">
            <v>4914836.2189758709</v>
          </cell>
          <cell r="J12">
            <v>330573.76802370645</v>
          </cell>
          <cell r="K12">
            <v>3616646.6125868722</v>
          </cell>
          <cell r="L12">
            <v>268875.02874227974</v>
          </cell>
          <cell r="M12">
            <v>3241419.2240651622</v>
          </cell>
          <cell r="N12">
            <v>304278.55537554808</v>
          </cell>
          <cell r="O12">
            <v>-20152057.309164677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EG12">
            <v>0</v>
          </cell>
          <cell r="EH12">
            <v>22024.666666666664</v>
          </cell>
          <cell r="EI12">
            <v>26376</v>
          </cell>
          <cell r="EJ12">
            <v>30094</v>
          </cell>
          <cell r="EK12">
            <v>33330</v>
          </cell>
          <cell r="EL12">
            <v>36645</v>
          </cell>
          <cell r="EM12">
            <v>39864</v>
          </cell>
          <cell r="EN12">
            <v>43050</v>
          </cell>
          <cell r="EO12">
            <v>46122</v>
          </cell>
          <cell r="EP12">
            <v>0</v>
          </cell>
        </row>
        <row r="13">
          <cell r="F13">
            <v>0</v>
          </cell>
          <cell r="G13">
            <v>8130989.9036227576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EG13">
            <v>0</v>
          </cell>
          <cell r="EH13">
            <v>24326</v>
          </cell>
          <cell r="EI13">
            <v>24326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0</v>
          </cell>
        </row>
        <row r="14">
          <cell r="F14">
            <v>0</v>
          </cell>
          <cell r="G14">
            <v>0</v>
          </cell>
          <cell r="H14">
            <v>7239553.8848715629</v>
          </cell>
          <cell r="I14">
            <v>6329631.8159536337</v>
          </cell>
          <cell r="J14">
            <v>5525405.3816435775</v>
          </cell>
          <cell r="K14">
            <v>4710854.080161457</v>
          </cell>
          <cell r="L14">
            <v>3930642.0633748765</v>
          </cell>
          <cell r="M14">
            <v>3022794.6560677062</v>
          </cell>
          <cell r="N14">
            <v>2341287.2103341445</v>
          </cell>
          <cell r="O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EG14">
            <v>0</v>
          </cell>
          <cell r="EH14">
            <v>3460</v>
          </cell>
          <cell r="EI14">
            <v>3460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0</v>
          </cell>
        </row>
        <row r="15">
          <cell r="F15">
            <v>0</v>
          </cell>
          <cell r="G15">
            <v>773489.96551164158</v>
          </cell>
          <cell r="H15">
            <v>1700480.4328052888</v>
          </cell>
          <cell r="I15">
            <v>1561149.5601440717</v>
          </cell>
          <cell r="J15">
            <v>1391719.0882247402</v>
          </cell>
          <cell r="K15">
            <v>1368435.9695752042</v>
          </cell>
          <cell r="L15">
            <v>1340739.8275278728</v>
          </cell>
          <cell r="M15">
            <v>1268719.4349880195</v>
          </cell>
          <cell r="N15">
            <v>1181382.5809389632</v>
          </cell>
          <cell r="O15">
            <v>1040864.5265692292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F16">
            <v>0</v>
          </cell>
          <cell r="G16">
            <v>396775.53679610451</v>
          </cell>
          <cell r="H16">
            <v>872188.28223686537</v>
          </cell>
          <cell r="I16">
            <v>834705.03194306511</v>
          </cell>
          <cell r="J16">
            <v>789356.98170274321</v>
          </cell>
          <cell r="K16">
            <v>780150.46722908132</v>
          </cell>
          <cell r="L16">
            <v>769333.31442206365</v>
          </cell>
          <cell r="M16">
            <v>726572.73627257941</v>
          </cell>
          <cell r="N16">
            <v>674714.08207891288</v>
          </cell>
          <cell r="O16">
            <v>596906.60564892273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58227.774031488858</v>
          </cell>
          <cell r="J17">
            <v>0</v>
          </cell>
          <cell r="K17">
            <v>21543.575926302721</v>
          </cell>
          <cell r="L17">
            <v>0</v>
          </cell>
          <cell r="M17">
            <v>172504.27875552679</v>
          </cell>
          <cell r="N17">
            <v>0</v>
          </cell>
          <cell r="O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F18">
            <v>0</v>
          </cell>
          <cell r="G18">
            <v>852068.1864426526</v>
          </cell>
          <cell r="H18">
            <v>0</v>
          </cell>
          <cell r="I18">
            <v>125202.91559703415</v>
          </cell>
          <cell r="J18">
            <v>278343.81764494802</v>
          </cell>
          <cell r="K18">
            <v>261625.56461353664</v>
          </cell>
          <cell r="L18">
            <v>241333.16895501703</v>
          </cell>
          <cell r="M18">
            <v>228369.49829784347</v>
          </cell>
          <cell r="N18">
            <v>212648.86456901336</v>
          </cell>
          <cell r="O18">
            <v>187355.61478246126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F19">
            <v>0</v>
          </cell>
          <cell r="G19">
            <v>132266.7841024907</v>
          </cell>
          <cell r="H19">
            <v>290782.15400970442</v>
          </cell>
          <cell r="I19">
            <v>280102.88092232484</v>
          </cell>
          <cell r="J19">
            <v>267210.06493915006</v>
          </cell>
          <cell r="K19">
            <v>248265.75099663416</v>
          </cell>
          <cell r="L19">
            <v>225244.29102468258</v>
          </cell>
          <cell r="M19">
            <v>200391.30667032214</v>
          </cell>
          <cell r="N19">
            <v>170119.09165521068</v>
          </cell>
          <cell r="O19">
            <v>140496.23565591019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</row>
        <row r="20">
          <cell r="F20">
            <v>0</v>
          </cell>
          <cell r="G20">
            <v>1083650.9264593781</v>
          </cell>
          <cell r="H20">
            <v>10004.180888988081</v>
          </cell>
          <cell r="I20">
            <v>571864.29332074139</v>
          </cell>
          <cell r="J20">
            <v>11249.154866573535</v>
          </cell>
          <cell r="K20">
            <v>559721.86362878978</v>
          </cell>
          <cell r="L20">
            <v>13134.458424638682</v>
          </cell>
          <cell r="M20">
            <v>545619.44843840285</v>
          </cell>
          <cell r="N20">
            <v>15181.69860592775</v>
          </cell>
          <cell r="O20">
            <v>-1826252.8366563888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</row>
        <row r="21">
          <cell r="F21">
            <v>0</v>
          </cell>
          <cell r="G21">
            <v>460329.5899427798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</row>
        <row r="22">
          <cell r="F22">
            <v>0</v>
          </cell>
          <cell r="G22">
            <v>0</v>
          </cell>
          <cell r="H22">
            <v>337221.0210352001</v>
          </cell>
          <cell r="I22">
            <v>216867.008104821</v>
          </cell>
          <cell r="J22">
            <v>161095.36981667217</v>
          </cell>
          <cell r="K22">
            <v>95765.418741775517</v>
          </cell>
          <cell r="L22">
            <v>71773.036074081945</v>
          </cell>
          <cell r="M22">
            <v>40237.349088569179</v>
          </cell>
          <cell r="N22">
            <v>28579.338228586385</v>
          </cell>
          <cell r="O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</row>
        <row r="23">
          <cell r="F23">
            <v>0</v>
          </cell>
          <cell r="G23">
            <v>120950.00573835081</v>
          </cell>
          <cell r="H23">
            <v>237975.01705363093</v>
          </cell>
          <cell r="I23">
            <v>177095.29821948864</v>
          </cell>
          <cell r="J23">
            <v>115569.33502430435</v>
          </cell>
          <cell r="K23">
            <v>78604.979495341991</v>
          </cell>
          <cell r="L23">
            <v>41246.30686194064</v>
          </cell>
          <cell r="M23">
            <v>30028.137175708311</v>
          </cell>
          <cell r="N23">
            <v>18690.586483044244</v>
          </cell>
          <cell r="O23">
            <v>13523.270995941728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</row>
        <row r="24">
          <cell r="F24">
            <v>0</v>
          </cell>
          <cell r="G24">
            <v>61710.883178833479</v>
          </cell>
          <cell r="H24">
            <v>121419.34807054503</v>
          </cell>
          <cell r="I24">
            <v>88371.223533242941</v>
          </cell>
          <cell r="J24">
            <v>54971.987405105072</v>
          </cell>
          <cell r="K24">
            <v>39387.934884093804</v>
          </cell>
          <cell r="L24">
            <v>23638.172430995764</v>
          </cell>
          <cell r="M24">
            <v>17607.030104123736</v>
          </cell>
          <cell r="N24">
            <v>11511.902769239743</v>
          </cell>
          <cell r="O24">
            <v>8350.5783669026678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30841.227051232803</v>
          </cell>
          <cell r="J25">
            <v>0</v>
          </cell>
          <cell r="K25">
            <v>25413.466121379173</v>
          </cell>
          <cell r="L25">
            <v>0</v>
          </cell>
          <cell r="M25">
            <v>13697.188655326603</v>
          </cell>
          <cell r="N25">
            <v>0</v>
          </cell>
          <cell r="O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</row>
        <row r="26">
          <cell r="F26">
            <v>0</v>
          </cell>
          <cell r="G26">
            <v>23887.375710611541</v>
          </cell>
          <cell r="H26">
            <v>0</v>
          </cell>
          <cell r="I26">
            <v>11494.488012127096</v>
          </cell>
          <cell r="J26">
            <v>23113.867004860869</v>
          </cell>
          <cell r="K26">
            <v>15310.763165235294</v>
          </cell>
          <cell r="L26">
            <v>7424.335235149314</v>
          </cell>
          <cell r="M26">
            <v>5405.0646916274945</v>
          </cell>
          <cell r="N26">
            <v>3364.3055669479636</v>
          </cell>
          <cell r="O26">
            <v>2434.1887792695106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</row>
        <row r="27">
          <cell r="F27">
            <v>0</v>
          </cell>
          <cell r="G27">
            <v>21771.001032903147</v>
          </cell>
          <cell r="H27">
            <v>42835.503069653561</v>
          </cell>
          <cell r="I27">
            <v>37164.618165086424</v>
          </cell>
          <cell r="J27">
            <v>31434.859126610783</v>
          </cell>
          <cell r="K27">
            <v>20683.158775216747</v>
          </cell>
          <cell r="L27">
            <v>9816.6210331418733</v>
          </cell>
          <cell r="M27">
            <v>6830.6756425476451</v>
          </cell>
          <cell r="N27">
            <v>3812.879642541026</v>
          </cell>
          <cell r="O27">
            <v>2618.3954547640606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</row>
        <row r="28">
          <cell r="F28">
            <v>0</v>
          </cell>
          <cell r="G28">
            <v>-1450553.3862978222</v>
          </cell>
          <cell r="H28">
            <v>-37952.191949155713</v>
          </cell>
          <cell r="I28">
            <v>111187.11897952302</v>
          </cell>
          <cell r="J28">
            <v>2117.5783506203197</v>
          </cell>
          <cell r="K28">
            <v>416585.73353211198</v>
          </cell>
          <cell r="L28">
            <v>7933.9489911667761</v>
          </cell>
          <cell r="M28">
            <v>69295.54328623983</v>
          </cell>
          <cell r="N28">
            <v>-1043.4891735812043</v>
          </cell>
          <cell r="O28">
            <v>199047.25444165018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</row>
        <row r="29">
          <cell r="F29">
            <v>0</v>
          </cell>
          <cell r="G29">
            <v>-702323.16578523442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</row>
        <row r="30">
          <cell r="F30">
            <v>0</v>
          </cell>
          <cell r="G30">
            <v>0</v>
          </cell>
          <cell r="H30">
            <v>-617698.84749423969</v>
          </cell>
          <cell r="I30">
            <v>-533501.25591779524</v>
          </cell>
          <cell r="J30">
            <v>-449728.76575917611</v>
          </cell>
          <cell r="K30">
            <v>-366379.75723399548</v>
          </cell>
          <cell r="L30">
            <v>-283452.61605266493</v>
          </cell>
          <cell r="M30">
            <v>-212899.11468280089</v>
          </cell>
          <cell r="N30">
            <v>-169460.63334848895</v>
          </cell>
          <cell r="O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EG30">
            <v>0</v>
          </cell>
          <cell r="EH30">
            <v>16822.953481286186</v>
          </cell>
          <cell r="EI30">
            <v>4510.8760972609516</v>
          </cell>
          <cell r="EJ30">
            <v>5363.291975273024</v>
          </cell>
          <cell r="EK30">
            <v>3509.0074027025148</v>
          </cell>
          <cell r="EL30">
            <v>4920.7299170992592</v>
          </cell>
          <cell r="EM30">
            <v>3631.2048308119638</v>
          </cell>
          <cell r="EN30">
            <v>5773.4101502330232</v>
          </cell>
          <cell r="EO30">
            <v>3933.6083149020174</v>
          </cell>
          <cell r="EP30">
            <v>-42944.234091637947</v>
          </cell>
        </row>
        <row r="31">
          <cell r="F31">
            <v>0</v>
          </cell>
          <cell r="G31">
            <v>-100462.2740161375</v>
          </cell>
          <cell r="H31">
            <v>-180849.27503237361</v>
          </cell>
          <cell r="I31">
            <v>-180388.42644945721</v>
          </cell>
          <cell r="J31">
            <v>-179928.75222245872</v>
          </cell>
          <cell r="K31">
            <v>-179470.24935882934</v>
          </cell>
          <cell r="L31">
            <v>-179012.91487364628</v>
          </cell>
          <cell r="M31">
            <v>-145393.72998490094</v>
          </cell>
          <cell r="N31">
            <v>-88343.61135853939</v>
          </cell>
          <cell r="O31">
            <v>-88118.49003528824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EG31">
            <v>0</v>
          </cell>
          <cell r="EH31">
            <v>12765.595638607991</v>
          </cell>
          <cell r="EI31">
            <v>60.094896726220419</v>
          </cell>
          <cell r="EJ31">
            <v>3677.6667878786184</v>
          </cell>
          <cell r="EK31">
            <v>69.114167711605035</v>
          </cell>
          <cell r="EL31">
            <v>2706.1551071456634</v>
          </cell>
          <cell r="EM31">
            <v>69.256856645399765</v>
          </cell>
          <cell r="EN31">
            <v>2435.8798985877061</v>
          </cell>
          <cell r="EO31">
            <v>96.977295263489651</v>
          </cell>
          <cell r="EP31">
            <v>-21439.846925521495</v>
          </cell>
        </row>
        <row r="32">
          <cell r="F32">
            <v>0</v>
          </cell>
          <cell r="G32">
            <v>-46071.707177860888</v>
          </cell>
          <cell r="H32">
            <v>-82922.75777082087</v>
          </cell>
          <cell r="I32">
            <v>-82711.450120273978</v>
          </cell>
          <cell r="J32">
            <v>-82500.680933767348</v>
          </cell>
          <cell r="K32">
            <v>-82290.44883916172</v>
          </cell>
          <cell r="L32">
            <v>-82080.752467814411</v>
          </cell>
          <cell r="M32">
            <v>-67563.755383043317</v>
          </cell>
          <cell r="N32">
            <v>-42941.601178261531</v>
          </cell>
          <cell r="O32">
            <v>-42832.175381295419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EG32">
            <v>0</v>
          </cell>
          <cell r="EH32">
            <v>1489.7033893816597</v>
          </cell>
          <cell r="EI32">
            <v>14.291686978036314</v>
          </cell>
          <cell r="EJ32">
            <v>816.95512416078566</v>
          </cell>
          <cell r="EK32">
            <v>16.070223486324188</v>
          </cell>
          <cell r="EL32">
            <v>799.61215225821616</v>
          </cell>
          <cell r="EM32">
            <v>18.763313265001724</v>
          </cell>
          <cell r="EN32">
            <v>779.46716066888155</v>
          </cell>
          <cell r="EO32">
            <v>21.687423204472289</v>
          </cell>
          <cell r="EP32">
            <v>-2680.5424051266141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-2352.456910195398</v>
          </cell>
          <cell r="N33">
            <v>0</v>
          </cell>
          <cell r="O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EG33">
            <v>0</v>
          </cell>
          <cell r="EH33">
            <v>-2149.4880826325852</v>
          </cell>
          <cell r="EI33">
            <v>3.3616778997529795E-2</v>
          </cell>
          <cell r="EJ33">
            <v>161.86513976551282</v>
          </cell>
          <cell r="EK33">
            <v>-1.2864282089839474E-3</v>
          </cell>
          <cell r="EL33">
            <v>606.46150919111221</v>
          </cell>
          <cell r="EM33">
            <v>-4.8198716179156387E-3</v>
          </cell>
          <cell r="EN33">
            <v>99.240913400113911</v>
          </cell>
          <cell r="EO33">
            <v>-1.7379779343659238</v>
          </cell>
          <cell r="EP33">
            <v>288.67905353544091</v>
          </cell>
        </row>
        <row r="34">
          <cell r="F34">
            <v>0</v>
          </cell>
          <cell r="G34">
            <v>-90606.018285260623</v>
          </cell>
          <cell r="H34">
            <v>0</v>
          </cell>
          <cell r="I34">
            <v>-6647.4740009669194</v>
          </cell>
          <cell r="J34">
            <v>-17992.875222245872</v>
          </cell>
          <cell r="K34">
            <v>-17285.661100052737</v>
          </cell>
          <cell r="L34">
            <v>-16111.162338628164</v>
          </cell>
          <cell r="M34">
            <v>-17001.843728947933</v>
          </cell>
          <cell r="N34">
            <v>-18552.158385293274</v>
          </cell>
          <cell r="O34">
            <v>-14283.703267858564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EG34">
            <v>0</v>
          </cell>
          <cell r="EH34">
            <v>-2562.6347372991263</v>
          </cell>
          <cell r="EI34">
            <v>0.10570716366381694</v>
          </cell>
          <cell r="EJ34">
            <v>1400.6118231999399</v>
          </cell>
          <cell r="EK34">
            <v>-2.691592600136743</v>
          </cell>
          <cell r="EL34">
            <v>587.69709600888939</v>
          </cell>
          <cell r="EM34">
            <v>-3.6526505455413174</v>
          </cell>
          <cell r="EN34">
            <v>143.04549600763079</v>
          </cell>
          <cell r="EO34">
            <v>-10.404775652411463</v>
          </cell>
          <cell r="EP34">
            <v>-131.42693320328948</v>
          </cell>
        </row>
        <row r="35">
          <cell r="F35">
            <v>0</v>
          </cell>
          <cell r="G35">
            <v>-12658.246526033325</v>
          </cell>
          <cell r="H35">
            <v>-22787.00865407908</v>
          </cell>
          <cell r="I35">
            <v>-23925.487052805656</v>
          </cell>
          <cell r="J35">
            <v>-25909.740320034052</v>
          </cell>
          <cell r="K35">
            <v>-24653.261003177067</v>
          </cell>
          <cell r="L35">
            <v>-22555.62727407943</v>
          </cell>
          <cell r="M35">
            <v>-17536.328372036147</v>
          </cell>
          <cell r="N35">
            <v>-9011.0483585710208</v>
          </cell>
          <cell r="O35">
            <v>-8436.0855691964534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EG35">
            <v>0</v>
          </cell>
          <cell r="EH35">
            <v>-415.34509453851228</v>
          </cell>
          <cell r="EI35">
            <v>-2.8875559895946701E-7</v>
          </cell>
          <cell r="EJ35">
            <v>148.57695860972845</v>
          </cell>
          <cell r="EK35">
            <v>1.6095085744929062E-5</v>
          </cell>
          <cell r="EL35">
            <v>90.147572889391043</v>
          </cell>
          <cell r="EM35">
            <v>-2.023440203289925E-4</v>
          </cell>
          <cell r="EN35">
            <v>36.472419230208395</v>
          </cell>
          <cell r="EO35">
            <v>-5.4372461022630632E-4</v>
          </cell>
          <cell r="EP35">
            <v>-6.7182004657277528</v>
          </cell>
        </row>
        <row r="36">
          <cell r="F36">
            <v>0</v>
          </cell>
          <cell r="G36">
            <v>-7820894.3262766805</v>
          </cell>
          <cell r="H36">
            <v>-543304.93871624023</v>
          </cell>
          <cell r="I36">
            <v>4472977.8331386149</v>
          </cell>
          <cell r="J36">
            <v>140158.90618066597</v>
          </cell>
          <cell r="K36">
            <v>1884112.5421859731</v>
          </cell>
          <cell r="L36">
            <v>43234.432955442753</v>
          </cell>
          <cell r="M36">
            <v>484002.13783213764</v>
          </cell>
          <cell r="N36">
            <v>-46287.133558212859</v>
          </cell>
          <cell r="O36">
            <v>-360608.67402586463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EG36">
            <v>0</v>
          </cell>
          <cell r="EH36">
            <v>16124.192036840603</v>
          </cell>
          <cell r="EI36">
            <v>4935.9677149903282</v>
          </cell>
          <cell r="EJ36">
            <v>5384.1985092816531</v>
          </cell>
          <cell r="EK36">
            <v>3546.5151999465943</v>
          </cell>
          <cell r="EL36">
            <v>4880.4635228181214</v>
          </cell>
          <cell r="EM36">
            <v>3684.0759766569786</v>
          </cell>
          <cell r="EN36">
            <v>5677.6497072973734</v>
          </cell>
          <cell r="EO36">
            <v>4006.4152996169423</v>
          </cell>
          <cell r="EP36">
            <v>-31573.996186647764</v>
          </cell>
        </row>
        <row r="37">
          <cell r="F37">
            <v>0</v>
          </cell>
          <cell r="G37">
            <v>-442980.15445273987</v>
          </cell>
          <cell r="H37">
            <v>-407523.59975649533</v>
          </cell>
          <cell r="I37">
            <v>-97081.063710766728</v>
          </cell>
          <cell r="J37">
            <v>-68407.367527116192</v>
          </cell>
          <cell r="K37">
            <v>56773.761980930642</v>
          </cell>
          <cell r="L37">
            <v>65504.010290736893</v>
          </cell>
          <cell r="M37">
            <v>96181.53335482371</v>
          </cell>
          <cell r="N37">
            <v>88936.710131986853</v>
          </cell>
          <cell r="O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EG37">
            <v>0</v>
          </cell>
          <cell r="EH37">
            <v>12184.569003128441</v>
          </cell>
          <cell r="EI37">
            <v>636.8368657601377</v>
          </cell>
          <cell r="EJ37">
            <v>3510.5972992684792</v>
          </cell>
          <cell r="EK37">
            <v>236.12412001693315</v>
          </cell>
          <cell r="EL37">
            <v>2583.3190089906229</v>
          </cell>
          <cell r="EM37">
            <v>192.05359195877122</v>
          </cell>
          <cell r="EN37">
            <v>2315.2994457608302</v>
          </cell>
          <cell r="EO37">
            <v>217.34182526824858</v>
          </cell>
          <cell r="EP37">
            <v>-14394.326649403338</v>
          </cell>
        </row>
        <row r="38">
          <cell r="F38">
            <v>0</v>
          </cell>
          <cell r="G38">
            <v>-394841.96570895298</v>
          </cell>
          <cell r="H38">
            <v>-367848.21094932168</v>
          </cell>
          <cell r="I38">
            <v>-94151.481162394412</v>
          </cell>
          <cell r="J38">
            <v>-68096.198880137395</v>
          </cell>
          <cell r="K38">
            <v>44343.849339386004</v>
          </cell>
          <cell r="L38">
            <v>54816.435389838436</v>
          </cell>
          <cell r="M38">
            <v>84764.276975540648</v>
          </cell>
          <cell r="N38">
            <v>80447.449194539731</v>
          </cell>
          <cell r="O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EG38">
            <v>0</v>
          </cell>
          <cell r="EH38">
            <v>1489.6540830553529</v>
          </cell>
          <cell r="EI38">
            <v>14.291686984268686</v>
          </cell>
          <cell r="EJ38">
            <v>816.94899045820216</v>
          </cell>
          <cell r="EK38">
            <v>16.070221237962194</v>
          </cell>
          <cell r="EL38">
            <v>799.60266232684262</v>
          </cell>
          <cell r="EM38">
            <v>18.763512035198119</v>
          </cell>
          <cell r="EN38">
            <v>779.45635491200414</v>
          </cell>
          <cell r="EO38">
            <v>21.688140865611068</v>
          </cell>
          <cell r="EP38">
            <v>-2608.9326237948412</v>
          </cell>
        </row>
        <row r="39">
          <cell r="F39">
            <v>0</v>
          </cell>
          <cell r="G39">
            <v>-38971.507940889394</v>
          </cell>
          <cell r="H39">
            <v>-66184.387187221524</v>
          </cell>
          <cell r="I39">
            <v>-46887.564302522253</v>
          </cell>
          <cell r="J39">
            <v>-20224.271370911843</v>
          </cell>
          <cell r="K39">
            <v>-14251.622385222414</v>
          </cell>
          <cell r="L39">
            <v>-6352.3640696274551</v>
          </cell>
          <cell r="M39">
            <v>-2410.379001206652</v>
          </cell>
          <cell r="N39">
            <v>4270.4510531497472</v>
          </cell>
          <cell r="O39">
            <v>5166.7334954391426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EG39">
            <v>0</v>
          </cell>
          <cell r="EH39">
            <v>-2095.2370487750286</v>
          </cell>
          <cell r="EI39">
            <v>-54.217417070222474</v>
          </cell>
          <cell r="EJ39">
            <v>158.83874139931862</v>
          </cell>
          <cell r="EK39">
            <v>3.0251119294575992</v>
          </cell>
          <cell r="EL39">
            <v>595.12247647444576</v>
          </cell>
          <cell r="EM39">
            <v>11.334212844523968</v>
          </cell>
          <cell r="EN39">
            <v>98.993633266056889</v>
          </cell>
          <cell r="EO39">
            <v>-1.4906988194017206</v>
          </cell>
          <cell r="EP39">
            <v>284.35322063092883</v>
          </cell>
        </row>
        <row r="40">
          <cell r="F40">
            <v>0</v>
          </cell>
          <cell r="G40">
            <v>-31705.124801298538</v>
          </cell>
          <cell r="H40">
            <v>-54198.24370597722</v>
          </cell>
          <cell r="I40">
            <v>-40365.370684538131</v>
          </cell>
          <cell r="J40">
            <v>-18553.684583904218</v>
          </cell>
          <cell r="K40">
            <v>-14385.028462514525</v>
          </cell>
          <cell r="L40">
            <v>-8356.9354861205738</v>
          </cell>
          <cell r="M40">
            <v>-4963.8832113043727</v>
          </cell>
          <cell r="N40">
            <v>1690.5298547420243</v>
          </cell>
          <cell r="O40">
            <v>2903.4572564790906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EG40">
            <v>0</v>
          </cell>
          <cell r="EH40">
            <v>-2397.8911698137972</v>
          </cell>
          <cell r="EI40">
            <v>-164.63786021704249</v>
          </cell>
          <cell r="EJ40">
            <v>1355.4478282238224</v>
          </cell>
          <cell r="EK40">
            <v>42.472395812323029</v>
          </cell>
          <cell r="EL40">
            <v>570.94319460181009</v>
          </cell>
          <cell r="EM40">
            <v>13.101343319831141</v>
          </cell>
          <cell r="EN40">
            <v>146.6673144945872</v>
          </cell>
          <cell r="EO40">
            <v>-14.02640410854935</v>
          </cell>
          <cell r="EP40">
            <v>-109.27535576541351</v>
          </cell>
        </row>
        <row r="41">
          <cell r="F41">
            <v>0</v>
          </cell>
          <cell r="G41">
            <v>-48138.188743786923</v>
          </cell>
          <cell r="H41">
            <v>-39675.388807173615</v>
          </cell>
          <cell r="I41">
            <v>-2929.5825483722874</v>
          </cell>
          <cell r="J41">
            <v>-311.16864697880538</v>
          </cell>
          <cell r="K41">
            <v>12429.912641544606</v>
          </cell>
          <cell r="L41">
            <v>10687.574900898493</v>
          </cell>
          <cell r="M41">
            <v>11417.25637928303</v>
          </cell>
          <cell r="N41">
            <v>8489.2609374470885</v>
          </cell>
          <cell r="O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EG41">
            <v>0</v>
          </cell>
          <cell r="EH41">
            <v>-415.34559153352603</v>
          </cell>
          <cell r="EI41">
            <v>4.9670625816150983E-4</v>
          </cell>
          <cell r="EJ41">
            <v>148.59080606031443</v>
          </cell>
          <cell r="EK41">
            <v>-1.3831355500202248E-2</v>
          </cell>
          <cell r="EL41">
            <v>90.166550499260779</v>
          </cell>
          <cell r="EM41">
            <v>-1.9179953890064425E-2</v>
          </cell>
          <cell r="EN41">
            <v>36.530946036689862</v>
          </cell>
          <cell r="EO41">
            <v>-5.9070531091692233E-2</v>
          </cell>
          <cell r="EP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EG42">
            <v>0</v>
          </cell>
          <cell r="EH42">
            <v>16124.192036840604</v>
          </cell>
          <cell r="EI42">
            <v>21060.159751830935</v>
          </cell>
          <cell r="EJ42">
            <v>25770.367033972641</v>
          </cell>
          <cell r="EK42">
            <v>29110.55878343264</v>
          </cell>
          <cell r="EL42">
            <v>32898.481276980769</v>
          </cell>
          <cell r="EM42">
            <v>36168.757855213502</v>
          </cell>
          <cell r="EN42">
            <v>37184.630665934434</v>
          </cell>
          <cell r="EO42">
            <v>39570.301417644972</v>
          </cell>
          <cell r="EP42">
            <v>3153.8680783134187</v>
          </cell>
        </row>
        <row r="43">
          <cell r="F43">
            <v>0</v>
          </cell>
          <cell r="G43">
            <v>-8242604.3001781274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EG43">
            <v>0</v>
          </cell>
          <cell r="EH43">
            <v>12184.569003128441</v>
          </cell>
          <cell r="EI43">
            <v>12821.405868888578</v>
          </cell>
          <cell r="EJ43">
            <v>16022.515115477596</v>
          </cell>
          <cell r="EK43">
            <v>16242.46357910422</v>
          </cell>
          <cell r="EL43">
            <v>18612.33081286151</v>
          </cell>
          <cell r="EM43">
            <v>18791.891116141098</v>
          </cell>
          <cell r="EN43">
            <v>19963.985516853547</v>
          </cell>
          <cell r="EO43">
            <v>20119.591162839384</v>
          </cell>
          <cell r="EP43">
            <v>3013.9157618373429</v>
          </cell>
        </row>
        <row r="44">
          <cell r="F44">
            <v>0</v>
          </cell>
          <cell r="G44">
            <v>0</v>
          </cell>
          <cell r="H44">
            <v>-7264339.4256630754</v>
          </cell>
          <cell r="I44">
            <v>-6107535.699713924</v>
          </cell>
          <cell r="J44">
            <v>-5210151.1982468795</v>
          </cell>
          <cell r="K44">
            <v>-4318436.9485065974</v>
          </cell>
          <cell r="L44">
            <v>-3490620.8198711132</v>
          </cell>
          <cell r="M44">
            <v>-2484537.2137562102</v>
          </cell>
          <cell r="N44">
            <v>-1826162.9358901882</v>
          </cell>
          <cell r="O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EG44">
            <v>0</v>
          </cell>
          <cell r="EH44">
            <v>1489.6540830553527</v>
          </cell>
          <cell r="EI44">
            <v>1503.9457700396215</v>
          </cell>
          <cell r="EJ44">
            <v>1853.5902746433596</v>
          </cell>
          <cell r="EK44">
            <v>1865.1771936743567</v>
          </cell>
          <cell r="EL44">
            <v>1974.5667233004374</v>
          </cell>
          <cell r="EM44">
            <v>1984.1258385147689</v>
          </cell>
          <cell r="EN44">
            <v>2024.2097805644578</v>
          </cell>
          <cell r="EO44">
            <v>2032.9266905072548</v>
          </cell>
          <cell r="EP44">
            <v>-1357.6977248565597</v>
          </cell>
        </row>
        <row r="45">
          <cell r="F45">
            <v>0</v>
          </cell>
          <cell r="G45">
            <v>-7228087.5730727967</v>
          </cell>
          <cell r="H45">
            <v>-6393853.7111163717</v>
          </cell>
          <cell r="I45">
            <v>-5373175.3881346341</v>
          </cell>
          <cell r="J45">
            <v>-4596760.0860981634</v>
          </cell>
          <cell r="K45">
            <v>-3823497.0022090287</v>
          </cell>
          <cell r="L45">
            <v>-3109706.1923761982</v>
          </cell>
          <cell r="M45">
            <v>-2207425.7390835308</v>
          </cell>
          <cell r="N45">
            <v>-1632860.6664488502</v>
          </cell>
          <cell r="O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EG45">
            <v>0</v>
          </cell>
          <cell r="EH45">
            <v>-2095.2370487750286</v>
          </cell>
          <cell r="EI45">
            <v>-2149.454465845251</v>
          </cell>
          <cell r="EJ45">
            <v>-1990.6157244459323</v>
          </cell>
          <cell r="EK45">
            <v>-1987.5906125164745</v>
          </cell>
          <cell r="EL45">
            <v>-1392.4681360420288</v>
          </cell>
          <cell r="EM45">
            <v>-1381.1339231975048</v>
          </cell>
          <cell r="EN45">
            <v>-599.93110685029865</v>
          </cell>
          <cell r="EO45">
            <v>-583.76861467163587</v>
          </cell>
          <cell r="EP45">
            <v>-351.13328824032482</v>
          </cell>
        </row>
        <row r="46">
          <cell r="F46">
            <v>0</v>
          </cell>
          <cell r="G46">
            <v>-564592.97996051901</v>
          </cell>
          <cell r="H46">
            <v>-957413.27779378102</v>
          </cell>
          <cell r="I46">
            <v>-931616.4328145521</v>
          </cell>
          <cell r="J46">
            <v>-882125.57277257962</v>
          </cell>
          <cell r="K46">
            <v>-859841.207387437</v>
          </cell>
          <cell r="L46">
            <v>-817241.63180992147</v>
          </cell>
          <cell r="M46">
            <v>-761942.26605827746</v>
          </cell>
          <cell r="N46">
            <v>-652492.58048224193</v>
          </cell>
          <cell r="O46">
            <v>-573070.17361299752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EG46">
            <v>0</v>
          </cell>
          <cell r="EH46">
            <v>-2397.8911698137972</v>
          </cell>
          <cell r="EI46">
            <v>-2562.5290300308393</v>
          </cell>
          <cell r="EJ46">
            <v>-1109.2472420786139</v>
          </cell>
          <cell r="EK46">
            <v>-1060.0576215694362</v>
          </cell>
          <cell r="EL46">
            <v>-467.68418092511672</v>
          </cell>
          <cell r="EM46">
            <v>-451.04729982748233</v>
          </cell>
          <cell r="EN46">
            <v>-37.981714688675432</v>
          </cell>
          <cell r="EO46">
            <v>-31.033571486521527</v>
          </cell>
          <cell r="EP46">
            <v>242.80132733088627</v>
          </cell>
        </row>
        <row r="47">
          <cell r="F47">
            <v>0</v>
          </cell>
          <cell r="G47">
            <v>-481346.62158308341</v>
          </cell>
          <cell r="H47">
            <v>-815922.49755710596</v>
          </cell>
          <cell r="I47">
            <v>-797650.53708426538</v>
          </cell>
          <cell r="J47">
            <v>-762976.57445296471</v>
          </cell>
          <cell r="K47">
            <v>-742889.45819282532</v>
          </cell>
          <cell r="L47">
            <v>-704407.00877773901</v>
          </cell>
          <cell r="M47">
            <v>-659029.38083973527</v>
          </cell>
          <cell r="N47">
            <v>-569327.86669807823</v>
          </cell>
          <cell r="O47">
            <v>-498466.27697314142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EG47">
            <v>0</v>
          </cell>
          <cell r="EH47">
            <v>-415.34559153352603</v>
          </cell>
          <cell r="EI47">
            <v>-415.34509482726787</v>
          </cell>
          <cell r="EJ47">
            <v>-249.80818863238559</v>
          </cell>
          <cell r="EK47">
            <v>-249.82204025350109</v>
          </cell>
          <cell r="EL47">
            <v>-152.4269357124283</v>
          </cell>
          <cell r="EM47">
            <v>-152.44556724161424</v>
          </cell>
          <cell r="EN47">
            <v>-66.656819595217542</v>
          </cell>
          <cell r="EO47">
            <v>-66.714733973313798</v>
          </cell>
          <cell r="EP47">
            <v>4.8435774259762185</v>
          </cell>
        </row>
        <row r="48">
          <cell r="F48">
            <v>0</v>
          </cell>
          <cell r="G48">
            <v>-1014516.72710533</v>
          </cell>
          <cell r="H48">
            <v>-870485.71454670525</v>
          </cell>
          <cell r="I48">
            <v>-734360.31157929183</v>
          </cell>
          <cell r="J48">
            <v>-613391.11214871611</v>
          </cell>
          <cell r="K48">
            <v>-494939.9462975678</v>
          </cell>
          <cell r="L48">
            <v>-380914.62749491388</v>
          </cell>
          <cell r="M48">
            <v>-277111.47467267688</v>
          </cell>
          <cell r="N48">
            <v>-193302.269441337</v>
          </cell>
          <cell r="O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EG48">
            <v>0</v>
          </cell>
          <cell r="EH48">
            <v>16088.233043632659</v>
          </cell>
          <cell r="EI48">
            <v>20900.132414895579</v>
          </cell>
          <cell r="EJ48">
            <v>25464.296006196997</v>
          </cell>
          <cell r="EK48">
            <v>28625.407855453883</v>
          </cell>
          <cell r="EL48">
            <v>32235.264002998403</v>
          </cell>
          <cell r="EM48">
            <v>35286.858995852992</v>
          </cell>
          <cell r="EN48">
            <v>36236.595514913402</v>
          </cell>
          <cell r="EO48">
            <v>38428.112532857762</v>
          </cell>
          <cell r="EP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-207110.09153363225</v>
          </cell>
          <cell r="J49">
            <v>0</v>
          </cell>
          <cell r="K49">
            <v>-19009.027630688695</v>
          </cell>
          <cell r="L49">
            <v>0</v>
          </cell>
          <cell r="M49">
            <v>-235959.66463017632</v>
          </cell>
          <cell r="N49">
            <v>0</v>
          </cell>
          <cell r="O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EG49">
            <v>0</v>
          </cell>
          <cell r="EH49">
            <v>12176.034383470824</v>
          </cell>
          <cell r="EI49">
            <v>12781.444997943912</v>
          </cell>
          <cell r="EJ49">
            <v>15950.163823078617</v>
          </cell>
          <cell r="EK49">
            <v>16130.27629841618</v>
          </cell>
          <cell r="EL49">
            <v>18460.17281865003</v>
          </cell>
          <cell r="EM49">
            <v>18593.77406999885</v>
          </cell>
          <cell r="EN49">
            <v>19735.076941853546</v>
          </cell>
          <cell r="EO49">
            <v>19842.376325492849</v>
          </cell>
          <cell r="EP49">
            <v>2738.3251962737922</v>
          </cell>
        </row>
        <row r="50">
          <cell r="F50">
            <v>0</v>
          </cell>
          <cell r="G50">
            <v>-319773.15500890167</v>
          </cell>
          <cell r="H50">
            <v>0</v>
          </cell>
          <cell r="I50">
            <v>-20450.383832681015</v>
          </cell>
          <cell r="J50">
            <v>-61748.790094080585</v>
          </cell>
          <cell r="K50">
            <v>-57482.30623577832</v>
          </cell>
          <cell r="L50">
            <v>-49034.497908595302</v>
          </cell>
          <cell r="M50">
            <v>-45716.535963496637</v>
          </cell>
          <cell r="N50">
            <v>-39149.554828934517</v>
          </cell>
          <cell r="O50">
            <v>-34384.210416779853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EG50">
            <v>0</v>
          </cell>
          <cell r="EH50">
            <v>1487.6297473271713</v>
          </cell>
          <cell r="EI50">
            <v>1495.7626159761835</v>
          </cell>
          <cell r="EJ50">
            <v>1842.600364816099</v>
          </cell>
          <cell r="EK50">
            <v>1846.6062285914493</v>
          </cell>
          <cell r="EL50">
            <v>1957.4418290600336</v>
          </cell>
          <cell r="EM50">
            <v>1959.0225367888081</v>
          </cell>
          <cell r="EN50">
            <v>2003.05997731764</v>
          </cell>
          <cell r="EO50">
            <v>2003.686003091872</v>
          </cell>
          <cell r="EP50">
            <v>-1380.5945520064449</v>
          </cell>
        </row>
        <row r="51">
          <cell r="F51">
            <v>0</v>
          </cell>
          <cell r="G51">
            <v>-25406.684098223363</v>
          </cell>
          <cell r="H51">
            <v>-43083.597500720149</v>
          </cell>
          <cell r="I51">
            <v>-40461.997774320487</v>
          </cell>
          <cell r="J51">
            <v>-35285.022910903193</v>
          </cell>
          <cell r="K51">
            <v>-33040.359154826343</v>
          </cell>
          <cell r="L51">
            <v>-28603.45711334726</v>
          </cell>
          <cell r="M51">
            <v>-25587.509642545352</v>
          </cell>
          <cell r="N51">
            <v>-19574.777414467262</v>
          </cell>
          <cell r="O51">
            <v>-16505.81149895917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EG51">
            <v>0</v>
          </cell>
          <cell r="EH51">
            <v>-2094.1563873047407</v>
          </cell>
          <cell r="EI51">
            <v>-2142.9327488590761</v>
          </cell>
          <cell r="EJ51">
            <v>-1978.7559174339433</v>
          </cell>
          <cell r="EK51">
            <v>-1970.6948726895034</v>
          </cell>
          <cell r="EL51">
            <v>-1371.0100436678517</v>
          </cell>
          <cell r="EM51">
            <v>-1356.2062336750687</v>
          </cell>
          <cell r="EN51">
            <v>-582.35490275865936</v>
          </cell>
          <cell r="EO51">
            <v>-565.00796735259337</v>
          </cell>
          <cell r="EP51">
            <v>-330.34059698798796</v>
          </cell>
        </row>
        <row r="52">
          <cell r="F52">
            <v>0</v>
          </cell>
          <cell r="G52">
            <v>-704767.45252013346</v>
          </cell>
          <cell r="H52">
            <v>0.84440063887456684</v>
          </cell>
          <cell r="I52">
            <v>252604.37030253452</v>
          </cell>
          <cell r="J52">
            <v>-23.513304350343819</v>
          </cell>
          <cell r="K52">
            <v>153283.13584874332</v>
          </cell>
          <cell r="L52">
            <v>-32.60592161310953</v>
          </cell>
          <cell r="M52">
            <v>62102.608262372763</v>
          </cell>
          <cell r="N52">
            <v>-100.4199028558768</v>
          </cell>
          <cell r="O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EG52">
            <v>0</v>
          </cell>
          <cell r="EH52">
            <v>-2396.8445936548524</v>
          </cell>
          <cell r="EI52">
            <v>-2554.7780920681221</v>
          </cell>
          <cell r="EJ52">
            <v>-1096.3468414721915</v>
          </cell>
          <cell r="EK52">
            <v>-1044.3874048440321</v>
          </cell>
          <cell r="EL52">
            <v>-450.21658801706872</v>
          </cell>
          <cell r="EM52">
            <v>-432.46748060205601</v>
          </cell>
          <cell r="EN52">
            <v>-23.211862002055163</v>
          </cell>
          <cell r="EO52">
            <v>-16.563866970237314</v>
          </cell>
          <cell r="EP52">
            <v>247.84790970301245</v>
          </cell>
        </row>
        <row r="53">
          <cell r="F53">
            <v>0</v>
          </cell>
          <cell r="G53">
            <v>-679399.37747488753</v>
          </cell>
          <cell r="H53">
            <v>-600854.77204563445</v>
          </cell>
          <cell r="I53">
            <v>-285789.67971880094</v>
          </cell>
          <cell r="J53">
            <v>-244974.47905046373</v>
          </cell>
          <cell r="K53">
            <v>-56051.69521525559</v>
          </cell>
          <cell r="L53">
            <v>-29402.03596896306</v>
          </cell>
          <cell r="M53">
            <v>82313.864048644391</v>
          </cell>
          <cell r="N53">
            <v>97066.888891546798</v>
          </cell>
          <cell r="O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EG53">
            <v>0</v>
          </cell>
          <cell r="EH53">
            <v>-415.07615393296311</v>
          </cell>
          <cell r="EI53">
            <v>-413.63075413421802</v>
          </cell>
          <cell r="EJ53">
            <v>-246.95442880072849</v>
          </cell>
          <cell r="EK53">
            <v>-246.10857717866094</v>
          </cell>
          <cell r="EL53">
            <v>-148.10699189318694</v>
          </cell>
          <cell r="EM53">
            <v>-147.61000389561332</v>
          </cell>
          <cell r="EN53">
            <v>-62.493023384824518</v>
          </cell>
          <cell r="EO53">
            <v>-62.333237944032497</v>
          </cell>
          <cell r="EP53">
            <v>7.0239227988277237</v>
          </cell>
        </row>
        <row r="54">
          <cell r="F54">
            <v>0</v>
          </cell>
          <cell r="G54">
            <v>-18985.433787070324</v>
          </cell>
          <cell r="H54">
            <v>-29436.855845824484</v>
          </cell>
          <cell r="I54">
            <v>-20482.449754833135</v>
          </cell>
          <cell r="J54">
            <v>-12560.257517374015</v>
          </cell>
          <cell r="K54">
            <v>-7073.5399004469964</v>
          </cell>
          <cell r="L54">
            <v>-2131.6150309007812</v>
          </cell>
          <cell r="M54">
            <v>1194.4927932960838</v>
          </cell>
          <cell r="N54">
            <v>3838.8705670574932</v>
          </cell>
          <cell r="O54">
            <v>5156.9987758880507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EG54">
            <v>0</v>
          </cell>
          <cell r="EH54">
            <v>5249.550660623594</v>
          </cell>
          <cell r="EI54">
            <v>5249.550660623594</v>
          </cell>
          <cell r="EJ54">
            <v>4388.9000245960515</v>
          </cell>
          <cell r="EK54">
            <v>4531.3766833295686</v>
          </cell>
          <cell r="EL54">
            <v>4166.419431222721</v>
          </cell>
          <cell r="EM54">
            <v>4413.7023321033739</v>
          </cell>
          <cell r="EN54">
            <v>6534.3814877892519</v>
          </cell>
          <cell r="EO54">
            <v>7529.6503959927923</v>
          </cell>
          <cell r="EP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-891.79110196706438</v>
          </cell>
          <cell r="L55">
            <v>1.0664810951389022E-3</v>
          </cell>
          <cell r="M55">
            <v>-27550.161185013065</v>
          </cell>
          <cell r="N55">
            <v>3.6310172228799817E-3</v>
          </cell>
          <cell r="O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EG55">
            <v>0</v>
          </cell>
          <cell r="EH55">
            <v>11578.511014003305</v>
          </cell>
          <cell r="EI55">
            <v>11578.511014003305</v>
          </cell>
          <cell r="EJ55">
            <v>8219.5518359830457</v>
          </cell>
          <cell r="EK55">
            <v>8226.7948500840739</v>
          </cell>
          <cell r="EL55">
            <v>5748.0867461297248</v>
          </cell>
          <cell r="EM55">
            <v>5751.4785907038358</v>
          </cell>
          <cell r="EN55">
            <v>4473.0522938098229</v>
          </cell>
          <cell r="EO55">
            <v>4497.1804563869518</v>
          </cell>
          <cell r="EP55">
            <v>4308.7803490169226</v>
          </cell>
        </row>
        <row r="56">
          <cell r="F56">
            <v>0</v>
          </cell>
          <cell r="G56">
            <v>-17635.129083475607</v>
          </cell>
          <cell r="H56">
            <v>2.1157540217426326E-2</v>
          </cell>
          <cell r="I56">
            <v>5696.5050179587806</v>
          </cell>
          <cell r="J56">
            <v>-1807.5692794942886</v>
          </cell>
          <cell r="K56">
            <v>2413.2437167033509</v>
          </cell>
          <cell r="L56">
            <v>-1034.4056841493625</v>
          </cell>
          <cell r="M56">
            <v>801.99178582256059</v>
          </cell>
          <cell r="N56">
            <v>-415.23730168080715</v>
          </cell>
          <cell r="O56">
            <v>-476.33345882843946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EG56">
            <v>0</v>
          </cell>
          <cell r="EH56">
            <v>1975.0393789659586</v>
          </cell>
          <cell r="EI56">
            <v>1975.0393789659586</v>
          </cell>
          <cell r="EJ56">
            <v>1621.1874590088935</v>
          </cell>
          <cell r="EK56">
            <v>1623.8553017867741</v>
          </cell>
          <cell r="EL56">
            <v>1505.7340749246841</v>
          </cell>
          <cell r="EM56">
            <v>1510.3372790260159</v>
          </cell>
          <cell r="EN56">
            <v>1460.0099114241671</v>
          </cell>
          <cell r="EO56">
            <v>1465.3449896569994</v>
          </cell>
          <cell r="EP56">
            <v>1455.2567042152077</v>
          </cell>
        </row>
        <row r="57">
          <cell r="F57">
            <v>0</v>
          </cell>
          <cell r="G57">
            <v>-2996.5563364685881</v>
          </cell>
          <cell r="H57">
            <v>-4757.6475092378123</v>
          </cell>
          <cell r="I57">
            <v>-3496.4603910325332</v>
          </cell>
          <cell r="J57">
            <v>-1909.0217237821321</v>
          </cell>
          <cell r="K57">
            <v>-1346.4606839028449</v>
          </cell>
          <cell r="L57">
            <v>-610.83116283768209</v>
          </cell>
          <cell r="M57">
            <v>-307.28465202197259</v>
          </cell>
          <cell r="N57">
            <v>147.53828162043644</v>
          </cell>
          <cell r="O57">
            <v>278.28448521641508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EG57">
            <v>0</v>
          </cell>
          <cell r="EH57">
            <v>2150.2354182661461</v>
          </cell>
          <cell r="EI57">
            <v>2150.2354182661461</v>
          </cell>
          <cell r="EJ57">
            <v>1985.9890457168024</v>
          </cell>
          <cell r="EK57">
            <v>1985.9890457168024</v>
          </cell>
          <cell r="EL57">
            <v>1362.0272966943787</v>
          </cell>
          <cell r="EM57">
            <v>1362.0272966943787</v>
          </cell>
          <cell r="EN57">
            <v>587.29904646407363</v>
          </cell>
          <cell r="EO57">
            <v>571.6525495911493</v>
          </cell>
          <cell r="EP57">
            <v>325.23875509704618</v>
          </cell>
        </row>
        <row r="58">
          <cell r="F58">
            <v>0</v>
          </cell>
          <cell r="G58">
            <v>164708.14200534218</v>
          </cell>
          <cell r="H58">
            <v>350054.78378068976</v>
          </cell>
          <cell r="I58">
            <v>398401.13979045942</v>
          </cell>
          <cell r="J58">
            <v>431954.77681795147</v>
          </cell>
          <cell r="K58">
            <v>447985.3583855739</v>
          </cell>
          <cell r="L58">
            <v>469002.55265177024</v>
          </cell>
          <cell r="M58">
            <v>470388.53694776096</v>
          </cell>
          <cell r="N58">
            <v>488463.52865550824</v>
          </cell>
          <cell r="O58">
            <v>490135.95204007981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EG58">
            <v>0</v>
          </cell>
          <cell r="EH58">
            <v>2563.8622157556651</v>
          </cell>
          <cell r="EI58">
            <v>2563.8622157556651</v>
          </cell>
          <cell r="EJ58">
            <v>1052.9469578071139</v>
          </cell>
          <cell r="EK58">
            <v>1048.9380240668847</v>
          </cell>
          <cell r="EL58">
            <v>434.14416540571449</v>
          </cell>
          <cell r="EM58">
            <v>434.32201818625805</v>
          </cell>
          <cell r="EN58">
            <v>27.060846332216283</v>
          </cell>
          <cell r="EO58">
            <v>16.862579810473804</v>
          </cell>
          <cell r="EP58">
            <v>-225.75713148914957</v>
          </cell>
        </row>
        <row r="59">
          <cell r="F59">
            <v>0</v>
          </cell>
          <cell r="G59">
            <v>5388236.5482701166</v>
          </cell>
          <cell r="H59">
            <v>11008307.267350776</v>
          </cell>
          <cell r="I59">
            <v>11167197.47692978</v>
          </cell>
          <cell r="J59">
            <v>11569102.519192593</v>
          </cell>
          <cell r="K59">
            <v>10964688.071923314</v>
          </cell>
          <cell r="L59">
            <v>10543394.374076139</v>
          </cell>
          <cell r="M59">
            <v>9535330.79593019</v>
          </cell>
          <cell r="N59">
            <v>8765211.8561075516</v>
          </cell>
          <cell r="O59">
            <v>4357045.2062932812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EG59">
            <v>0</v>
          </cell>
          <cell r="EH59">
            <v>415.55841197241079</v>
          </cell>
          <cell r="EI59">
            <v>415.55841197241079</v>
          </cell>
          <cell r="EJ59">
            <v>247.431387745325</v>
          </cell>
          <cell r="EK59">
            <v>247.43139982018656</v>
          </cell>
          <cell r="EL59">
            <v>148.39702113171253</v>
          </cell>
          <cell r="EM59">
            <v>148.39668970612996</v>
          </cell>
          <cell r="EN59">
            <v>62.701754390721938</v>
          </cell>
          <cell r="EO59">
            <v>62.701188207324357</v>
          </cell>
          <cell r="EP59">
            <v>-6.8449965446412495</v>
          </cell>
        </row>
        <row r="60">
          <cell r="F60">
            <v>0</v>
          </cell>
          <cell r="G60">
            <v>69162.881641874337</v>
          </cell>
          <cell r="H60">
            <v>14326.830776658346</v>
          </cell>
          <cell r="I60">
            <v>375701.92459895939</v>
          </cell>
          <cell r="J60">
            <v>664538.76875451976</v>
          </cell>
          <cell r="K60">
            <v>872537.45281886403</v>
          </cell>
          <cell r="L60">
            <v>947310.73033354431</v>
          </cell>
          <cell r="M60">
            <v>872027.50197069568</v>
          </cell>
          <cell r="N60">
            <v>894066.33999170549</v>
          </cell>
          <cell r="O60">
            <v>375636.75383664714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EG60">
            <v>0</v>
          </cell>
          <cell r="EH60">
            <v>5237.6721785884229</v>
          </cell>
          <cell r="EI60">
            <v>5202.1977583882135</v>
          </cell>
          <cell r="EJ60">
            <v>4376.9407010954174</v>
          </cell>
          <cell r="EK60">
            <v>4489.3366490826111</v>
          </cell>
          <cell r="EL60">
            <v>4154.2141072569648</v>
          </cell>
          <cell r="EM60">
            <v>4374.4902602473785</v>
          </cell>
          <cell r="EN60">
            <v>6514.9932982513192</v>
          </cell>
          <cell r="EO60">
            <v>7468.2832650218925</v>
          </cell>
          <cell r="EP60">
            <v>9175.4417394570792</v>
          </cell>
        </row>
        <row r="61">
          <cell r="F61">
            <v>0</v>
          </cell>
          <cell r="G61">
            <v>-2498.4991691517475</v>
          </cell>
          <cell r="H61">
            <v>-6183.1124509671208</v>
          </cell>
          <cell r="I61">
            <v>-4903.4764438537431</v>
          </cell>
          <cell r="J61">
            <v>-3528.3957693525936</v>
          </cell>
          <cell r="K61">
            <v>-2438.2114738493046</v>
          </cell>
          <cell r="L61">
            <v>-798.58892873425498</v>
          </cell>
          <cell r="M61">
            <v>-235.49291748614718</v>
          </cell>
          <cell r="N61">
            <v>129.76597407467767</v>
          </cell>
          <cell r="O61">
            <v>419.75765151029861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EG61">
            <v>0</v>
          </cell>
          <cell r="EH61">
            <v>11568.938981049627</v>
          </cell>
          <cell r="EI61">
            <v>11540.27033561045</v>
          </cell>
          <cell r="EJ61">
            <v>8204.4820218656041</v>
          </cell>
          <cell r="EK61">
            <v>8191.3794988333657</v>
          </cell>
          <cell r="EL61">
            <v>5738.6468804444712</v>
          </cell>
          <cell r="EM61">
            <v>5727.842364409018</v>
          </cell>
          <cell r="EN61">
            <v>4465.9590397274478</v>
          </cell>
          <cell r="EO61">
            <v>4479.0241860928954</v>
          </cell>
          <cell r="EP61">
            <v>4302.5955914301067</v>
          </cell>
        </row>
        <row r="62">
          <cell r="F62">
            <v>0</v>
          </cell>
          <cell r="G62">
            <v>-477.39050623221408</v>
          </cell>
          <cell r="H62">
            <v>-1089.2625815744959</v>
          </cell>
          <cell r="I62">
            <v>-762.23422669662523</v>
          </cell>
          <cell r="J62">
            <v>-218.79594212833129</v>
          </cell>
          <cell r="K62">
            <v>-83.245452959677891</v>
          </cell>
          <cell r="L62">
            <v>135.93297205457031</v>
          </cell>
          <cell r="M62">
            <v>188.30709063009354</v>
          </cell>
          <cell r="N62">
            <v>223.85961700740776</v>
          </cell>
          <cell r="O62">
            <v>222.68243990349077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EG62">
            <v>0</v>
          </cell>
          <cell r="EH62">
            <v>1972.3209463465221</v>
          </cell>
          <cell r="EI62">
            <v>1964.1880777037431</v>
          </cell>
          <cell r="EJ62">
            <v>1617.3441951612449</v>
          </cell>
          <cell r="EK62">
            <v>1613.3383291375335</v>
          </cell>
          <cell r="EL62">
            <v>1502.4932387375766</v>
          </cell>
          <cell r="EM62">
            <v>1500.9127297789987</v>
          </cell>
          <cell r="EN62">
            <v>1456.8644834932907</v>
          </cell>
          <cell r="EO62">
            <v>1456.239175380198</v>
          </cell>
          <cell r="EP62">
            <v>1452.1295118102885</v>
          </cell>
        </row>
        <row r="63">
          <cell r="F63">
            <v>0</v>
          </cell>
          <cell r="G63">
            <v>-8109.2494757206814</v>
          </cell>
          <cell r="H63">
            <v>-19099.735219466718</v>
          </cell>
          <cell r="I63">
            <v>-16325.060905557406</v>
          </cell>
          <cell r="J63">
            <v>-13256.644749800947</v>
          </cell>
          <cell r="K63">
            <v>-11120.68198065976</v>
          </cell>
          <cell r="L63">
            <v>-8993.3909257218675</v>
          </cell>
          <cell r="M63">
            <v>-6901.6221261260434</v>
          </cell>
          <cell r="N63">
            <v>-4855.1434238226429</v>
          </cell>
          <cell r="O63">
            <v>-3276.8533759411562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EG63">
            <v>0</v>
          </cell>
          <cell r="EH63">
            <v>2148.4074211622974</v>
          </cell>
          <cell r="EI63">
            <v>2142.9327488674126</v>
          </cell>
          <cell r="EJ63">
            <v>1975.7295190760858</v>
          </cell>
          <cell r="EK63">
            <v>1970.6948726893124</v>
          </cell>
          <cell r="EL63">
            <v>1359.6710109509941</v>
          </cell>
          <cell r="EM63">
            <v>1356.2062336743525</v>
          </cell>
          <cell r="EN63">
            <v>582.10762262388732</v>
          </cell>
          <cell r="EO63">
            <v>565.00796633278503</v>
          </cell>
          <cell r="EP63">
            <v>326.01476306366766</v>
          </cell>
        </row>
        <row r="64">
          <cell r="F64">
            <v>0</v>
          </cell>
          <cell r="G64">
            <v>-1092.3941089736361</v>
          </cell>
          <cell r="H64">
            <v>-2345.3213359202496</v>
          </cell>
          <cell r="I64">
            <v>-1753.0415786596263</v>
          </cell>
          <cell r="J64">
            <v>-961.49081877318758</v>
          </cell>
          <cell r="K64">
            <v>-629.94922211213577</v>
          </cell>
          <cell r="L64">
            <v>-161.08463737341148</v>
          </cell>
          <cell r="M64">
            <v>64.313833803861229</v>
          </cell>
          <cell r="N64">
            <v>314.29587598035965</v>
          </cell>
          <cell r="O64">
            <v>394.86756160871801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EG64">
            <v>0</v>
          </cell>
          <cell r="EH64">
            <v>2561.5881611401815</v>
          </cell>
          <cell r="EI64">
            <v>2554.7780921727444</v>
          </cell>
          <cell r="EJ64">
            <v>1051.1828466006959</v>
          </cell>
          <cell r="EK64">
            <v>1044.3873983849967</v>
          </cell>
          <cell r="EL64">
            <v>433.46268015095387</v>
          </cell>
          <cell r="EM64">
            <v>432.46756660131393</v>
          </cell>
          <cell r="EN64">
            <v>26.833766488268946</v>
          </cell>
          <cell r="EO64">
            <v>16.564143000312562</v>
          </cell>
          <cell r="EP64">
            <v>-225.69605623506058</v>
          </cell>
        </row>
        <row r="65">
          <cell r="F65">
            <v>0</v>
          </cell>
          <cell r="G65">
            <v>72691.945765932629</v>
          </cell>
          <cell r="H65">
            <v>146491.03039675567</v>
          </cell>
          <cell r="I65">
            <v>125880.42428129294</v>
          </cell>
          <cell r="J65">
            <v>107047.96506075034</v>
          </cell>
          <cell r="K65">
            <v>89201.841018245861</v>
          </cell>
          <cell r="L65">
            <v>72766.822133319802</v>
          </cell>
          <cell r="M65">
            <v>54306.951783093158</v>
          </cell>
          <cell r="N65">
            <v>40041.650962727115</v>
          </cell>
          <cell r="O65">
            <v>28805.799156624067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EG65">
            <v>0</v>
          </cell>
          <cell r="EH65">
            <v>415.0756569379493</v>
          </cell>
          <cell r="EI65">
            <v>413.63075413421808</v>
          </cell>
          <cell r="EJ65">
            <v>246.96827625131436</v>
          </cell>
          <cell r="EK65">
            <v>246.10857717866097</v>
          </cell>
          <cell r="EL65">
            <v>148.12596950305655</v>
          </cell>
          <cell r="EM65">
            <v>147.61000389561329</v>
          </cell>
          <cell r="EN65">
            <v>62.5515501913059</v>
          </cell>
          <cell r="EO65">
            <v>62.333237944032419</v>
          </cell>
          <cell r="EP65">
            <v>-6.904200694686951</v>
          </cell>
        </row>
        <row r="66">
          <cell r="F66">
            <v>0</v>
          </cell>
          <cell r="G66">
            <v>5922.6104821002191</v>
          </cell>
          <cell r="H66">
            <v>19247.73651433058</v>
          </cell>
          <cell r="I66">
            <v>16989.262943374739</v>
          </cell>
          <cell r="J66">
            <v>14869.452607313713</v>
          </cell>
          <cell r="K66">
            <v>12857.258326736322</v>
          </cell>
          <cell r="L66">
            <v>10878.70236451635</v>
          </cell>
          <cell r="M66">
            <v>8770.3922790648667</v>
          </cell>
          <cell r="N66">
            <v>6793.3636546480584</v>
          </cell>
          <cell r="O66">
            <v>4867.9266181575786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EG66">
            <v>0</v>
          </cell>
          <cell r="EH66">
            <v>56.105760811617891</v>
          </cell>
          <cell r="EI66">
            <v>159.54276392761608</v>
          </cell>
          <cell r="EJ66">
            <v>188.56981540010918</v>
          </cell>
          <cell r="EK66">
            <v>211.94597753100689</v>
          </cell>
          <cell r="EL66">
            <v>234.15131589020609</v>
          </cell>
          <cell r="EM66">
            <v>256.6790687127484</v>
          </cell>
          <cell r="EN66">
            <v>277.80617463836859</v>
          </cell>
          <cell r="EO66">
            <v>299.4760210981953</v>
          </cell>
          <cell r="EP66">
            <v>319.58409194478645</v>
          </cell>
        </row>
        <row r="67">
          <cell r="F67">
            <v>0</v>
          </cell>
          <cell r="G67">
            <v>684.86577701302554</v>
          </cell>
          <cell r="H67">
            <v>1689.2208370346739</v>
          </cell>
          <cell r="I67">
            <v>1141.5623459033063</v>
          </cell>
          <cell r="J67">
            <v>799.65088304374683</v>
          </cell>
          <cell r="K67">
            <v>528.55006942368607</v>
          </cell>
          <cell r="L67">
            <v>354.21023669782187</v>
          </cell>
          <cell r="M67">
            <v>231.4682260624009</v>
          </cell>
          <cell r="N67">
            <v>146.10809074305809</v>
          </cell>
          <cell r="O67">
            <v>87.51863342545164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EG67">
            <v>0</v>
          </cell>
          <cell r="EH67">
            <v>27.960553679661416</v>
          </cell>
          <cell r="EI67">
            <v>60.094896726220419</v>
          </cell>
          <cell r="EJ67">
            <v>59.766139004591295</v>
          </cell>
          <cell r="EK67">
            <v>60.261594921458538</v>
          </cell>
          <cell r="EL67">
            <v>59.918934114000628</v>
          </cell>
          <cell r="EM67">
            <v>60.279910467881585</v>
          </cell>
          <cell r="EN67">
            <v>59.968949887303978</v>
          </cell>
          <cell r="EO67">
            <v>60.272727701239333</v>
          </cell>
          <cell r="EP67">
            <v>59.912171662631089</v>
          </cell>
        </row>
        <row r="68">
          <cell r="F68">
            <v>0</v>
          </cell>
          <cell r="G68">
            <v>-674.42085867756816</v>
          </cell>
          <cell r="H68">
            <v>-1701.5605201737408</v>
          </cell>
          <cell r="I68">
            <v>-1486.1414561704703</v>
          </cell>
          <cell r="J68">
            <v>-1271.8092248518014</v>
          </cell>
          <cell r="K68">
            <v>-1058.5596860189285</v>
          </cell>
          <cell r="L68">
            <v>-846.38871351612761</v>
          </cell>
          <cell r="M68">
            <v>-637.28907662536847</v>
          </cell>
          <cell r="N68">
            <v>-496.88015605042693</v>
          </cell>
          <cell r="O68">
            <v>-386.30448609578349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EG68">
            <v>0</v>
          </cell>
          <cell r="EH68">
            <v>7.0104700710202446</v>
          </cell>
          <cell r="EI68">
            <v>14.291686978036314</v>
          </cell>
          <cell r="EJ68">
            <v>14.280252777472855</v>
          </cell>
          <cell r="EK68">
            <v>14.291661634403482</v>
          </cell>
          <cell r="EL68">
            <v>14.280502235503326</v>
          </cell>
          <cell r="EM68">
            <v>14.291623117911744</v>
          </cell>
          <cell r="EN68">
            <v>14.280790219269321</v>
          </cell>
          <cell r="EO68">
            <v>14.291581090413487</v>
          </cell>
          <cell r="EP68">
            <v>14.280791328283772</v>
          </cell>
        </row>
        <row r="69">
          <cell r="F69">
            <v>0</v>
          </cell>
          <cell r="G69">
            <v>-459.02933291559043</v>
          </cell>
          <cell r="H69">
            <v>-1047.367866898554</v>
          </cell>
          <cell r="I69">
            <v>-736.51177918113581</v>
          </cell>
          <cell r="J69">
            <v>-213.33457695820132</v>
          </cell>
          <cell r="K69">
            <v>-81.16756333821948</v>
          </cell>
          <cell r="L69">
            <v>132.53994935118007</v>
          </cell>
          <cell r="M69">
            <v>184.15279287368105</v>
          </cell>
          <cell r="N69">
            <v>219.36698123178087</v>
          </cell>
          <cell r="O69">
            <v>218.66327135077495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EG69">
            <v>0</v>
          </cell>
          <cell r="EH69">
            <v>1.8765591117545732</v>
          </cell>
          <cell r="EI69">
            <v>3.3616778997529795E-2</v>
          </cell>
          <cell r="EJ69">
            <v>-1.4989015916293091E-2</v>
          </cell>
          <cell r="EK69">
            <v>-1.2864282089839474E-3</v>
          </cell>
          <cell r="EL69">
            <v>-5.6159474668974085E-2</v>
          </cell>
          <cell r="EM69">
            <v>-4.8198716179156387E-3</v>
          </cell>
          <cell r="EN69">
            <v>-1.0325658094548384E-2</v>
          </cell>
          <cell r="EO69">
            <v>5.2171818121501956E-4</v>
          </cell>
          <cell r="EP69">
            <v>-2.7486404976309164E-2</v>
          </cell>
        </row>
        <row r="70">
          <cell r="F70">
            <v>0</v>
          </cell>
          <cell r="G70">
            <v>-7759.3538222780535</v>
          </cell>
          <cell r="H70">
            <v>-18311.364399320155</v>
          </cell>
          <cell r="I70">
            <v>-15917.694363840108</v>
          </cell>
          <cell r="J70">
            <v>-13438.727583504566</v>
          </cell>
          <cell r="K70">
            <v>-11364.598065621241</v>
          </cell>
          <cell r="L70">
            <v>-9383.8010550913787</v>
          </cell>
          <cell r="M70">
            <v>-7291.4078227552573</v>
          </cell>
          <cell r="N70">
            <v>-5237.2059366028561</v>
          </cell>
          <cell r="O70">
            <v>-3600.1065801696896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EG70">
            <v>0</v>
          </cell>
          <cell r="EH70">
            <v>3.1304392394614835</v>
          </cell>
          <cell r="EI70">
            <v>0.10570716366381694</v>
          </cell>
          <cell r="EJ70">
            <v>-0.17945878511413327</v>
          </cell>
          <cell r="EK70">
            <v>-1.897010665072979E-2</v>
          </cell>
          <cell r="EL70">
            <v>-7.7012942237419363E-2</v>
          </cell>
          <cell r="EM70">
            <v>-5.8897599105723342E-3</v>
          </cell>
          <cell r="EN70">
            <v>-2.4740936410093606E-2</v>
          </cell>
          <cell r="EO70">
            <v>5.9130387871835213E-3</v>
          </cell>
          <cell r="EP70">
            <v>2.8912064694583718E-3</v>
          </cell>
        </row>
        <row r="71">
          <cell r="F71">
            <v>0</v>
          </cell>
          <cell r="G71">
            <v>-1050.3789509361886</v>
          </cell>
          <cell r="H71">
            <v>-2255.1166691540861</v>
          </cell>
          <cell r="I71">
            <v>-1694.9061602708812</v>
          </cell>
          <cell r="J71">
            <v>-937.49104794577556</v>
          </cell>
          <cell r="K71">
            <v>-614.22506056175484</v>
          </cell>
          <cell r="L71">
            <v>-157.06380399123583</v>
          </cell>
          <cell r="M71">
            <v>63.240280032250041</v>
          </cell>
          <cell r="N71">
            <v>307.988276086116</v>
          </cell>
          <cell r="O71">
            <v>387.80242996707995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EG71">
            <v>0</v>
          </cell>
          <cell r="EH71">
            <v>0.61596414654721543</v>
          </cell>
          <cell r="EI71">
            <v>-2.8875559895946701E-7</v>
          </cell>
          <cell r="EJ71">
            <v>-4.2984554419145671E-3</v>
          </cell>
          <cell r="EK71">
            <v>8.0451780223589342E-6</v>
          </cell>
          <cell r="EL71">
            <v>-2.6141892913761205E-3</v>
          </cell>
          <cell r="EM71">
            <v>1.1032209875361243E-5</v>
          </cell>
          <cell r="EN71">
            <v>-1.0872077367815314E-3</v>
          </cell>
          <cell r="EO71">
            <v>3.4020933620704241E-5</v>
          </cell>
          <cell r="EP71">
            <v>1.2443843659245418E-4</v>
          </cell>
        </row>
        <row r="72">
          <cell r="F72">
            <v>0</v>
          </cell>
          <cell r="G72">
            <v>38363.268061135081</v>
          </cell>
          <cell r="H72">
            <v>2837.9626390208273</v>
          </cell>
          <cell r="I72">
            <v>29266.618185354058</v>
          </cell>
          <cell r="J72">
            <v>4997.7281153527792</v>
          </cell>
          <cell r="K72">
            <v>29394.813008402471</v>
          </cell>
          <cell r="L72">
            <v>7759.4673966536548</v>
          </cell>
          <cell r="M72">
            <v>48706.184891031509</v>
          </cell>
          <cell r="N72">
            <v>16814.37242614436</v>
          </cell>
          <cell r="O72">
            <v>62014.419478276192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EG72">
            <v>0</v>
          </cell>
          <cell r="EH72">
            <v>7295.7317144314975</v>
          </cell>
          <cell r="EI72">
            <v>0</v>
          </cell>
          <cell r="EJ72">
            <v>5693.9101703769438</v>
          </cell>
          <cell r="EK72">
            <v>203.53808390502664</v>
          </cell>
          <cell r="EL72">
            <v>5273.0666401946892</v>
          </cell>
          <cell r="EM72">
            <v>541.16774627598875</v>
          </cell>
          <cell r="EN72">
            <v>8341.4728994430498</v>
          </cell>
          <cell r="EO72">
            <v>1936.0157082788269</v>
          </cell>
          <cell r="EP72">
            <v>10508.639427654665</v>
          </cell>
        </row>
        <row r="73">
          <cell r="F73">
            <v>0</v>
          </cell>
          <cell r="G73">
            <v>217542.35296706425</v>
          </cell>
          <cell r="H73">
            <v>1068.9740324556815</v>
          </cell>
          <cell r="I73">
            <v>65418.704589463676</v>
          </cell>
          <cell r="J73">
            <v>1265.2177769621842</v>
          </cell>
          <cell r="K73">
            <v>49539.416622429948</v>
          </cell>
          <cell r="L73">
            <v>1303.7118465499991</v>
          </cell>
          <cell r="M73">
            <v>45853.733974984556</v>
          </cell>
          <cell r="N73">
            <v>1892.5216147965268</v>
          </cell>
          <cell r="O73">
            <v>56323.565863755473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EG73">
            <v>0</v>
          </cell>
          <cell r="EH73">
            <v>23824.146098931633</v>
          </cell>
          <cell r="EI73">
            <v>0</v>
          </cell>
          <cell r="EJ73">
            <v>10160.884090029396</v>
          </cell>
          <cell r="EK73">
            <v>16.095586891175461</v>
          </cell>
          <cell r="EL73">
            <v>7439.6559027810617</v>
          </cell>
          <cell r="EM73">
            <v>18.563016410828315</v>
          </cell>
          <cell r="EN73">
            <v>6144.2412069673728</v>
          </cell>
          <cell r="EO73">
            <v>70.079525844733723</v>
          </cell>
          <cell r="EP73">
            <v>6554.604009183473</v>
          </cell>
        </row>
        <row r="74">
          <cell r="F74">
            <v>0</v>
          </cell>
          <cell r="G74">
            <v>23900.524267763336</v>
          </cell>
          <cell r="H74">
            <v>254.22195713400774</v>
          </cell>
          <cell r="I74">
            <v>14532.079444084475</v>
          </cell>
          <cell r="J74">
            <v>294.18472518534787</v>
          </cell>
          <cell r="K74">
            <v>14637.859981669355</v>
          </cell>
          <cell r="L74">
            <v>353.20623789437195</v>
          </cell>
          <cell r="M74">
            <v>14672.923672579227</v>
          </cell>
          <cell r="N74">
            <v>423.23223257759719</v>
          </cell>
          <cell r="O74">
            <v>15211.192909713609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EG74">
            <v>0</v>
          </cell>
          <cell r="EH74">
            <v>3291.7322982765977</v>
          </cell>
          <cell r="EI74">
            <v>0</v>
          </cell>
          <cell r="EJ74">
            <v>2227.148408247197</v>
          </cell>
          <cell r="EK74">
            <v>4.4464046298017674</v>
          </cell>
          <cell r="EL74">
            <v>2146.5203178978732</v>
          </cell>
          <cell r="EM74">
            <v>11.47701988562619</v>
          </cell>
          <cell r="EN74">
            <v>2082.3508436742</v>
          </cell>
          <cell r="EO74">
            <v>19.304236384146147</v>
          </cell>
          <cell r="EP74">
            <v>2076.6378011150955</v>
          </cell>
        </row>
        <row r="75">
          <cell r="F75">
            <v>0</v>
          </cell>
          <cell r="G75">
            <v>9169.3442983340319</v>
          </cell>
          <cell r="H75">
            <v>0.59797862648595967</v>
          </cell>
          <cell r="I75">
            <v>2879.2732926629187</v>
          </cell>
          <cell r="J75">
            <v>-2.3549612079301941E-2</v>
          </cell>
          <cell r="K75">
            <v>11102.005679554339</v>
          </cell>
          <cell r="L75">
            <v>-9.0730709297129356E-2</v>
          </cell>
          <cell r="M75">
            <v>1868.140726117764</v>
          </cell>
          <cell r="N75">
            <v>-33.916813186944417</v>
          </cell>
          <cell r="O75">
            <v>5633.6005976494826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EG75">
            <v>0</v>
          </cell>
          <cell r="EH75">
            <v>2654.8707765218064</v>
          </cell>
          <cell r="EI75">
            <v>0</v>
          </cell>
          <cell r="EJ75">
            <v>462.51465366122613</v>
          </cell>
          <cell r="EK75">
            <v>0</v>
          </cell>
          <cell r="EL75">
            <v>1732.907624759375</v>
          </cell>
          <cell r="EM75">
            <v>0</v>
          </cell>
          <cell r="EN75">
            <v>-196.31416206387681</v>
          </cell>
          <cell r="EO75">
            <v>-17.384996525471394</v>
          </cell>
          <cell r="EP75">
            <v>861.25595330987801</v>
          </cell>
        </row>
        <row r="76">
          <cell r="F76">
            <v>0</v>
          </cell>
          <cell r="G76">
            <v>879.48708994041056</v>
          </cell>
          <cell r="H76">
            <v>5.4439189286865725E-2</v>
          </cell>
          <cell r="I76">
            <v>721.315088947969</v>
          </cell>
          <cell r="J76">
            <v>-1.4265440780724736</v>
          </cell>
          <cell r="K76">
            <v>311.4794608847115</v>
          </cell>
          <cell r="L76">
            <v>-1.9906945473200182</v>
          </cell>
          <cell r="M76">
            <v>77.95979532415879</v>
          </cell>
          <cell r="N76">
            <v>-5.8786982436124751</v>
          </cell>
          <cell r="O76">
            <v>-74.256217259858587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EG76">
            <v>0</v>
          </cell>
          <cell r="EH76">
            <v>4288.0970392170775</v>
          </cell>
          <cell r="EI76">
            <v>0</v>
          </cell>
          <cell r="EJ76">
            <v>2302.2139828410086</v>
          </cell>
          <cell r="EK76">
            <v>-6.6815562337150327</v>
          </cell>
          <cell r="EL76">
            <v>972.65312647648341</v>
          </cell>
          <cell r="EM76">
            <v>-7.2409137612687839</v>
          </cell>
          <cell r="EN76">
            <v>151.21581430019421</v>
          </cell>
          <cell r="EO76">
            <v>-24.22762173176649</v>
          </cell>
          <cell r="EP76">
            <v>-343.63901203922921</v>
          </cell>
        </row>
        <row r="77">
          <cell r="F77">
            <v>0</v>
          </cell>
          <cell r="G77">
            <v>139.22559149203073</v>
          </cell>
          <cell r="H77">
            <v>-1.443777994797335E-7</v>
          </cell>
          <cell r="I77">
            <v>74.288479304864225</v>
          </cell>
          <cell r="J77">
            <v>8.0475428724645308E-6</v>
          </cell>
          <cell r="K77">
            <v>45.073786444695521</v>
          </cell>
          <cell r="L77">
            <v>-1.0117201016449625E-4</v>
          </cell>
          <cell r="M77">
            <v>18.236209615104197</v>
          </cell>
          <cell r="N77">
            <v>-2.7186230511315316E-4</v>
          </cell>
          <cell r="O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EG77">
            <v>0</v>
          </cell>
          <cell r="EH77">
            <v>692.59735328735132</v>
          </cell>
          <cell r="EI77">
            <v>0</v>
          </cell>
          <cell r="EJ77">
            <v>371.45314266292593</v>
          </cell>
          <cell r="EK77">
            <v>2.0124769306425322E-5</v>
          </cell>
          <cell r="EL77">
            <v>225.37546769670601</v>
          </cell>
          <cell r="EM77">
            <v>-5.3344057551088422E-4</v>
          </cell>
          <cell r="EN77">
            <v>91.183766094862918</v>
          </cell>
          <cell r="EO77">
            <v>-1.4443638596175264E-3</v>
          </cell>
          <cell r="EP77">
            <v>-16.795812260410862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490272.33683390915</v>
          </cell>
          <cell r="J78">
            <v>584004.6152669664</v>
          </cell>
          <cell r="K78">
            <v>987704.9866843035</v>
          </cell>
          <cell r="L78">
            <v>1044231.7462987512</v>
          </cell>
          <cell r="M78">
            <v>2562461.0295094331</v>
          </cell>
          <cell r="N78">
            <v>2828846.7279147939</v>
          </cell>
          <cell r="O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EG78">
            <v>0</v>
          </cell>
          <cell r="EH78">
            <v>2046.1810538079035</v>
          </cell>
          <cell r="EI78">
            <v>0</v>
          </cell>
          <cell r="EJ78">
            <v>1456.7221598729138</v>
          </cell>
          <cell r="EK78">
            <v>61.061425171508013</v>
          </cell>
          <cell r="EL78">
            <v>1371.5786012090539</v>
          </cell>
          <cell r="EM78">
            <v>155.52576209921557</v>
          </cell>
          <cell r="EN78">
            <v>2309.6039755946545</v>
          </cell>
          <cell r="EO78">
            <v>562.13229380382222</v>
          </cell>
          <cell r="EP78">
            <v>2858.1818164172619</v>
          </cell>
        </row>
        <row r="79">
          <cell r="F79">
            <v>0</v>
          </cell>
          <cell r="G79">
            <v>8074.0998796355816</v>
          </cell>
          <cell r="H79">
            <v>0</v>
          </cell>
          <cell r="I79">
            <v>155193.18409941869</v>
          </cell>
          <cell r="J79">
            <v>394915.95655831514</v>
          </cell>
          <cell r="K79">
            <v>567518.19706102519</v>
          </cell>
          <cell r="L79">
            <v>743096.62017528573</v>
          </cell>
          <cell r="M79">
            <v>1258905.7749549837</v>
          </cell>
          <cell r="N79">
            <v>1978498.2285018424</v>
          </cell>
          <cell r="O79">
            <v>2420724.4953321158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EG79">
            <v>0</v>
          </cell>
          <cell r="EH79">
            <v>12245.635084928328</v>
          </cell>
          <cell r="EI79">
            <v>0</v>
          </cell>
          <cell r="EJ79">
            <v>3617.9006488740283</v>
          </cell>
          <cell r="EK79">
            <v>8.852572790146505</v>
          </cell>
          <cell r="EL79">
            <v>2646.2361730316629</v>
          </cell>
          <cell r="EM79">
            <v>8.9769461775181885</v>
          </cell>
          <cell r="EN79">
            <v>2375.9109487004021</v>
          </cell>
          <cell r="EO79">
            <v>36.704567562250332</v>
          </cell>
          <cell r="EP79">
            <v>2826.2409028158745</v>
          </cell>
        </row>
        <row r="80">
          <cell r="F80">
            <v>0</v>
          </cell>
          <cell r="G80">
            <v>1616.3752467677921</v>
          </cell>
          <cell r="H80">
            <v>0</v>
          </cell>
          <cell r="I80">
            <v>53736.591041278138</v>
          </cell>
          <cell r="J80">
            <v>136742.07006188252</v>
          </cell>
          <cell r="K80">
            <v>196720.69304392056</v>
          </cell>
          <cell r="L80">
            <v>257846.41908772994</v>
          </cell>
          <cell r="M80">
            <v>436682.043331958</v>
          </cell>
          <cell r="N80">
            <v>686080.53383924149</v>
          </cell>
          <cell r="O80">
            <v>839910.56600051769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EG80">
            <v>0</v>
          </cell>
          <cell r="EH80">
            <v>1316.6929193106391</v>
          </cell>
          <cell r="EI80">
            <v>0</v>
          </cell>
          <cell r="EJ80">
            <v>802.67487138331308</v>
          </cell>
          <cell r="EK80">
            <v>1.7785618519207074</v>
          </cell>
          <cell r="EL80">
            <v>785.33165002271267</v>
          </cell>
          <cell r="EM80">
            <v>4.4716901470899799</v>
          </cell>
          <cell r="EN80">
            <v>765.18637044961213</v>
          </cell>
          <cell r="EO80">
            <v>7.3958421140588033</v>
          </cell>
          <cell r="EP80">
            <v>765.17680354510208</v>
          </cell>
        </row>
        <row r="81">
          <cell r="F81">
            <v>0</v>
          </cell>
          <cell r="G81">
            <v>1937.7839711125393</v>
          </cell>
          <cell r="H81">
            <v>0</v>
          </cell>
          <cell r="I81">
            <v>37246.364183860482</v>
          </cell>
          <cell r="J81">
            <v>94779.829573995637</v>
          </cell>
          <cell r="K81">
            <v>136237.04079836785</v>
          </cell>
          <cell r="L81">
            <v>178426.3322355834</v>
          </cell>
          <cell r="M81">
            <v>302256.18020201084</v>
          </cell>
          <cell r="N81">
            <v>474994.27178622945</v>
          </cell>
          <cell r="O81">
            <v>581236.42082344287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EG81">
            <v>0</v>
          </cell>
          <cell r="EH81">
            <v>504.63535825566032</v>
          </cell>
          <cell r="EI81">
            <v>0</v>
          </cell>
          <cell r="EJ81">
            <v>161.88012878142911</v>
          </cell>
          <cell r="EK81">
            <v>0</v>
          </cell>
          <cell r="EL81">
            <v>606.51766866578123</v>
          </cell>
          <cell r="EM81">
            <v>0</v>
          </cell>
          <cell r="EN81">
            <v>99.251239058208455</v>
          </cell>
          <cell r="EO81">
            <v>-1.7384996525471381</v>
          </cell>
          <cell r="EP81">
            <v>288.70653994041726</v>
          </cell>
        </row>
        <row r="82">
          <cell r="F82">
            <v>0</v>
          </cell>
          <cell r="G82">
            <v>42.425000643962697</v>
          </cell>
          <cell r="H82">
            <v>0</v>
          </cell>
          <cell r="I82">
            <v>1155.040522545524</v>
          </cell>
          <cell r="J82">
            <v>3673.0603544922155</v>
          </cell>
          <cell r="K82">
            <v>4948.158637930037</v>
          </cell>
          <cell r="L82">
            <v>6928.0474839383933</v>
          </cell>
          <cell r="M82">
            <v>10670.116554268039</v>
          </cell>
          <cell r="N82">
            <v>18410.652960868643</v>
          </cell>
          <cell r="O82">
            <v>21540.779240196331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EG82">
            <v>0</v>
          </cell>
          <cell r="EH82">
            <v>1724.2348234614124</v>
          </cell>
          <cell r="EI82">
            <v>0</v>
          </cell>
          <cell r="EJ82">
            <v>1400.791281985054</v>
          </cell>
          <cell r="EK82">
            <v>-2.6726224934860134</v>
          </cell>
          <cell r="EL82">
            <v>587.77410895112678</v>
          </cell>
          <cell r="EM82">
            <v>-3.6467607856307453</v>
          </cell>
          <cell r="EN82">
            <v>143.07023694404094</v>
          </cell>
          <cell r="EO82">
            <v>-10.410688691198645</v>
          </cell>
          <cell r="EP82">
            <v>-131.42982440975899</v>
          </cell>
        </row>
        <row r="83">
          <cell r="F83">
            <v>0</v>
          </cell>
          <cell r="G83">
            <v>44.12200066972121</v>
          </cell>
          <cell r="H83">
            <v>0</v>
          </cell>
          <cell r="I83">
            <v>1184.6095599226896</v>
          </cell>
          <cell r="J83">
            <v>3767.0906995672167</v>
          </cell>
          <cell r="K83">
            <v>5074.831499061047</v>
          </cell>
          <cell r="L83">
            <v>7105.4054995272163</v>
          </cell>
          <cell r="M83">
            <v>10906.880386143548</v>
          </cell>
          <cell r="N83">
            <v>18787.703133507232</v>
          </cell>
          <cell r="O83">
            <v>21933.361127423464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EG83">
            <v>0</v>
          </cell>
          <cell r="EH83">
            <v>277.03894131494053</v>
          </cell>
          <cell r="EI83">
            <v>0</v>
          </cell>
          <cell r="EJ83">
            <v>148.5812570651704</v>
          </cell>
          <cell r="EK83">
            <v>8.0499077225701307E-6</v>
          </cell>
          <cell r="EL83">
            <v>90.150187078682421</v>
          </cell>
          <cell r="EM83">
            <v>-2.1337623020435375E-4</v>
          </cell>
          <cell r="EN83">
            <v>36.473506437945183</v>
          </cell>
          <cell r="EO83">
            <v>-5.7774554384701056E-4</v>
          </cell>
          <cell r="EP83">
            <v>-6.718324904164346</v>
          </cell>
        </row>
        <row r="84">
          <cell r="F84">
            <v>0</v>
          </cell>
          <cell r="G84">
            <v>64123.766029936465</v>
          </cell>
          <cell r="H84">
            <v>53220.844420973022</v>
          </cell>
          <cell r="I84">
            <v>100896.44443117012</v>
          </cell>
          <cell r="J84">
            <v>107228.2558608472</v>
          </cell>
          <cell r="K84">
            <v>119936.58919920377</v>
          </cell>
          <cell r="L84">
            <v>117704.562548602</v>
          </cell>
          <cell r="M84">
            <v>264960.73389609734</v>
          </cell>
          <cell r="N84">
            <v>241181.31374537654</v>
          </cell>
          <cell r="O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EG84">
            <v>0</v>
          </cell>
          <cell r="EH84">
            <v>0.40264671264873075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</row>
        <row r="85">
          <cell r="F85">
            <v>0</v>
          </cell>
          <cell r="G85">
            <v>62784.934574089813</v>
          </cell>
          <cell r="H85">
            <v>108868.67360836254</v>
          </cell>
          <cell r="I85">
            <v>130399.29329495346</v>
          </cell>
          <cell r="J85">
            <v>189469.1921998219</v>
          </cell>
          <cell r="K85">
            <v>213310.4113573826</v>
          </cell>
          <cell r="L85">
            <v>215592.80830185371</v>
          </cell>
          <cell r="M85">
            <v>326353.02989266353</v>
          </cell>
          <cell r="N85">
            <v>467640.59230897797</v>
          </cell>
          <cell r="O85">
            <v>489612.07393343147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</row>
        <row r="86">
          <cell r="F86">
            <v>0</v>
          </cell>
          <cell r="G86">
            <v>7576.5100365821563</v>
          </cell>
          <cell r="H86">
            <v>14436.561484752547</v>
          </cell>
          <cell r="I86">
            <v>17673.073771354466</v>
          </cell>
          <cell r="J86">
            <v>26015.303779386133</v>
          </cell>
          <cell r="K86">
            <v>29327.332203159203</v>
          </cell>
          <cell r="L86">
            <v>30079.091880071039</v>
          </cell>
          <cell r="M86">
            <v>44951.433582985206</v>
          </cell>
          <cell r="N86">
            <v>63675.452557429307</v>
          </cell>
          <cell r="O86">
            <v>67482.741155379976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EG86">
            <v>0</v>
          </cell>
          <cell r="EH86">
            <v>36306.493288479134</v>
          </cell>
          <cell r="EI86">
            <v>2837.9626390208273</v>
          </cell>
          <cell r="EJ86">
            <v>29266.618185354058</v>
          </cell>
          <cell r="EK86">
            <v>4997.7281153527792</v>
          </cell>
          <cell r="EL86">
            <v>29394.813008402471</v>
          </cell>
          <cell r="EM86">
            <v>7759.4673966536548</v>
          </cell>
          <cell r="EN86">
            <v>48706.184891031509</v>
          </cell>
          <cell r="EO86">
            <v>16814.37242614436</v>
          </cell>
          <cell r="EP86">
            <v>62014.419478276192</v>
          </cell>
        </row>
        <row r="87">
          <cell r="F87">
            <v>0</v>
          </cell>
          <cell r="G87">
            <v>19777.254390838294</v>
          </cell>
          <cell r="H87">
            <v>34293.632186634211</v>
          </cell>
          <cell r="I87">
            <v>40841.171558644681</v>
          </cell>
          <cell r="J87">
            <v>59134.97305540747</v>
          </cell>
          <cell r="K87">
            <v>66552.356289633841</v>
          </cell>
          <cell r="L87">
            <v>66995.088704280046</v>
          </cell>
          <cell r="M87">
            <v>101770.80335835047</v>
          </cell>
          <cell r="N87">
            <v>146283.43313439263</v>
          </cell>
          <cell r="O87">
            <v>152654.74131721538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EG87">
            <v>0</v>
          </cell>
          <cell r="EH87">
            <v>211964.99667875996</v>
          </cell>
          <cell r="EI87">
            <v>1068.9740324556815</v>
          </cell>
          <cell r="EJ87">
            <v>65418.704589463676</v>
          </cell>
          <cell r="EK87">
            <v>1265.2177769621842</v>
          </cell>
          <cell r="EL87">
            <v>49539.416622429948</v>
          </cell>
          <cell r="EM87">
            <v>1303.7118465499991</v>
          </cell>
          <cell r="EN87">
            <v>45853.733974984556</v>
          </cell>
          <cell r="EO87">
            <v>1892.5216147965268</v>
          </cell>
          <cell r="EP87">
            <v>56323.565863755473</v>
          </cell>
        </row>
        <row r="88">
          <cell r="F88">
            <v>0</v>
          </cell>
          <cell r="G88">
            <v>11929.137569077066</v>
          </cell>
          <cell r="H88">
            <v>20685.047985588884</v>
          </cell>
          <cell r="I88">
            <v>24807.146503276574</v>
          </cell>
          <cell r="J88">
            <v>36072.189516304352</v>
          </cell>
          <cell r="K88">
            <v>40614.36792962825</v>
          </cell>
          <cell r="L88">
            <v>41084.853032126062</v>
          </cell>
          <cell r="M88">
            <v>62144.462487317869</v>
          </cell>
          <cell r="N88">
            <v>88988.159664430525</v>
          </cell>
          <cell r="O88">
            <v>93236.035643594048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EG88">
            <v>0</v>
          </cell>
          <cell r="EH88">
            <v>22860.357534621256</v>
          </cell>
          <cell r="EI88">
            <v>254.22195713400774</v>
          </cell>
          <cell r="EJ88">
            <v>14532.079444084475</v>
          </cell>
          <cell r="EK88">
            <v>294.18472518534787</v>
          </cell>
          <cell r="EL88">
            <v>14637.859981669355</v>
          </cell>
          <cell r="EM88">
            <v>353.20623789437195</v>
          </cell>
          <cell r="EN88">
            <v>14672.923672579227</v>
          </cell>
          <cell r="EO88">
            <v>423.23223257759719</v>
          </cell>
          <cell r="EP88">
            <v>15211.192909713609</v>
          </cell>
        </row>
        <row r="89">
          <cell r="F89">
            <v>0</v>
          </cell>
          <cell r="G89">
            <v>60.448653596303188</v>
          </cell>
          <cell r="H89">
            <v>151.24715820136211</v>
          </cell>
          <cell r="I89">
            <v>157.64747348140753</v>
          </cell>
          <cell r="J89">
            <v>260.78356841631393</v>
          </cell>
          <cell r="K89">
            <v>274.78305732271616</v>
          </cell>
          <cell r="L89">
            <v>296.84490078529586</v>
          </cell>
          <cell r="M89">
            <v>396.97264792417968</v>
          </cell>
          <cell r="N89">
            <v>644.54942551303748</v>
          </cell>
          <cell r="O89">
            <v>652.67369101307804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EG89">
            <v>0</v>
          </cell>
          <cell r="EH89">
            <v>8747.4608129352546</v>
          </cell>
          <cell r="EI89">
            <v>0.59797862648595967</v>
          </cell>
          <cell r="EJ89">
            <v>2879.2732926629187</v>
          </cell>
          <cell r="EK89">
            <v>-2.3549612079301941E-2</v>
          </cell>
          <cell r="EL89">
            <v>11102.005679554339</v>
          </cell>
          <cell r="EM89">
            <v>-9.0730709297129356E-2</v>
          </cell>
          <cell r="EN89">
            <v>1868.140726117764</v>
          </cell>
          <cell r="EO89">
            <v>-33.916813186944417</v>
          </cell>
          <cell r="EP89">
            <v>5633.6005976494826</v>
          </cell>
        </row>
        <row r="90">
          <cell r="F90">
            <v>0</v>
          </cell>
          <cell r="G90">
            <v>72.538384315563832</v>
          </cell>
          <cell r="H90">
            <v>181.49658984163455</v>
          </cell>
          <cell r="I90">
            <v>189.17696817768905</v>
          </cell>
          <cell r="J90">
            <v>312.94028209957668</v>
          </cell>
          <cell r="K90">
            <v>329.73966878725935</v>
          </cell>
          <cell r="L90">
            <v>356.21388094235499</v>
          </cell>
          <cell r="M90">
            <v>476.36717750901551</v>
          </cell>
          <cell r="N90">
            <v>773.45931061564499</v>
          </cell>
          <cell r="O90">
            <v>783.20842921569374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EG90">
            <v>0</v>
          </cell>
          <cell r="EH90">
            <v>863.68263135043685</v>
          </cell>
          <cell r="EI90">
            <v>5.4439189286865725E-2</v>
          </cell>
          <cell r="EJ90">
            <v>721.315088947969</v>
          </cell>
          <cell r="EK90">
            <v>-1.4265440780724736</v>
          </cell>
          <cell r="EL90">
            <v>311.4794608847115</v>
          </cell>
          <cell r="EM90">
            <v>-1.9906945473200182</v>
          </cell>
          <cell r="EN90">
            <v>77.95979532415879</v>
          </cell>
          <cell r="EO90">
            <v>-5.8786982436124751</v>
          </cell>
          <cell r="EP90">
            <v>-74.256217259858587</v>
          </cell>
        </row>
        <row r="91">
          <cell r="F91">
            <v>0</v>
          </cell>
          <cell r="G91">
            <v>0</v>
          </cell>
          <cell r="H91">
            <v>865.01673695352747</v>
          </cell>
          <cell r="I91">
            <v>78806.455298934568</v>
          </cell>
          <cell r="J91">
            <v>136293.7808816951</v>
          </cell>
          <cell r="K91">
            <v>236075.02233491876</v>
          </cell>
          <cell r="L91">
            <v>300722.93946711521</v>
          </cell>
          <cell r="M91">
            <v>386925.34632355068</v>
          </cell>
          <cell r="N91">
            <v>440987.23529063299</v>
          </cell>
          <cell r="O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EG91">
            <v>0</v>
          </cell>
          <cell r="EH91">
            <v>138.82745273074386</v>
          </cell>
          <cell r="EI91">
            <v>-1.443777994797335E-7</v>
          </cell>
          <cell r="EJ91">
            <v>74.288479304864225</v>
          </cell>
          <cell r="EK91">
            <v>8.0475428724645308E-6</v>
          </cell>
          <cell r="EL91">
            <v>45.073786444695521</v>
          </cell>
          <cell r="EM91">
            <v>-1.0117201016449625E-4</v>
          </cell>
          <cell r="EN91">
            <v>18.236209615104197</v>
          </cell>
          <cell r="EO91">
            <v>-2.7186230511315316E-4</v>
          </cell>
          <cell r="EP91">
            <v>-3.3591002328638764</v>
          </cell>
        </row>
        <row r="92">
          <cell r="F92">
            <v>0</v>
          </cell>
          <cell r="G92">
            <v>25743.292218086823</v>
          </cell>
          <cell r="H92">
            <v>1162.7642538091436</v>
          </cell>
          <cell r="I92">
            <v>97598.873550101533</v>
          </cell>
          <cell r="J92">
            <v>369899.06241305068</v>
          </cell>
          <cell r="K92">
            <v>628916.06486294128</v>
          </cell>
          <cell r="L92">
            <v>926521.55012609088</v>
          </cell>
          <cell r="M92">
            <v>1185434.5533277374</v>
          </cell>
          <cell r="N92">
            <v>1430962.682935152</v>
          </cell>
          <cell r="O92">
            <v>1607362.9880703767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EG92">
            <v>0</v>
          </cell>
          <cell r="EH92">
            <v>19978.042086366808</v>
          </cell>
          <cell r="EI92">
            <v>20712.126259100431</v>
          </cell>
          <cell r="EJ92">
            <v>21885.617831853993</v>
          </cell>
          <cell r="EK92">
            <v>23059.10940460756</v>
          </cell>
          <cell r="EL92">
            <v>24232.600977361122</v>
          </cell>
          <cell r="EM92">
            <v>25406.092550114688</v>
          </cell>
          <cell r="EN92">
            <v>26579.584122868251</v>
          </cell>
          <cell r="EO92">
            <v>27753.075695621817</v>
          </cell>
          <cell r="EP92">
            <v>28926.56726837538</v>
          </cell>
        </row>
        <row r="93">
          <cell r="F93">
            <v>0</v>
          </cell>
          <cell r="G93">
            <v>1893.0744716788538</v>
          </cell>
          <cell r="H93">
            <v>95.819570678515845</v>
          </cell>
          <cell r="I93">
            <v>8042.801566733151</v>
          </cell>
          <cell r="J93">
            <v>30487.165069270184</v>
          </cell>
          <cell r="K93">
            <v>52246.770501362204</v>
          </cell>
          <cell r="L93">
            <v>77942.704501558212</v>
          </cell>
          <cell r="M93">
            <v>100377.59334960066</v>
          </cell>
          <cell r="N93">
            <v>121847.10180841558</v>
          </cell>
          <cell r="O93">
            <v>137456.28078141593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EG93">
            <v>0</v>
          </cell>
          <cell r="EH93">
            <v>4584.2225989827475</v>
          </cell>
          <cell r="EI93">
            <v>4752.6677969482398</v>
          </cell>
          <cell r="EJ93">
            <v>5021.9407599481392</v>
          </cell>
          <cell r="EK93">
            <v>5291.2137229480404</v>
          </cell>
          <cell r="EL93">
            <v>5560.4866859479398</v>
          </cell>
          <cell r="EM93">
            <v>5829.759648947841</v>
          </cell>
          <cell r="EN93">
            <v>6099.0326119477404</v>
          </cell>
          <cell r="EO93">
            <v>6368.3055749476416</v>
          </cell>
          <cell r="EP93">
            <v>6637.578537947541</v>
          </cell>
        </row>
        <row r="94">
          <cell r="F94">
            <v>0</v>
          </cell>
          <cell r="G94">
            <v>9730.9644584368179</v>
          </cell>
          <cell r="H94">
            <v>439.52488793985634</v>
          </cell>
          <cell r="I94">
            <v>36892.374201938372</v>
          </cell>
          <cell r="J94">
            <v>139818.61660587101</v>
          </cell>
          <cell r="K94">
            <v>237459.24129164606</v>
          </cell>
          <cell r="L94">
            <v>349198.06062891037</v>
          </cell>
          <cell r="M94">
            <v>446357.93765723857</v>
          </cell>
          <cell r="N94">
            <v>538369.49516768695</v>
          </cell>
          <cell r="O94">
            <v>604356.42685876496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EG94">
            <v>0</v>
          </cell>
          <cell r="EH94">
            <v>2706.7287656660351</v>
          </cell>
          <cell r="EI94">
            <v>2806.1862969981053</v>
          </cell>
          <cell r="EJ94">
            <v>2965.1770220404901</v>
          </cell>
          <cell r="EK94">
            <v>3124.1677470828763</v>
          </cell>
          <cell r="EL94">
            <v>3283.1584721252611</v>
          </cell>
          <cell r="EM94">
            <v>3442.1491971676473</v>
          </cell>
          <cell r="EN94">
            <v>3601.1399222100322</v>
          </cell>
          <cell r="EO94">
            <v>3760.1306472524184</v>
          </cell>
          <cell r="EP94">
            <v>3919.1213722948032</v>
          </cell>
        </row>
        <row r="95">
          <cell r="F95">
            <v>0</v>
          </cell>
          <cell r="G95">
            <v>5148.6584436173653</v>
          </cell>
          <cell r="H95">
            <v>232.55285076182875</v>
          </cell>
          <cell r="I95">
            <v>19519.774710020305</v>
          </cell>
          <cell r="J95">
            <v>73979.812482610141</v>
          </cell>
          <cell r="K95">
            <v>125783.21297258824</v>
          </cell>
          <cell r="L95">
            <v>185304.3100252182</v>
          </cell>
          <cell r="M95">
            <v>237086.91066554748</v>
          </cell>
          <cell r="N95">
            <v>286192.53658703039</v>
          </cell>
          <cell r="O95">
            <v>321472.59761407529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</row>
        <row r="96">
          <cell r="F96">
            <v>0</v>
          </cell>
          <cell r="G96">
            <v>24.394127587714372</v>
          </cell>
          <cell r="H96">
            <v>1.0518010306220065</v>
          </cell>
          <cell r="I96">
            <v>86.210114491412384</v>
          </cell>
          <cell r="J96">
            <v>432.63483849057326</v>
          </cell>
          <cell r="K96">
            <v>697.87259683811828</v>
          </cell>
          <cell r="L96">
            <v>1097.9649163337253</v>
          </cell>
          <cell r="M96">
            <v>1361.4513399935852</v>
          </cell>
          <cell r="N96">
            <v>1704.0656676486922</v>
          </cell>
          <cell r="O96">
            <v>1910.1029055481831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EG96">
            <v>0</v>
          </cell>
          <cell r="EH96">
            <v>1848.969781589708</v>
          </cell>
          <cell r="EI96">
            <v>1916.9093447691234</v>
          </cell>
          <cell r="EJ96">
            <v>2025.5161065124162</v>
          </cell>
          <cell r="EK96">
            <v>2134.1228682557094</v>
          </cell>
          <cell r="EL96">
            <v>2242.7296299990021</v>
          </cell>
          <cell r="EM96">
            <v>2351.3363917422953</v>
          </cell>
          <cell r="EN96">
            <v>2459.943153485588</v>
          </cell>
          <cell r="EO96">
            <v>2568.5499152288817</v>
          </cell>
          <cell r="EP96">
            <v>2677.1566769721744</v>
          </cell>
        </row>
        <row r="97">
          <cell r="F97">
            <v>0</v>
          </cell>
          <cell r="G97">
            <v>41.713958174991575</v>
          </cell>
          <cell r="H97">
            <v>1.798579762363631</v>
          </cell>
          <cell r="I97">
            <v>125.98355793788357</v>
          </cell>
          <cell r="J97">
            <v>629.2241091006897</v>
          </cell>
          <cell r="K97">
            <v>1014.9859048413591</v>
          </cell>
          <cell r="L97">
            <v>1596.8801743157699</v>
          </cell>
          <cell r="M97">
            <v>1914.1479919349872</v>
          </cell>
          <cell r="N97">
            <v>2323.5276191523453</v>
          </cell>
          <cell r="O97">
            <v>2532.5552310963021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EG97">
            <v>0</v>
          </cell>
          <cell r="EH97">
            <v>1062.5209268308899</v>
          </cell>
          <cell r="EI97">
            <v>1101.5627804926698</v>
          </cell>
          <cell r="EJ97">
            <v>1163.974269472425</v>
          </cell>
          <cell r="EK97">
            <v>1226.3857584521791</v>
          </cell>
          <cell r="EL97">
            <v>1288.7972474319342</v>
          </cell>
          <cell r="EM97">
            <v>1351.2087364116883</v>
          </cell>
          <cell r="EN97">
            <v>1413.6202253914435</v>
          </cell>
          <cell r="EO97">
            <v>1476.0317143711975</v>
          </cell>
          <cell r="EP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-3920.0266128790136</v>
          </cell>
          <cell r="N98">
            <v>-3110.325081244649</v>
          </cell>
          <cell r="O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</row>
        <row r="99">
          <cell r="F99">
            <v>0</v>
          </cell>
          <cell r="G99">
            <v>714.53063984488062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-4509.7891618666254</v>
          </cell>
          <cell r="N99">
            <v>-12350.881178195055</v>
          </cell>
          <cell r="O99">
            <v>-11195.394684576208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</row>
        <row r="100">
          <cell r="F100">
            <v>0</v>
          </cell>
          <cell r="G100">
            <v>25.329950792539172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-312.3037258929985</v>
          </cell>
          <cell r="N100">
            <v>-855.30078492970961</v>
          </cell>
          <cell r="O100">
            <v>-808.00795562228654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</row>
        <row r="101">
          <cell r="F101">
            <v>0</v>
          </cell>
          <cell r="G101">
            <v>205.78482427532566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-1298.8192786175882</v>
          </cell>
          <cell r="N101">
            <v>-3557.0537793201756</v>
          </cell>
          <cell r="O101">
            <v>-3029.4434999389682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</row>
        <row r="102">
          <cell r="F102">
            <v>0</v>
          </cell>
          <cell r="G102">
            <v>142.90612796897614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-901.95783237332512</v>
          </cell>
          <cell r="N102">
            <v>-2470.1762356390109</v>
          </cell>
          <cell r="O102">
            <v>-2239.0789369152421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</row>
        <row r="103">
          <cell r="F103">
            <v>0</v>
          </cell>
          <cell r="G103">
            <v>0.15656744393572614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-2.0920995797044597</v>
          </cell>
          <cell r="N103">
            <v>-9.1867744301071657</v>
          </cell>
          <cell r="O103">
            <v>-6.8813751589507044</v>
          </cell>
        </row>
        <row r="104">
          <cell r="F104">
            <v>0</v>
          </cell>
          <cell r="G104">
            <v>0.27869005020559251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-2.9276004678552328</v>
          </cell>
          <cell r="N104">
            <v>-12.855604666514763</v>
          </cell>
          <cell r="O104">
            <v>-9.3821108786625924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-119231.73434770806</v>
          </cell>
          <cell r="J105">
            <v>-51199.444117692634</v>
          </cell>
          <cell r="K105">
            <v>-41896.410731203534</v>
          </cell>
          <cell r="L105">
            <v>-17846.482786021643</v>
          </cell>
          <cell r="M105">
            <v>-146253.73805505817</v>
          </cell>
          <cell r="N105">
            <v>-62758.206612913425</v>
          </cell>
          <cell r="O105">
            <v>-121872.43352364353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-111918.45062204186</v>
          </cell>
          <cell r="J106">
            <v>-74539.958201130226</v>
          </cell>
          <cell r="K106">
            <v>-38603.956157754103</v>
          </cell>
          <cell r="L106">
            <v>-25522.518162747408</v>
          </cell>
          <cell r="M106">
            <v>-137058.71549688393</v>
          </cell>
          <cell r="N106">
            <v>-91225.37889865016</v>
          </cell>
          <cell r="O106">
            <v>-113519.92964083973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-7313.2837256661996</v>
          </cell>
          <cell r="J107">
            <v>23340.514083437592</v>
          </cell>
          <cell r="K107">
            <v>-3292.4545734494272</v>
          </cell>
          <cell r="L107">
            <v>7676.0353767257657</v>
          </cell>
          <cell r="M107">
            <v>-9195.0225581742088</v>
          </cell>
          <cell r="N107">
            <v>28467.172285736728</v>
          </cell>
          <cell r="O107">
            <v>-8352.5038828037941</v>
          </cell>
        </row>
        <row r="108">
          <cell r="F108">
            <v>0</v>
          </cell>
          <cell r="G108">
            <v>3863.4121287593898</v>
          </cell>
          <cell r="H108">
            <v>0</v>
          </cell>
          <cell r="I108">
            <v>-22455.069889645223</v>
          </cell>
          <cell r="J108">
            <v>-67790.479407431892</v>
          </cell>
          <cell r="K108">
            <v>-53212.682257550565</v>
          </cell>
          <cell r="L108">
            <v>-23965.119103124045</v>
          </cell>
          <cell r="M108">
            <v>-43564.311560954469</v>
          </cell>
          <cell r="N108">
            <v>-83198.967707176897</v>
          </cell>
          <cell r="O108">
            <v>-78575.592406416923</v>
          </cell>
        </row>
        <row r="109">
          <cell r="F109">
            <v>0</v>
          </cell>
          <cell r="G109">
            <v>2115.6073586021967</v>
          </cell>
          <cell r="H109">
            <v>0</v>
          </cell>
          <cell r="I109">
            <v>-12296.412992759098</v>
          </cell>
          <cell r="J109">
            <v>-37122.117003755353</v>
          </cell>
          <cell r="K109">
            <v>-29096.20941066707</v>
          </cell>
          <cell r="L109">
            <v>-12993.215847745774</v>
          </cell>
          <cell r="M109">
            <v>-23755.584665014499</v>
          </cell>
          <cell r="N109">
            <v>-45519.436464884631</v>
          </cell>
          <cell r="O109">
            <v>-42948.77138492588</v>
          </cell>
        </row>
        <row r="110">
          <cell r="F110">
            <v>0</v>
          </cell>
          <cell r="G110">
            <v>173.85354579417259</v>
          </cell>
          <cell r="H110">
            <v>0</v>
          </cell>
          <cell r="I110">
            <v>-1010.4781450340354</v>
          </cell>
          <cell r="J110">
            <v>-3050.5715733344359</v>
          </cell>
          <cell r="K110">
            <v>-2389.7268996449698</v>
          </cell>
          <cell r="L110">
            <v>-1063.8072185144658</v>
          </cell>
          <cell r="M110">
            <v>-1949.1244400726359</v>
          </cell>
          <cell r="N110">
            <v>-3739.4148849022927</v>
          </cell>
          <cell r="O110">
            <v>-3526.9905582486699</v>
          </cell>
        </row>
        <row r="111">
          <cell r="F111">
            <v>0</v>
          </cell>
          <cell r="G111">
            <v>772.6824257518781</v>
          </cell>
          <cell r="H111">
            <v>0</v>
          </cell>
          <cell r="I111">
            <v>-4491.0139779290448</v>
          </cell>
          <cell r="J111">
            <v>-13558.095881486377</v>
          </cell>
          <cell r="K111">
            <v>-10642.536451510116</v>
          </cell>
          <cell r="L111">
            <v>-4793.0238206248086</v>
          </cell>
          <cell r="M111">
            <v>-8712.8623121908931</v>
          </cell>
          <cell r="N111">
            <v>-16639.793541435378</v>
          </cell>
          <cell r="O111">
            <v>-15715.118481283385</v>
          </cell>
        </row>
        <row r="112">
          <cell r="F112">
            <v>0</v>
          </cell>
          <cell r="G112">
            <v>12.952031694201578</v>
          </cell>
          <cell r="H112">
            <v>0</v>
          </cell>
          <cell r="I112">
            <v>-51.191305378369883</v>
          </cell>
          <cell r="J112">
            <v>-256.37541715625878</v>
          </cell>
          <cell r="K112">
            <v>-156.15909125731585</v>
          </cell>
          <cell r="L112">
            <v>-88.222147270441198</v>
          </cell>
          <cell r="M112">
            <v>-109.90591763556797</v>
          </cell>
          <cell r="N112">
            <v>-313.90013338442304</v>
          </cell>
          <cell r="O112">
            <v>-221.364067133525</v>
          </cell>
        </row>
        <row r="113">
          <cell r="F113">
            <v>0</v>
          </cell>
          <cell r="G113">
            <v>13.470112961969642</v>
          </cell>
          <cell r="H113">
            <v>0</v>
          </cell>
          <cell r="I113">
            <v>-52.501802796056154</v>
          </cell>
          <cell r="J113">
            <v>-262.93862783545899</v>
          </cell>
          <cell r="K113">
            <v>-160.15676399350312</v>
          </cell>
          <cell r="L113">
            <v>-90.480634240564498</v>
          </cell>
          <cell r="M113">
            <v>-112.31588137560772</v>
          </cell>
          <cell r="N113">
            <v>-320.32880811613603</v>
          </cell>
          <cell r="O113">
            <v>-225.4466434439187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-478.26769326335113</v>
          </cell>
          <cell r="L114">
            <v>-317.10180562405839</v>
          </cell>
          <cell r="M114">
            <v>-14904.44363546324</v>
          </cell>
          <cell r="N114">
            <v>-9883.9438766121093</v>
          </cell>
          <cell r="O114">
            <v>-3159.823415393133</v>
          </cell>
        </row>
        <row r="115">
          <cell r="F115">
            <v>0</v>
          </cell>
          <cell r="G115">
            <v>24796.717115282103</v>
          </cell>
          <cell r="H115">
            <v>0</v>
          </cell>
          <cell r="I115">
            <v>0</v>
          </cell>
          <cell r="J115">
            <v>0</v>
          </cell>
          <cell r="K115">
            <v>-46.660530157305516</v>
          </cell>
          <cell r="L115">
            <v>-131.96257520575961</v>
          </cell>
          <cell r="M115">
            <v>-1532.1618659200681</v>
          </cell>
          <cell r="N115">
            <v>-4111.8019808115341</v>
          </cell>
          <cell r="O115">
            <v>-2739.720026141626</v>
          </cell>
        </row>
        <row r="116">
          <cell r="F116">
            <v>0</v>
          </cell>
          <cell r="G116">
            <v>2466.5210143345239</v>
          </cell>
          <cell r="H116">
            <v>0</v>
          </cell>
          <cell r="I116">
            <v>0</v>
          </cell>
          <cell r="J116">
            <v>0</v>
          </cell>
          <cell r="K116">
            <v>-4.6413070584272988</v>
          </cell>
          <cell r="L116">
            <v>-13.126272455240013</v>
          </cell>
          <cell r="M116">
            <v>-152.36175084157824</v>
          </cell>
          <cell r="N116">
            <v>-408.8811335489313</v>
          </cell>
          <cell r="O116">
            <v>-271.14618577636179</v>
          </cell>
        </row>
        <row r="117">
          <cell r="F117">
            <v>0</v>
          </cell>
          <cell r="G117">
            <v>4138.274146272367</v>
          </cell>
          <cell r="H117">
            <v>0</v>
          </cell>
          <cell r="I117">
            <v>0</v>
          </cell>
          <cell r="J117">
            <v>0</v>
          </cell>
          <cell r="K117">
            <v>-7.7870818424724666</v>
          </cell>
          <cell r="L117">
            <v>-22.022968230458247</v>
          </cell>
          <cell r="M117">
            <v>-255.67442239139558</v>
          </cell>
          <cell r="N117">
            <v>-686.13968878241815</v>
          </cell>
          <cell r="O117">
            <v>-456.40716426338889</v>
          </cell>
        </row>
        <row r="118">
          <cell r="F118">
            <v>0</v>
          </cell>
          <cell r="G118">
            <v>253.15098383082437</v>
          </cell>
          <cell r="H118">
            <v>0</v>
          </cell>
          <cell r="I118">
            <v>0</v>
          </cell>
          <cell r="J118">
            <v>0</v>
          </cell>
          <cell r="K118">
            <v>-0.32734122025305135</v>
          </cell>
          <cell r="L118">
            <v>-1.432879506617293</v>
          </cell>
          <cell r="M118">
            <v>-10.86167492692169</v>
          </cell>
          <cell r="N118">
            <v>-44.656285868890549</v>
          </cell>
          <cell r="O118">
            <v>-22.700087000998479</v>
          </cell>
        </row>
        <row r="119">
          <cell r="F119">
            <v>0</v>
          </cell>
          <cell r="G119">
            <v>263.27702318405738</v>
          </cell>
          <cell r="H119">
            <v>0</v>
          </cell>
          <cell r="I119">
            <v>0</v>
          </cell>
          <cell r="J119">
            <v>0</v>
          </cell>
          <cell r="K119">
            <v>-0.33572115549152948</v>
          </cell>
          <cell r="L119">
            <v>-1.4695612219866958</v>
          </cell>
          <cell r="M119">
            <v>-11.086713336238333</v>
          </cell>
          <cell r="N119">
            <v>-45.570846603485421</v>
          </cell>
          <cell r="O119">
            <v>-23.136624781888628</v>
          </cell>
        </row>
        <row r="120">
          <cell r="F120">
            <v>0</v>
          </cell>
          <cell r="G120">
            <v>50730341.369048238</v>
          </cell>
          <cell r="H120">
            <v>14807903.144970985</v>
          </cell>
          <cell r="I120">
            <v>16152595.52784496</v>
          </cell>
          <cell r="J120">
            <v>10639545.599839782</v>
          </cell>
          <cell r="K120">
            <v>14641390.568454364</v>
          </cell>
          <cell r="L120">
            <v>11052227.929970937</v>
          </cell>
          <cell r="M120">
            <v>17032949.121892121</v>
          </cell>
          <cell r="N120">
            <v>12019245.898850828</v>
          </cell>
          <cell r="O120">
            <v>-94721988.559943289</v>
          </cell>
        </row>
        <row r="121">
          <cell r="F121">
            <v>0</v>
          </cell>
          <cell r="G121">
            <v>0</v>
          </cell>
          <cell r="H121">
            <v>7061210.6394162206</v>
          </cell>
          <cell r="I121">
            <v>14189980.817295929</v>
          </cell>
          <cell r="J121">
            <v>17810611.089233503</v>
          </cell>
          <cell r="K121">
            <v>22895378.363116473</v>
          </cell>
          <cell r="L121">
            <v>25555063.182510745</v>
          </cell>
          <cell r="M121">
            <v>30578099.114443399</v>
          </cell>
          <cell r="N121">
            <v>32045281.164700884</v>
          </cell>
          <cell r="O121">
            <v>-19799182.378406651</v>
          </cell>
        </row>
        <row r="122">
          <cell r="F122">
            <v>0</v>
          </cell>
          <cell r="G122">
            <v>173051.53057482775</v>
          </cell>
          <cell r="H122">
            <v>660946.67908319575</v>
          </cell>
          <cell r="I122">
            <v>1740593.0555026755</v>
          </cell>
          <cell r="J122">
            <v>2581803.7807440753</v>
          </cell>
          <cell r="K122">
            <v>3337104.7524884888</v>
          </cell>
          <cell r="L122">
            <v>4079718.7635039724</v>
          </cell>
          <cell r="M122">
            <v>4836908.3872993439</v>
          </cell>
          <cell r="N122">
            <v>5494162.1000979282</v>
          </cell>
          <cell r="O122">
            <v>4638908.4610218564</v>
          </cell>
        </row>
        <row r="123">
          <cell r="F123">
            <v>0</v>
          </cell>
          <cell r="G123">
            <v>84666.874195567623</v>
          </cell>
          <cell r="H123">
            <v>320730.68337396678</v>
          </cell>
          <cell r="I123">
            <v>879210.22736993188</v>
          </cell>
          <cell r="J123">
            <v>1377281.2049178402</v>
          </cell>
          <cell r="K123">
            <v>1866818.5417746184</v>
          </cell>
          <cell r="L123">
            <v>2369298.3327520899</v>
          </cell>
          <cell r="M123">
            <v>2899739.8646741849</v>
          </cell>
          <cell r="N123">
            <v>3358022.6109991372</v>
          </cell>
          <cell r="O123">
            <v>3087306.5315788668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215291.57695567323</v>
          </cell>
          <cell r="K124">
            <v>234843.53233961662</v>
          </cell>
          <cell r="L124">
            <v>333857.65547284117</v>
          </cell>
          <cell r="M124">
            <v>408303.83890264126</v>
          </cell>
          <cell r="N124">
            <v>973229.36595096579</v>
          </cell>
          <cell r="O124">
            <v>1170690.5929620573</v>
          </cell>
        </row>
        <row r="125">
          <cell r="F125">
            <v>0</v>
          </cell>
          <cell r="G125">
            <v>56950.700661948002</v>
          </cell>
          <cell r="H125">
            <v>357329.8072251213</v>
          </cell>
          <cell r="I125">
            <v>389710.52060902829</v>
          </cell>
          <cell r="J125">
            <v>324972.57175170991</v>
          </cell>
          <cell r="K125">
            <v>533010.13915402023</v>
          </cell>
          <cell r="L125">
            <v>524963.35170159349</v>
          </cell>
          <cell r="M125">
            <v>734538.04075019481</v>
          </cell>
          <cell r="N125">
            <v>665504.50686704332</v>
          </cell>
          <cell r="O125">
            <v>-1877246.2797285591</v>
          </cell>
        </row>
        <row r="126">
          <cell r="F126">
            <v>0</v>
          </cell>
          <cell r="G126">
            <v>25365170.684524119</v>
          </cell>
          <cell r="H126">
            <v>7403951.5724854926</v>
          </cell>
          <cell r="I126">
            <v>8076297.7639224799</v>
          </cell>
          <cell r="J126">
            <v>5319772.7999198912</v>
          </cell>
          <cell r="K126">
            <v>7320695.2842271822</v>
          </cell>
          <cell r="L126">
            <v>5526113.9649854684</v>
          </cell>
          <cell r="M126">
            <v>8516474.5609460603</v>
          </cell>
          <cell r="N126">
            <v>6009622.9494254142</v>
          </cell>
          <cell r="O126">
            <v>-47360994.279971644</v>
          </cell>
        </row>
        <row r="127">
          <cell r="F127">
            <v>0</v>
          </cell>
          <cell r="G127">
            <v>22772014.668876395</v>
          </cell>
          <cell r="H127">
            <v>26751832.607294917</v>
          </cell>
          <cell r="I127">
            <v>30311178.738174271</v>
          </cell>
          <cell r="J127">
            <v>30867570.723315746</v>
          </cell>
          <cell r="K127">
            <v>32616468.445572391</v>
          </cell>
          <cell r="L127">
            <v>32367205.707848869</v>
          </cell>
          <cell r="M127">
            <v>33672802.485100523</v>
          </cell>
          <cell r="N127">
            <v>33251373.881769191</v>
          </cell>
          <cell r="O127">
            <v>-20478465.354193799</v>
          </cell>
        </row>
        <row r="128">
          <cell r="F128">
            <v>0</v>
          </cell>
          <cell r="G128">
            <v>2394945.7276749387</v>
          </cell>
          <cell r="H128">
            <v>4127346.0121473493</v>
          </cell>
          <cell r="I128">
            <v>4959953.1792626344</v>
          </cell>
          <cell r="J128">
            <v>5552221.0689131254</v>
          </cell>
          <cell r="K128">
            <v>6143778.677577043</v>
          </cell>
          <cell r="L128">
            <v>6721458.1262601493</v>
          </cell>
          <cell r="M128">
            <v>6959033.8115662001</v>
          </cell>
          <cell r="N128">
            <v>7092151.5274135945</v>
          </cell>
          <cell r="O128">
            <v>5959674.9489850057</v>
          </cell>
        </row>
        <row r="129">
          <cell r="F129">
            <v>0</v>
          </cell>
          <cell r="G129">
            <v>1890029.4004598686</v>
          </cell>
          <cell r="H129">
            <v>3256043.7759083621</v>
          </cell>
          <cell r="I129">
            <v>3935900.9309284976</v>
          </cell>
          <cell r="J129">
            <v>4436621.0502396533</v>
          </cell>
          <cell r="K129">
            <v>4911492.1534533408</v>
          </cell>
          <cell r="L129">
            <v>5371449.3842324894</v>
          </cell>
          <cell r="M129">
            <v>5565249.374858154</v>
          </cell>
          <cell r="N129">
            <v>5677032.9299439071</v>
          </cell>
          <cell r="O129">
            <v>4794055.6306240913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389402.83456980926</v>
          </cell>
          <cell r="J130">
            <v>119204.72140065835</v>
          </cell>
          <cell r="K130">
            <v>446969.98921161779</v>
          </cell>
          <cell r="L130">
            <v>182671.51730937898</v>
          </cell>
          <cell r="M130">
            <v>1425526.9094822153</v>
          </cell>
          <cell r="N130">
            <v>526588.63561442716</v>
          </cell>
          <cell r="O130">
            <v>1347790.4221688658</v>
          </cell>
        </row>
        <row r="131">
          <cell r="F131">
            <v>0</v>
          </cell>
          <cell r="G131">
            <v>1219597.4494692038</v>
          </cell>
          <cell r="H131">
            <v>357329.8072251213</v>
          </cell>
          <cell r="I131">
            <v>567113.55571957259</v>
          </cell>
          <cell r="J131">
            <v>681422.64633199607</v>
          </cell>
          <cell r="K131">
            <v>843515.4927933102</v>
          </cell>
          <cell r="L131">
            <v>789137.28797721129</v>
          </cell>
          <cell r="M131">
            <v>946750.58317688049</v>
          </cell>
          <cell r="N131">
            <v>825303.44959861017</v>
          </cell>
          <cell r="O131">
            <v>-1745169.6309322445</v>
          </cell>
        </row>
        <row r="132">
          <cell r="F132">
            <v>0</v>
          </cell>
          <cell r="G132">
            <v>17501299.05403984</v>
          </cell>
          <cell r="H132">
            <v>891571.61206419289</v>
          </cell>
          <cell r="I132">
            <v>4914836.2189758709</v>
          </cell>
          <cell r="J132">
            <v>330573.76802370645</v>
          </cell>
          <cell r="K132">
            <v>3616646.6125868722</v>
          </cell>
          <cell r="L132">
            <v>268875.02874227974</v>
          </cell>
          <cell r="M132">
            <v>3241419.2240651622</v>
          </cell>
          <cell r="N132">
            <v>304278.55537554808</v>
          </cell>
          <cell r="O132">
            <v>-20152057.309164677</v>
          </cell>
        </row>
        <row r="133">
          <cell r="F133">
            <v>0</v>
          </cell>
          <cell r="G133">
            <v>0</v>
          </cell>
          <cell r="H133">
            <v>422590.94113369868</v>
          </cell>
          <cell r="I133">
            <v>2792739.7586624851</v>
          </cell>
          <cell r="J133">
            <v>2770121.0526351924</v>
          </cell>
          <cell r="K133">
            <v>4305636.6086210767</v>
          </cell>
          <cell r="L133">
            <v>4111577.9371048296</v>
          </cell>
          <cell r="M133">
            <v>5304834.537768878</v>
          </cell>
          <cell r="N133">
            <v>4952924.2707411163</v>
          </cell>
          <cell r="O133">
            <v>-5714308.8263790812</v>
          </cell>
        </row>
        <row r="134">
          <cell r="F134">
            <v>0</v>
          </cell>
          <cell r="G134">
            <v>36857.19280459822</v>
          </cell>
          <cell r="H134">
            <v>85639.342686057789</v>
          </cell>
          <cell r="I134">
            <v>310287.82899323746</v>
          </cell>
          <cell r="J134">
            <v>594273.06181565882</v>
          </cell>
          <cell r="K134">
            <v>720133.02119594405</v>
          </cell>
          <cell r="L134">
            <v>885696.91205830371</v>
          </cell>
          <cell r="M134">
            <v>995531.36346918845</v>
          </cell>
          <cell r="N134">
            <v>1146112.4673007524</v>
          </cell>
          <cell r="O134">
            <v>859837.24077095138</v>
          </cell>
        </row>
        <row r="135">
          <cell r="F135">
            <v>0</v>
          </cell>
          <cell r="G135">
            <v>9491.2764581838219</v>
          </cell>
          <cell r="H135">
            <v>22339.409481266455</v>
          </cell>
          <cell r="I135">
            <v>84546.024472292411</v>
          </cell>
          <cell r="J135">
            <v>177409.598082977</v>
          </cell>
          <cell r="K135">
            <v>245837.33498771588</v>
          </cell>
          <cell r="L135">
            <v>314766.10078605422</v>
          </cell>
          <cell r="M135">
            <v>392236.12860850536</v>
          </cell>
          <cell r="N135">
            <v>472728.82371099584</v>
          </cell>
          <cell r="O135">
            <v>466184.71202582965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3463.0395925450171</v>
          </cell>
          <cell r="K136">
            <v>19089.00236994417</v>
          </cell>
          <cell r="L136">
            <v>3150.5254876336094</v>
          </cell>
          <cell r="M136">
            <v>24334.310228649363</v>
          </cell>
          <cell r="N136">
            <v>18432.09597429619</v>
          </cell>
          <cell r="O136">
            <v>112190.00020707095</v>
          </cell>
        </row>
        <row r="137">
          <cell r="F137">
            <v>0</v>
          </cell>
          <cell r="G137">
            <v>22202.405595667158</v>
          </cell>
          <cell r="H137">
            <v>44623.746038876918</v>
          </cell>
          <cell r="I137">
            <v>246165.57995840398</v>
          </cell>
          <cell r="J137">
            <v>30584.035603947472</v>
          </cell>
          <cell r="K137">
            <v>232221.88834893698</v>
          </cell>
          <cell r="L137">
            <v>111484.99683652246</v>
          </cell>
          <cell r="M137">
            <v>283038.93236527039</v>
          </cell>
          <cell r="N137">
            <v>164143.56056292952</v>
          </cell>
          <cell r="O137">
            <v>-847780.52514951455</v>
          </cell>
        </row>
        <row r="138">
          <cell r="F138">
            <v>0</v>
          </cell>
          <cell r="G138">
            <v>6302.579969586297</v>
          </cell>
          <cell r="H138">
            <v>14644.327599315884</v>
          </cell>
          <cell r="I138">
            <v>53059.218757843599</v>
          </cell>
          <cell r="J138">
            <v>103093.12673578438</v>
          </cell>
          <cell r="K138">
            <v>128478.22121451539</v>
          </cell>
          <cell r="L138">
            <v>160264.88032757491</v>
          </cell>
          <cell r="M138">
            <v>177516.67491005402</v>
          </cell>
          <cell r="N138">
            <v>199827.44751948523</v>
          </cell>
          <cell r="O138">
            <v>146453.49235107019</v>
          </cell>
        </row>
        <row r="139">
          <cell r="F139">
            <v>0</v>
          </cell>
          <cell r="G139">
            <v>8750649.5270199198</v>
          </cell>
          <cell r="H139">
            <v>445785.80603209644</v>
          </cell>
          <cell r="I139">
            <v>2457418.1094879354</v>
          </cell>
          <cell r="J139">
            <v>165286.88401185322</v>
          </cell>
          <cell r="K139">
            <v>1808323.3062934361</v>
          </cell>
          <cell r="L139">
            <v>134437.51437113987</v>
          </cell>
          <cell r="M139">
            <v>1620709.6120325811</v>
          </cell>
          <cell r="N139">
            <v>152139.27768777404</v>
          </cell>
          <cell r="O139">
            <v>-10076028.654582338</v>
          </cell>
        </row>
        <row r="140">
          <cell r="F140">
            <v>0</v>
          </cell>
          <cell r="G140">
            <v>5797357.0133912759</v>
          </cell>
          <cell r="H140">
            <v>5441646.5516481092</v>
          </cell>
          <cell r="I140">
            <v>6417184.8593604611</v>
          </cell>
          <cell r="J140">
            <v>5750071.4758655122</v>
          </cell>
          <cell r="K140">
            <v>6193121.7668791274</v>
          </cell>
          <cell r="L140">
            <v>5391560.131084471</v>
          </cell>
          <cell r="M140">
            <v>5464664.0175446272</v>
          </cell>
          <cell r="N140">
            <v>4656081.7395408899</v>
          </cell>
          <cell r="O140">
            <v>-3442884.0720369848</v>
          </cell>
        </row>
        <row r="141">
          <cell r="F141">
            <v>0</v>
          </cell>
          <cell r="G141">
            <v>676330.26548374363</v>
          </cell>
          <cell r="H141">
            <v>1490710.8192839415</v>
          </cell>
          <cell r="I141">
            <v>1539492.2024146472</v>
          </cell>
          <cell r="J141">
            <v>1605172.4706884993</v>
          </cell>
          <cell r="K141">
            <v>1700825.61590589</v>
          </cell>
          <cell r="L141">
            <v>1829275.3188241322</v>
          </cell>
          <cell r="M141">
            <v>1849458.5713008286</v>
          </cell>
          <cell r="N141">
            <v>1887026.8191312291</v>
          </cell>
          <cell r="O141">
            <v>1565837.7288465137</v>
          </cell>
        </row>
        <row r="142">
          <cell r="F142">
            <v>0</v>
          </cell>
          <cell r="G142">
            <v>299180.23111283086</v>
          </cell>
          <cell r="H142">
            <v>659388.59642559104</v>
          </cell>
          <cell r="I142">
            <v>705226.22267365421</v>
          </cell>
          <cell r="J142">
            <v>766659.99122129474</v>
          </cell>
          <cell r="K142">
            <v>815790.64611804695</v>
          </cell>
          <cell r="L142">
            <v>881733.45496242843</v>
          </cell>
          <cell r="M142">
            <v>885132.20889993082</v>
          </cell>
          <cell r="N142">
            <v>894395.7857369046</v>
          </cell>
          <cell r="O142">
            <v>1027501.0394442525</v>
          </cell>
        </row>
        <row r="143">
          <cell r="F143">
            <v>0</v>
          </cell>
          <cell r="G143">
            <v>160415.04800344558</v>
          </cell>
          <cell r="H143">
            <v>8188.6378533121197</v>
          </cell>
          <cell r="I143">
            <v>131332.75525513134</v>
          </cell>
          <cell r="J143">
            <v>71303.068601798004</v>
          </cell>
          <cell r="K143">
            <v>120561.31869791637</v>
          </cell>
          <cell r="L143">
            <v>81153.606354593605</v>
          </cell>
          <cell r="M143">
            <v>297338.30859036028</v>
          </cell>
          <cell r="N143">
            <v>102206.01138287863</v>
          </cell>
          <cell r="O143">
            <v>-55968.27890745824</v>
          </cell>
        </row>
        <row r="144">
          <cell r="F144">
            <v>0</v>
          </cell>
          <cell r="G144">
            <v>666354.08928007924</v>
          </cell>
          <cell r="H144">
            <v>88752.147820958548</v>
          </cell>
          <cell r="I144">
            <v>330910.70699935569</v>
          </cell>
          <cell r="J144">
            <v>288695.69239733438</v>
          </cell>
          <cell r="K144">
            <v>428068.34012453223</v>
          </cell>
          <cell r="L144">
            <v>329839.84426909371</v>
          </cell>
          <cell r="M144">
            <v>442973.77709403745</v>
          </cell>
          <cell r="N144">
            <v>340556.75120269338</v>
          </cell>
          <cell r="O144">
            <v>-431526.70856598462</v>
          </cell>
        </row>
        <row r="145">
          <cell r="F145">
            <v>0</v>
          </cell>
          <cell r="G145">
            <v>109932.42700728134</v>
          </cell>
          <cell r="H145">
            <v>243490.35947878152</v>
          </cell>
          <cell r="I145">
            <v>268999.8695875227</v>
          </cell>
          <cell r="J145">
            <v>303605.10415995715</v>
          </cell>
          <cell r="K145">
            <v>322129.35310549347</v>
          </cell>
          <cell r="L145">
            <v>347430.77030621376</v>
          </cell>
          <cell r="M145">
            <v>353003.90659989335</v>
          </cell>
          <cell r="N145">
            <v>362645.93952553399</v>
          </cell>
          <cell r="O145">
            <v>325242.72646784765</v>
          </cell>
        </row>
        <row r="146">
          <cell r="F146">
            <v>0</v>
          </cell>
          <cell r="G146">
            <v>1083650.9264593781</v>
          </cell>
          <cell r="H146">
            <v>10004.180888988081</v>
          </cell>
          <cell r="I146">
            <v>571864.29332074139</v>
          </cell>
          <cell r="J146">
            <v>11249.154866573535</v>
          </cell>
          <cell r="K146">
            <v>559721.86362878978</v>
          </cell>
          <cell r="L146">
            <v>13134.458424638682</v>
          </cell>
          <cell r="M146">
            <v>545619.44843840285</v>
          </cell>
          <cell r="N146">
            <v>15181.69860592775</v>
          </cell>
          <cell r="O146">
            <v>-1826252.8366563888</v>
          </cell>
        </row>
        <row r="147">
          <cell r="F147">
            <v>0</v>
          </cell>
          <cell r="G147">
            <v>1095.060540989964</v>
          </cell>
          <cell r="H147">
            <v>1396.5106457844042</v>
          </cell>
          <cell r="I147">
            <v>84853.709685282345</v>
          </cell>
          <cell r="J147">
            <v>42140.46668585595</v>
          </cell>
          <cell r="K147">
            <v>91858.888383978745</v>
          </cell>
          <cell r="L147">
            <v>50375.715893689536</v>
          </cell>
          <cell r="M147">
            <v>91870.119364209531</v>
          </cell>
          <cell r="N147">
            <v>51869.664318115552</v>
          </cell>
          <cell r="O147">
            <v>-331416.38189172663</v>
          </cell>
        </row>
        <row r="148">
          <cell r="F148">
            <v>0</v>
          </cell>
          <cell r="G148">
            <v>11006.09300846722</v>
          </cell>
          <cell r="H148">
            <v>10210.356354156511</v>
          </cell>
          <cell r="I148">
            <v>53640.435110292041</v>
          </cell>
          <cell r="J148">
            <v>99591.482611217609</v>
          </cell>
          <cell r="K148">
            <v>111363.02000572522</v>
          </cell>
          <cell r="L148">
            <v>128054.15435411726</v>
          </cell>
          <cell r="M148">
            <v>129691.48390608377</v>
          </cell>
          <cell r="N148">
            <v>127028.54687304227</v>
          </cell>
          <cell r="O148">
            <v>68906.152455723932</v>
          </cell>
        </row>
        <row r="149">
          <cell r="F149">
            <v>0</v>
          </cell>
          <cell r="G149">
            <v>6960.8416758789772</v>
          </cell>
          <cell r="H149">
            <v>1868.704063152456</v>
          </cell>
          <cell r="I149">
            <v>42293.168088083665</v>
          </cell>
          <cell r="J149">
            <v>91094.815654800186</v>
          </cell>
          <cell r="K149">
            <v>114655.73871829858</v>
          </cell>
          <cell r="L149">
            <v>129106.28784135531</v>
          </cell>
          <cell r="M149">
            <v>148679.40303973187</v>
          </cell>
          <cell r="N149">
            <v>159078.44033851582</v>
          </cell>
          <cell r="O149">
            <v>117798.5218938633</v>
          </cell>
        </row>
        <row r="150">
          <cell r="F150">
            <v>0</v>
          </cell>
          <cell r="G150">
            <v>12374.788651772818</v>
          </cell>
          <cell r="H150">
            <v>1603.1468477711092</v>
          </cell>
          <cell r="I150">
            <v>81768.296302877076</v>
          </cell>
          <cell r="J150">
            <v>147366.91932188935</v>
          </cell>
          <cell r="K150">
            <v>215221.4701095882</v>
          </cell>
          <cell r="L150">
            <v>268265.05586741236</v>
          </cell>
          <cell r="M150">
            <v>320990.11766243353</v>
          </cell>
          <cell r="N150">
            <v>358387.81367608026</v>
          </cell>
          <cell r="O150">
            <v>271377.53384616319</v>
          </cell>
        </row>
        <row r="151">
          <cell r="F151">
            <v>0</v>
          </cell>
          <cell r="G151">
            <v>41188.456929863183</v>
          </cell>
          <cell r="H151">
            <v>56892.452807548943</v>
          </cell>
          <cell r="I151">
            <v>170757.29903479715</v>
          </cell>
          <cell r="J151">
            <v>262198.12531595089</v>
          </cell>
          <cell r="K151">
            <v>355235.37215343793</v>
          </cell>
          <cell r="L151">
            <v>424250.6973169354</v>
          </cell>
          <cell r="M151">
            <v>485898.55501747772</v>
          </cell>
          <cell r="N151">
            <v>522328.99025848205</v>
          </cell>
          <cell r="O151">
            <v>376355.84341674508</v>
          </cell>
        </row>
        <row r="152">
          <cell r="F152">
            <v>0</v>
          </cell>
          <cell r="G152">
            <v>37281.739025164774</v>
          </cell>
          <cell r="H152">
            <v>32889.334633724051</v>
          </cell>
          <cell r="I152">
            <v>187218.14225937513</v>
          </cell>
          <cell r="J152">
            <v>321705.73725473788</v>
          </cell>
          <cell r="K152">
            <v>428299.28441495146</v>
          </cell>
          <cell r="L152">
            <v>509273.14260690584</v>
          </cell>
          <cell r="M152">
            <v>561060.74767247832</v>
          </cell>
          <cell r="N152">
            <v>579258.34559134021</v>
          </cell>
          <cell r="O152">
            <v>358172.42578817718</v>
          </cell>
        </row>
        <row r="153">
          <cell r="F153">
            <v>0</v>
          </cell>
          <cell r="G153">
            <v>541825.46322968905</v>
          </cell>
          <cell r="H153">
            <v>5002.0904444940406</v>
          </cell>
          <cell r="I153">
            <v>285932.14666037069</v>
          </cell>
          <cell r="J153">
            <v>5624.5774332867677</v>
          </cell>
          <cell r="K153">
            <v>279860.93181439489</v>
          </cell>
          <cell r="L153">
            <v>6567.2292123193411</v>
          </cell>
          <cell r="M153">
            <v>272809.72421920142</v>
          </cell>
          <cell r="N153">
            <v>7590.8493029638748</v>
          </cell>
          <cell r="O153">
            <v>-913126.41832819441</v>
          </cell>
        </row>
        <row r="154">
          <cell r="F154">
            <v>0</v>
          </cell>
          <cell r="G154">
            <v>460329.5899427798</v>
          </cell>
          <cell r="H154">
            <v>341533.98688333482</v>
          </cell>
          <cell r="I154">
            <v>472360.72383001994</v>
          </cell>
          <cell r="J154">
            <v>352825.95762660546</v>
          </cell>
          <cell r="K154">
            <v>466730.08457589278</v>
          </cell>
          <cell r="L154">
            <v>349897.58453103644</v>
          </cell>
          <cell r="M154">
            <v>456453.9091854553</v>
          </cell>
          <cell r="N154">
            <v>341420.46073282615</v>
          </cell>
          <cell r="O154">
            <v>-690256.44860502717</v>
          </cell>
        </row>
        <row r="155">
          <cell r="F155">
            <v>0</v>
          </cell>
          <cell r="G155">
            <v>131607.37729629775</v>
          </cell>
          <cell r="H155">
            <v>239312.10408322641</v>
          </cell>
          <cell r="I155">
            <v>244542.3796114391</v>
          </cell>
          <cell r="J155">
            <v>249349.16462705127</v>
          </cell>
          <cell r="K155">
            <v>243182.74040127569</v>
          </cell>
          <cell r="L155">
            <v>236969.52878359699</v>
          </cell>
          <cell r="M155">
            <v>235108.31709132111</v>
          </cell>
          <cell r="N155">
            <v>233532.16892598115</v>
          </cell>
          <cell r="O155">
            <v>141994.11384789634</v>
          </cell>
        </row>
        <row r="156">
          <cell r="F156">
            <v>0</v>
          </cell>
          <cell r="G156">
            <v>67141.330604160321</v>
          </cell>
          <cell r="H156">
            <v>122100.65308489151</v>
          </cell>
          <cell r="I156">
            <v>122739.67485330538</v>
          </cell>
          <cell r="J156">
            <v>123118.35839189155</v>
          </cell>
          <cell r="K156">
            <v>122091.43103677951</v>
          </cell>
          <cell r="L156">
            <v>121096.95178404923</v>
          </cell>
          <cell r="M156">
            <v>120549.10834287902</v>
          </cell>
          <cell r="N156">
            <v>120143.51397777414</v>
          </cell>
          <cell r="O156">
            <v>73558.373223778122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30841.227051232803</v>
          </cell>
          <cell r="J157">
            <v>295.88960835990326</v>
          </cell>
          <cell r="K157">
            <v>42327.264828471772</v>
          </cell>
          <cell r="L157">
            <v>576.52756752366838</v>
          </cell>
          <cell r="M157">
            <v>44188.987569027166</v>
          </cell>
          <cell r="N157">
            <v>794.04051197606532</v>
          </cell>
          <cell r="O157">
            <v>43509.324265753909</v>
          </cell>
        </row>
        <row r="158">
          <cell r="F158">
            <v>0</v>
          </cell>
          <cell r="G158">
            <v>24825.68728389388</v>
          </cell>
          <cell r="H158">
            <v>229.4870101064329</v>
          </cell>
          <cell r="I158">
            <v>24611.548508621912</v>
          </cell>
          <cell r="J158">
            <v>23501.927966782467</v>
          </cell>
          <cell r="K158">
            <v>34711.444173819596</v>
          </cell>
          <cell r="L158">
            <v>20705.822122650043</v>
          </cell>
          <cell r="M158">
            <v>32847.703005836127</v>
          </cell>
          <cell r="N158">
            <v>20607.379673995856</v>
          </cell>
          <cell r="O158">
            <v>-21875.660653034956</v>
          </cell>
        </row>
        <row r="159">
          <cell r="F159">
            <v>0</v>
          </cell>
          <cell r="G159">
            <v>23689.327913333593</v>
          </cell>
          <cell r="H159">
            <v>43076.178734980749</v>
          </cell>
          <cell r="I159">
            <v>49305.092815637508</v>
          </cell>
          <cell r="J159">
            <v>55575.003799759848</v>
          </cell>
          <cell r="K159">
            <v>53322.373965695682</v>
          </cell>
          <cell r="L159">
            <v>51011.843047810187</v>
          </cell>
          <cell r="M159">
            <v>50317.299003790926</v>
          </cell>
          <cell r="N159">
            <v>49676.382419879679</v>
          </cell>
          <cell r="O159">
            <v>32981.019214345521</v>
          </cell>
        </row>
        <row r="160">
          <cell r="F160">
            <v>0</v>
          </cell>
          <cell r="G160">
            <v>-1450553.3862978222</v>
          </cell>
          <cell r="H160">
            <v>-37952.191949155713</v>
          </cell>
          <cell r="I160">
            <v>111187.11897952302</v>
          </cell>
          <cell r="J160">
            <v>2117.5783506203197</v>
          </cell>
          <cell r="K160">
            <v>416585.73353211198</v>
          </cell>
          <cell r="L160">
            <v>7933.9489911667761</v>
          </cell>
          <cell r="M160">
            <v>69295.54328623983</v>
          </cell>
          <cell r="N160">
            <v>-1043.4891735812043</v>
          </cell>
          <cell r="O160">
            <v>199047.25444165018</v>
          </cell>
        </row>
        <row r="161">
          <cell r="F161">
            <v>0</v>
          </cell>
          <cell r="G161">
            <v>0</v>
          </cell>
          <cell r="H161">
            <v>-18120.230424082431</v>
          </cell>
          <cell r="I161">
            <v>37418.934924211746</v>
          </cell>
          <cell r="J161">
            <v>36811.904964621499</v>
          </cell>
          <cell r="K161">
            <v>238565.77631635638</v>
          </cell>
          <cell r="L161">
            <v>228406.82519437998</v>
          </cell>
          <cell r="M161">
            <v>244584.03158430583</v>
          </cell>
          <cell r="N161">
            <v>217608.88025048445</v>
          </cell>
          <cell r="O161">
            <v>284309.67663209722</v>
          </cell>
        </row>
        <row r="162">
          <cell r="F162">
            <v>0</v>
          </cell>
          <cell r="G162">
            <v>-2536.0355827705816</v>
          </cell>
          <cell r="H162">
            <v>-4340.2429353857033</v>
          </cell>
          <cell r="I162">
            <v>1780.2815540394254</v>
          </cell>
          <cell r="J162">
            <v>9340.2421948736483</v>
          </cell>
          <cell r="K162">
            <v>33577.212671012705</v>
          </cell>
          <cell r="L162">
            <v>61868.247785691223</v>
          </cell>
          <cell r="M162">
            <v>66431.01060664485</v>
          </cell>
          <cell r="N162">
            <v>72190.382866834698</v>
          </cell>
          <cell r="O162">
            <v>81012.387416196623</v>
          </cell>
        </row>
        <row r="163">
          <cell r="F163">
            <v>0</v>
          </cell>
          <cell r="G163">
            <v>-553.20641054575935</v>
          </cell>
          <cell r="H163">
            <v>-820.01306445049954</v>
          </cell>
          <cell r="I163">
            <v>56.981204859813886</v>
          </cell>
          <cell r="J163">
            <v>1569.8151949175635</v>
          </cell>
          <cell r="K163">
            <v>6288.0532114841526</v>
          </cell>
          <cell r="L163">
            <v>13523.308602009489</v>
          </cell>
          <cell r="M163">
            <v>17872.383198726853</v>
          </cell>
          <cell r="N163">
            <v>25856.882202041095</v>
          </cell>
          <cell r="O163">
            <v>32220.175133473233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4.5872451430822544E-6</v>
          </cell>
          <cell r="O164">
            <v>-1.3208517656453665E-5</v>
          </cell>
        </row>
        <row r="165">
          <cell r="F165">
            <v>0</v>
          </cell>
          <cell r="G165">
            <v>999.49520600608798</v>
          </cell>
          <cell r="H165">
            <v>-2351.634956909968</v>
          </cell>
          <cell r="I165">
            <v>6892.1927778717009</v>
          </cell>
          <cell r="J165">
            <v>131.25977848260865</v>
          </cell>
          <cell r="K165">
            <v>25854.423544294103</v>
          </cell>
          <cell r="L165">
            <v>492.23656668146623</v>
          </cell>
          <cell r="M165">
            <v>4301.2845200711772</v>
          </cell>
          <cell r="N165">
            <v>-64.846243143759736</v>
          </cell>
          <cell r="O165">
            <v>12379.149647226615</v>
          </cell>
        </row>
        <row r="166">
          <cell r="F166">
            <v>0</v>
          </cell>
          <cell r="G166">
            <v>-319.54048342909334</v>
          </cell>
          <cell r="H166">
            <v>-546.87060985859853</v>
          </cell>
          <cell r="I166">
            <v>224.31547580896773</v>
          </cell>
          <cell r="J166">
            <v>1099.1437967748777</v>
          </cell>
          <cell r="K166">
            <v>4262.6107551243294</v>
          </cell>
          <cell r="L166">
            <v>8039.9989182904519</v>
          </cell>
          <cell r="M166">
            <v>8939.9011408829883</v>
          </cell>
          <cell r="N166">
            <v>10088.45683887562</v>
          </cell>
          <cell r="O166">
            <v>10778.08000827547</v>
          </cell>
        </row>
        <row r="167">
          <cell r="F167">
            <v>0</v>
          </cell>
          <cell r="G167">
            <v>-725276.69314891112</v>
          </cell>
          <cell r="H167">
            <v>-18976.095974577856</v>
          </cell>
          <cell r="I167">
            <v>55593.559489761508</v>
          </cell>
          <cell r="J167">
            <v>1058.7891753101599</v>
          </cell>
          <cell r="K167">
            <v>208292.86676605599</v>
          </cell>
          <cell r="L167">
            <v>3966.974495583388</v>
          </cell>
          <cell r="M167">
            <v>34647.771643119915</v>
          </cell>
          <cell r="N167">
            <v>-521.74458679060217</v>
          </cell>
          <cell r="O167">
            <v>99523.627220825088</v>
          </cell>
        </row>
        <row r="168">
          <cell r="F168">
            <v>0</v>
          </cell>
          <cell r="G168">
            <v>-702323.16578523442</v>
          </cell>
          <cell r="H168">
            <v>-634656.09712789685</v>
          </cell>
          <cell r="I168">
            <v>-495678.43148096395</v>
          </cell>
          <cell r="J168">
            <v>-415208.54901373782</v>
          </cell>
          <cell r="K168">
            <v>-139135.93042746029</v>
          </cell>
          <cell r="L168">
            <v>-81040.883413433679</v>
          </cell>
          <cell r="M168">
            <v>-6681.9267553822283</v>
          </cell>
          <cell r="N168">
            <v>2909.4139893709253</v>
          </cell>
          <cell r="O168">
            <v>107998.95049959239</v>
          </cell>
        </row>
        <row r="169">
          <cell r="F169">
            <v>0</v>
          </cell>
          <cell r="G169">
            <v>-102994.3492243533</v>
          </cell>
          <cell r="H169">
            <v>-185182.76392703081</v>
          </cell>
          <cell r="I169">
            <v>-178610.90322117758</v>
          </cell>
          <cell r="J169">
            <v>-170603.01804680072</v>
          </cell>
          <cell r="K169">
            <v>-145945.07904385435</v>
          </cell>
          <cell r="L169">
            <v>-117240.51910385996</v>
          </cell>
          <cell r="M169">
            <v>-79065.63290527917</v>
          </cell>
          <cell r="N169">
            <v>-16264.450609085372</v>
          </cell>
          <cell r="O169">
            <v>-7231.7321417059966</v>
          </cell>
        </row>
        <row r="170">
          <cell r="F170">
            <v>0</v>
          </cell>
          <cell r="G170">
            <v>-47232.438802293218</v>
          </cell>
          <cell r="H170">
            <v>-84906.918957815476</v>
          </cell>
          <cell r="I170">
            <v>-81898.772279541896</v>
          </cell>
          <cell r="J170">
            <v>-78233.379520386254</v>
          </cell>
          <cell r="K170">
            <v>-66961.027605265059</v>
          </cell>
          <cell r="L170">
            <v>-53839.167503005658</v>
          </cell>
          <cell r="M170">
            <v>-37240.106800615591</v>
          </cell>
          <cell r="N170">
            <v>-10045.299951889192</v>
          </cell>
          <cell r="O170">
            <v>-5841.7895844754785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-2352.456910195398</v>
          </cell>
          <cell r="N171">
            <v>-60.873368726635917</v>
          </cell>
          <cell r="O171">
            <v>178.33843432179975</v>
          </cell>
        </row>
        <row r="172">
          <cell r="F172">
            <v>0</v>
          </cell>
          <cell r="G172">
            <v>-89608.073135720391</v>
          </cell>
          <cell r="H172">
            <v>-2347.9758046535703</v>
          </cell>
          <cell r="I172">
            <v>234.00702190600805</v>
          </cell>
          <cell r="J172">
            <v>-18292.962604688051</v>
          </cell>
          <cell r="K172">
            <v>8705.5729169621482</v>
          </cell>
          <cell r="L172">
            <v>-14648.9673135905</v>
          </cell>
          <cell r="M172">
            <v>-9389.3591614975812</v>
          </cell>
          <cell r="N172">
            <v>-12624.104102183666</v>
          </cell>
          <cell r="O172">
            <v>4368.5865542177389</v>
          </cell>
        </row>
        <row r="173">
          <cell r="F173">
            <v>0</v>
          </cell>
          <cell r="G173">
            <v>-12977.288002268515</v>
          </cell>
          <cell r="H173">
            <v>-23333.028254805882</v>
          </cell>
          <cell r="I173">
            <v>-23701.519126042422</v>
          </cell>
          <cell r="J173">
            <v>-24812.30357975245</v>
          </cell>
          <cell r="K173">
            <v>-20397.256982059364</v>
          </cell>
          <cell r="L173">
            <v>-14528.085863186567</v>
          </cell>
          <cell r="M173">
            <v>-8610.2771841316862</v>
          </cell>
          <cell r="N173">
            <v>1061.8421766903668</v>
          </cell>
          <cell r="O173">
            <v>2325.2878230381375</v>
          </cell>
        </row>
        <row r="174">
          <cell r="F174">
            <v>0</v>
          </cell>
          <cell r="G174">
            <v>-7820894.3262766805</v>
          </cell>
          <cell r="H174">
            <v>-543304.93871624023</v>
          </cell>
          <cell r="I174">
            <v>4472977.8331386149</v>
          </cell>
          <cell r="J174">
            <v>140158.90618066597</v>
          </cell>
          <cell r="K174">
            <v>1884112.5421859731</v>
          </cell>
          <cell r="L174">
            <v>43234.432955442753</v>
          </cell>
          <cell r="M174">
            <v>484002.13783213764</v>
          </cell>
          <cell r="N174">
            <v>-46287.133558212859</v>
          </cell>
          <cell r="O174">
            <v>-360608.67402586463</v>
          </cell>
        </row>
        <row r="175">
          <cell r="F175">
            <v>0</v>
          </cell>
          <cell r="G175">
            <v>0</v>
          </cell>
          <cell r="H175">
            <v>-27873.013583192544</v>
          </cell>
          <cell r="I175">
            <v>222555.98253132199</v>
          </cell>
          <cell r="J175">
            <v>197554.35502684143</v>
          </cell>
          <cell r="K175">
            <v>270515.04564432229</v>
          </cell>
          <cell r="L175">
            <v>229666.62621508579</v>
          </cell>
          <cell r="M175">
            <v>214557.79481885862</v>
          </cell>
          <cell r="N175">
            <v>168897.44858793315</v>
          </cell>
          <cell r="O175">
            <v>108556.47316747493</v>
          </cell>
        </row>
        <row r="176">
          <cell r="F176">
            <v>0</v>
          </cell>
          <cell r="G176">
            <v>-78963.214696823532</v>
          </cell>
          <cell r="H176">
            <v>-146196.12479975563</v>
          </cell>
          <cell r="I176">
            <v>487646.45167175779</v>
          </cell>
          <cell r="J176">
            <v>1136408.1848072817</v>
          </cell>
          <cell r="K176">
            <v>1242011.8401006034</v>
          </cell>
          <cell r="L176">
            <v>1351848.6938985786</v>
          </cell>
          <cell r="M176">
            <v>1220542.6534095984</v>
          </cell>
          <cell r="N176">
            <v>1040718.8689433523</v>
          </cell>
          <cell r="O176">
            <v>810647.98665118741</v>
          </cell>
        </row>
        <row r="177">
          <cell r="F177">
            <v>0</v>
          </cell>
          <cell r="G177">
            <v>-2275.9211248939628</v>
          </cell>
          <cell r="H177">
            <v>-3963.5018328680994</v>
          </cell>
          <cell r="I177">
            <v>12184.73428090135</v>
          </cell>
          <cell r="J177">
            <v>32659.928061888597</v>
          </cell>
          <cell r="K177">
            <v>37319.943773133084</v>
          </cell>
          <cell r="L177">
            <v>42712.471713586398</v>
          </cell>
          <cell r="M177">
            <v>42992.931048200793</v>
          </cell>
          <cell r="N177">
            <v>42413.562484464746</v>
          </cell>
          <cell r="O177">
            <v>38649.393920507246</v>
          </cell>
        </row>
        <row r="178">
          <cell r="F178">
            <v>0</v>
          </cell>
          <cell r="G178">
            <v>-1876.9220964037315</v>
          </cell>
          <cell r="H178">
            <v>-3210.1958472072297</v>
          </cell>
          <cell r="I178">
            <v>9619.0931697911838</v>
          </cell>
          <cell r="J178">
            <v>26824.164660420553</v>
          </cell>
          <cell r="K178">
            <v>31099.249982148835</v>
          </cell>
          <cell r="L178">
            <v>35990.72454258753</v>
          </cell>
          <cell r="M178">
            <v>37012.711479141173</v>
          </cell>
          <cell r="N178">
            <v>37371.463612923093</v>
          </cell>
          <cell r="O178">
            <v>34799.790049912895</v>
          </cell>
        </row>
        <row r="179">
          <cell r="F179">
            <v>0</v>
          </cell>
          <cell r="G179">
            <v>242.67826155798917</v>
          </cell>
          <cell r="H179">
            <v>-1428.9236678714899</v>
          </cell>
          <cell r="I179">
            <v>11769.72713214125</v>
          </cell>
          <cell r="J179">
            <v>368.77158375346568</v>
          </cell>
          <cell r="K179">
            <v>4964.7839145879316</v>
          </cell>
          <cell r="L179">
            <v>113.85270723449671</v>
          </cell>
          <cell r="M179">
            <v>1275.499326374108</v>
          </cell>
          <cell r="N179">
            <v>-122.15038957826972</v>
          </cell>
          <cell r="O179">
            <v>-952.65583816045125</v>
          </cell>
        </row>
        <row r="180">
          <cell r="F180">
            <v>0</v>
          </cell>
          <cell r="G180">
            <v>-102.41645062022832</v>
          </cell>
          <cell r="H180">
            <v>-178.35758247906449</v>
          </cell>
          <cell r="I180">
            <v>548.31304264056087</v>
          </cell>
          <cell r="J180">
            <v>1486.5435436855028</v>
          </cell>
          <cell r="K180">
            <v>1627.6020240928979</v>
          </cell>
          <cell r="L180">
            <v>1800.1717632718266</v>
          </cell>
          <cell r="M180">
            <v>1723.9545732578606</v>
          </cell>
          <cell r="N180">
            <v>1596.2069374937644</v>
          </cell>
          <cell r="O180">
            <v>1369.9616161818717</v>
          </cell>
        </row>
        <row r="181">
          <cell r="F181">
            <v>0</v>
          </cell>
          <cell r="G181">
            <v>-38.001442837987305</v>
          </cell>
          <cell r="H181">
            <v>-53.765619397843395</v>
          </cell>
          <cell r="I181">
            <v>117.4548880680406</v>
          </cell>
          <cell r="J181">
            <v>512.98192262220618</v>
          </cell>
          <cell r="K181">
            <v>521.49941053177452</v>
          </cell>
          <cell r="L181">
            <v>614.89414623620598</v>
          </cell>
          <cell r="M181">
            <v>546.90567675065051</v>
          </cell>
          <cell r="N181">
            <v>479.50032373181426</v>
          </cell>
          <cell r="O181">
            <v>383.5122210605096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F185">
            <v>0</v>
          </cell>
          <cell r="G185">
            <v>2218.7197473691626</v>
          </cell>
          <cell r="H185">
            <v>0</v>
          </cell>
          <cell r="I185">
            <v>280370.0408902627</v>
          </cell>
          <cell r="J185">
            <v>120418.66740827939</v>
          </cell>
          <cell r="K185">
            <v>359551.40964899113</v>
          </cell>
          <cell r="L185">
            <v>185950.50220159924</v>
          </cell>
          <cell r="M185">
            <v>1092837.7711604633</v>
          </cell>
          <cell r="N185">
            <v>539934.48056354153</v>
          </cell>
          <cell r="O185">
            <v>1163486.8607341712</v>
          </cell>
        </row>
        <row r="186">
          <cell r="F186">
            <v>0</v>
          </cell>
          <cell r="G186">
            <v>201602.59834595906</v>
          </cell>
          <cell r="H186">
            <v>9908.2518025076697</v>
          </cell>
          <cell r="I186">
            <v>229368.24043681048</v>
          </cell>
          <cell r="J186">
            <v>90466.990915155067</v>
          </cell>
          <cell r="K186">
            <v>195044.61536293759</v>
          </cell>
          <cell r="L186">
            <v>102007.99952909494</v>
          </cell>
          <cell r="M186">
            <v>597954.04606518929</v>
          </cell>
          <cell r="N186">
            <v>145972.10990218155</v>
          </cell>
          <cell r="O186">
            <v>357862.71421094763</v>
          </cell>
        </row>
        <row r="187">
          <cell r="F187">
            <v>0</v>
          </cell>
          <cell r="G187">
            <v>20137.951613195582</v>
          </cell>
          <cell r="H187">
            <v>1731.3985955927978</v>
          </cell>
          <cell r="I187">
            <v>154926.81043777012</v>
          </cell>
          <cell r="J187">
            <v>159475.83364466921</v>
          </cell>
          <cell r="K187">
            <v>305599.17714419431</v>
          </cell>
          <cell r="L187">
            <v>290348.91010973096</v>
          </cell>
          <cell r="M187">
            <v>409186.39739773032</v>
          </cell>
          <cell r="N187">
            <v>387916.40252310084</v>
          </cell>
          <cell r="O187">
            <v>346794.1192431557</v>
          </cell>
        </row>
        <row r="188">
          <cell r="F188">
            <v>0</v>
          </cell>
          <cell r="G188">
            <v>45.843773947034769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-2352.4569101953971</v>
          </cell>
          <cell r="N188">
            <v>-30.436682069695379</v>
          </cell>
          <cell r="O188">
            <v>89.169210556641033</v>
          </cell>
        </row>
        <row r="189">
          <cell r="F189">
            <v>0</v>
          </cell>
          <cell r="G189">
            <v>6863.3699691149795</v>
          </cell>
          <cell r="H189">
            <v>0</v>
          </cell>
          <cell r="I189">
            <v>-115981.65125883406</v>
          </cell>
          <cell r="J189">
            <v>1.9885074907440062E-12</v>
          </cell>
          <cell r="K189">
            <v>-10645.055473185683</v>
          </cell>
          <cell r="L189">
            <v>-8.8818326380731956E-9</v>
          </cell>
          <cell r="M189">
            <v>-132137.41219283125</v>
          </cell>
          <cell r="N189">
            <v>-3.4240975308367861E-8</v>
          </cell>
          <cell r="O189">
            <v>-81757.018595464324</v>
          </cell>
        </row>
        <row r="190">
          <cell r="F190">
            <v>0</v>
          </cell>
          <cell r="G190">
            <v>24629.11318421927</v>
          </cell>
          <cell r="H190">
            <v>0</v>
          </cell>
          <cell r="I190">
            <v>0</v>
          </cell>
          <cell r="J190">
            <v>0</v>
          </cell>
          <cell r="K190">
            <v>-356.71644078682579</v>
          </cell>
          <cell r="L190">
            <v>4.265924380555609E-4</v>
          </cell>
          <cell r="M190">
            <v>-11020.064474005227</v>
          </cell>
          <cell r="N190">
            <v>1.4524068891519928E-3</v>
          </cell>
          <cell r="O190">
            <v>652.22647012240634</v>
          </cell>
        </row>
        <row r="191">
          <cell r="F191">
            <v>0</v>
          </cell>
          <cell r="G191">
            <v>2324.2186457327825</v>
          </cell>
          <cell r="H191">
            <v>0</v>
          </cell>
          <cell r="I191">
            <v>233641.70074188558</v>
          </cell>
          <cell r="J191">
            <v>100348.88950689952</v>
          </cell>
          <cell r="K191">
            <v>299626.17470749264</v>
          </cell>
          <cell r="L191">
            <v>154958.75183466604</v>
          </cell>
          <cell r="M191">
            <v>910698.14263371949</v>
          </cell>
          <cell r="N191">
            <v>449945.40046961786</v>
          </cell>
          <cell r="O191">
            <v>969572.38394514273</v>
          </cell>
        </row>
        <row r="192">
          <cell r="F192">
            <v>0</v>
          </cell>
          <cell r="G192">
            <v>92515.204797111161</v>
          </cell>
          <cell r="H192">
            <v>4503.7508193216663</v>
          </cell>
          <cell r="I192">
            <v>104258.29110764111</v>
          </cell>
          <cell r="J192">
            <v>41121.359506888664</v>
          </cell>
          <cell r="K192">
            <v>88656.643346789802</v>
          </cell>
          <cell r="L192">
            <v>46367.272513224969</v>
          </cell>
          <cell r="M192">
            <v>271797.29366599512</v>
          </cell>
          <cell r="N192">
            <v>66350.959046446165</v>
          </cell>
          <cell r="O192">
            <v>162664.87009588518</v>
          </cell>
        </row>
        <row r="193">
          <cell r="F193">
            <v>0</v>
          </cell>
          <cell r="G193">
            <v>7703.5907816677009</v>
          </cell>
          <cell r="H193">
            <v>641.25873910844359</v>
          </cell>
          <cell r="I193">
            <v>57380.300162137086</v>
          </cell>
          <cell r="J193">
            <v>59065.123572099707</v>
          </cell>
          <cell r="K193">
            <v>113184.88042377567</v>
          </cell>
          <cell r="L193">
            <v>107536.63337397443</v>
          </cell>
          <cell r="M193">
            <v>151550.51755471493</v>
          </cell>
          <cell r="N193">
            <v>143672.74167522253</v>
          </cell>
          <cell r="O193">
            <v>128442.26638635396</v>
          </cell>
        </row>
        <row r="194">
          <cell r="F194">
            <v>0</v>
          </cell>
          <cell r="G194">
            <v>36.406035797012493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-470.49138203907944</v>
          </cell>
          <cell r="N194">
            <v>-6.0873364139390755</v>
          </cell>
          <cell r="O194">
            <v>17.833842111328199</v>
          </cell>
        </row>
        <row r="195">
          <cell r="F195">
            <v>0</v>
          </cell>
          <cell r="G195">
            <v>4902.4071207964143</v>
          </cell>
          <cell r="H195">
            <v>0</v>
          </cell>
          <cell r="I195">
            <v>-82844.036613452903</v>
          </cell>
          <cell r="J195">
            <v>1.4203624933885758E-12</v>
          </cell>
          <cell r="K195">
            <v>-7603.6110522754889</v>
          </cell>
          <cell r="L195">
            <v>-6.3441661700522837E-9</v>
          </cell>
          <cell r="M195">
            <v>-94383.865852022325</v>
          </cell>
          <cell r="N195">
            <v>-2.4457839505977045E-8</v>
          </cell>
          <cell r="O195">
            <v>-58397.870425331668</v>
          </cell>
        </row>
        <row r="196">
          <cell r="F196">
            <v>0</v>
          </cell>
          <cell r="G196">
            <v>24629.11318421927</v>
          </cell>
          <cell r="H196">
            <v>0</v>
          </cell>
          <cell r="I196">
            <v>0</v>
          </cell>
          <cell r="J196">
            <v>0</v>
          </cell>
          <cell r="K196">
            <v>-356.71644078682579</v>
          </cell>
          <cell r="L196">
            <v>4.265924380555609E-4</v>
          </cell>
          <cell r="M196">
            <v>-11020.064474005227</v>
          </cell>
          <cell r="N196">
            <v>1.4524068891519928E-3</v>
          </cell>
          <cell r="O196">
            <v>652.22647012240634</v>
          </cell>
        </row>
        <row r="197">
          <cell r="F197">
            <v>0</v>
          </cell>
          <cell r="G197">
            <v>2951.5293777719744</v>
          </cell>
          <cell r="H197">
            <v>0</v>
          </cell>
          <cell r="I197">
            <v>0</v>
          </cell>
          <cell r="J197">
            <v>0</v>
          </cell>
          <cell r="K197">
            <v>254106.84639587378</v>
          </cell>
          <cell r="L197">
            <v>109138.65021080495</v>
          </cell>
          <cell r="M197">
            <v>431958.35615666601</v>
          </cell>
          <cell r="N197">
            <v>214096.30502370722</v>
          </cell>
          <cell r="O197">
            <v>1170751.9962444729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79243.235387610868</v>
          </cell>
          <cell r="J198">
            <v>4150.5196143942539</v>
          </cell>
          <cell r="K198">
            <v>120998.17536509516</v>
          </cell>
          <cell r="L198">
            <v>39201.26465860055</v>
          </cell>
          <cell r="M198">
            <v>119189.70104876593</v>
          </cell>
          <cell r="N198">
            <v>55027.630567093278</v>
          </cell>
          <cell r="O198">
            <v>287150.01189816563</v>
          </cell>
        </row>
        <row r="199">
          <cell r="F199">
            <v>0</v>
          </cell>
          <cell r="G199">
            <v>17610.70637307275</v>
          </cell>
          <cell r="H199">
            <v>0</v>
          </cell>
          <cell r="I199">
            <v>0</v>
          </cell>
          <cell r="J199">
            <v>1145.3304168809464</v>
          </cell>
          <cell r="K199">
            <v>102485.0019148674</v>
          </cell>
          <cell r="L199">
            <v>105880.41026137202</v>
          </cell>
          <cell r="M199">
            <v>236713.35253949964</v>
          </cell>
          <cell r="N199">
            <v>227768.34512241156</v>
          </cell>
          <cell r="O199">
            <v>350338.31556200999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-25352.785177094134</v>
          </cell>
          <cell r="L201">
            <v>4.3467395651547395E-13</v>
          </cell>
          <cell r="M201">
            <v>-8653.3513527532596</v>
          </cell>
          <cell r="N201">
            <v>-1.9413985943678954E-9</v>
          </cell>
          <cell r="O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-77.857884390129698</v>
          </cell>
          <cell r="N202">
            <v>9.3109206434591866E-5</v>
          </cell>
          <cell r="O202">
            <v>-2424.667342987108</v>
          </cell>
        </row>
        <row r="203">
          <cell r="F203">
            <v>0</v>
          </cell>
          <cell r="G203">
            <v>15210.965738577654</v>
          </cell>
          <cell r="H203">
            <v>0</v>
          </cell>
          <cell r="I203">
            <v>0</v>
          </cell>
          <cell r="J203">
            <v>0</v>
          </cell>
          <cell r="K203">
            <v>94113.646813286585</v>
          </cell>
          <cell r="L203">
            <v>40421.722300298126</v>
          </cell>
          <cell r="M203">
            <v>159984.57635432077</v>
          </cell>
          <cell r="N203">
            <v>79294.927786558212</v>
          </cell>
          <cell r="O203">
            <v>433611.85046091594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19810.808846902717</v>
          </cell>
          <cell r="J204">
            <v>1037.6299035985635</v>
          </cell>
          <cell r="K204">
            <v>30249.543841273789</v>
          </cell>
          <cell r="L204">
            <v>9800.3161646501376</v>
          </cell>
          <cell r="M204">
            <v>29797.425262191482</v>
          </cell>
          <cell r="N204">
            <v>13756.907641773319</v>
          </cell>
          <cell r="O204">
            <v>71787.502974541407</v>
          </cell>
        </row>
        <row r="205">
          <cell r="F205">
            <v>0</v>
          </cell>
          <cell r="G205">
            <v>757.58351285222807</v>
          </cell>
          <cell r="H205">
            <v>0</v>
          </cell>
          <cell r="I205">
            <v>0</v>
          </cell>
          <cell r="J205">
            <v>190.88840281349104</v>
          </cell>
          <cell r="K205">
            <v>17080.833652477901</v>
          </cell>
          <cell r="L205">
            <v>17646.735043562006</v>
          </cell>
          <cell r="M205">
            <v>39452.225423249933</v>
          </cell>
          <cell r="N205">
            <v>37961.390853735269</v>
          </cell>
          <cell r="O205">
            <v>58389.71926033499</v>
          </cell>
        </row>
        <row r="206">
          <cell r="F206">
            <v>0</v>
          </cell>
          <cell r="G206">
            <v>932.40461274292568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-18109.132269352955</v>
          </cell>
          <cell r="L207">
            <v>3.1048139751105282E-13</v>
          </cell>
          <cell r="M207">
            <v>-6180.9652519666151</v>
          </cell>
          <cell r="N207">
            <v>-1.386713281691354E-9</v>
          </cell>
          <cell r="O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-77.857884390129698</v>
          </cell>
          <cell r="N208">
            <v>9.3109206434591866E-5</v>
          </cell>
          <cell r="O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F220">
            <v>0</v>
          </cell>
          <cell r="G220">
            <v>49688624.097547099</v>
          </cell>
          <cell r="H220">
            <v>31324058.745826475</v>
          </cell>
          <cell r="I220">
            <v>40010487.034473836</v>
          </cell>
          <cell r="J220">
            <v>40064832.748420857</v>
          </cell>
          <cell r="K220">
            <v>45345824.672125302</v>
          </cell>
          <cell r="L220">
            <v>44128247.282503515</v>
          </cell>
          <cell r="M220">
            <v>48670849.267440625</v>
          </cell>
          <cell r="N220">
            <v>47264352.160333499</v>
          </cell>
          <cell r="O220">
            <v>-25659461.236464854</v>
          </cell>
        </row>
        <row r="221">
          <cell r="F221">
            <v>0</v>
          </cell>
          <cell r="G221">
            <v>63425956.397293955</v>
          </cell>
          <cell r="H221">
            <v>13726088.316668663</v>
          </cell>
          <cell r="I221">
            <v>9324779.1022739541</v>
          </cell>
          <cell r="J221">
            <v>1031352.3538825295</v>
          </cell>
          <cell r="K221">
            <v>6029912.1614530692</v>
          </cell>
          <cell r="L221">
            <v>346176.01629885816</v>
          </cell>
          <cell r="M221">
            <v>5984557.8323001005</v>
          </cell>
          <cell r="N221">
            <v>495897.69551906514</v>
          </cell>
          <cell r="O221">
            <v>6137585.822989759</v>
          </cell>
        </row>
        <row r="222">
          <cell r="F222">
            <v>0</v>
          </cell>
          <cell r="G222">
            <v>476660327.28361589</v>
          </cell>
          <cell r="H222">
            <v>32090653.668389276</v>
          </cell>
          <cell r="I222">
            <v>638350.81362659717</v>
          </cell>
          <cell r="J222">
            <v>977006.63993548392</v>
          </cell>
          <cell r="K222">
            <v>748920.23774862208</v>
          </cell>
          <cell r="L222">
            <v>1563753.4059206529</v>
          </cell>
          <cell r="M222">
            <v>1441955.8473630005</v>
          </cell>
          <cell r="N222">
            <v>1902394.8026261942</v>
          </cell>
          <cell r="O222">
            <v>79061399.219788104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6.0454630921108148</v>
          </cell>
          <cell r="J224">
            <v>4.1183274477035594</v>
          </cell>
          <cell r="K224">
            <v>3.1761003293565375</v>
          </cell>
          <cell r="L224">
            <v>2.2707777890630365</v>
          </cell>
          <cell r="M224">
            <v>1.5439781390371434</v>
          </cell>
          <cell r="N224">
            <v>0.68736911701427172</v>
          </cell>
          <cell r="O224">
            <v>0.53171323500648704</v>
          </cell>
        </row>
        <row r="225">
          <cell r="F225">
            <v>0</v>
          </cell>
          <cell r="G225">
            <v>0.4708862249365503</v>
          </cell>
          <cell r="H225">
            <v>1.1292195582698836</v>
          </cell>
          <cell r="I225">
            <v>2.825317349619302</v>
          </cell>
          <cell r="J225">
            <v>1.9271356444072554</v>
          </cell>
          <cell r="K225">
            <v>0.94222711834702211</v>
          </cell>
          <cell r="L225">
            <v>0.90532254029350034</v>
          </cell>
          <cell r="M225">
            <v>0.72679965002589131</v>
          </cell>
          <cell r="N225">
            <v>0.55660902202287355</v>
          </cell>
          <cell r="O225">
            <v>0.15565588200778457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0.3</v>
          </cell>
          <cell r="O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24.25</v>
          </cell>
          <cell r="J228">
            <v>22.25</v>
          </cell>
          <cell r="K228">
            <v>20.25</v>
          </cell>
          <cell r="L228">
            <v>18.25</v>
          </cell>
          <cell r="M228">
            <v>16.25</v>
          </cell>
          <cell r="N228">
            <v>14.25</v>
          </cell>
          <cell r="O228">
            <v>12.25</v>
          </cell>
        </row>
        <row r="229">
          <cell r="F229">
            <v>0</v>
          </cell>
          <cell r="G229">
            <v>8.3333333333333329E-2</v>
          </cell>
          <cell r="H229">
            <v>8.3333333333333329E-2</v>
          </cell>
          <cell r="I229">
            <v>1.6666666666666665</v>
          </cell>
          <cell r="J229">
            <v>2</v>
          </cell>
          <cell r="K229">
            <v>2</v>
          </cell>
          <cell r="L229">
            <v>2</v>
          </cell>
          <cell r="M229">
            <v>2</v>
          </cell>
          <cell r="N229">
            <v>2</v>
          </cell>
          <cell r="O229">
            <v>2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1">
          <cell r="F231">
            <v>0</v>
          </cell>
          <cell r="G231">
            <v>2100</v>
          </cell>
          <cell r="H231">
            <v>6300</v>
          </cell>
          <cell r="I231">
            <v>10500</v>
          </cell>
          <cell r="J231">
            <v>14700</v>
          </cell>
          <cell r="K231">
            <v>18900</v>
          </cell>
          <cell r="L231">
            <v>23100</v>
          </cell>
          <cell r="M231">
            <v>27300</v>
          </cell>
          <cell r="N231">
            <v>31500</v>
          </cell>
          <cell r="O231">
            <v>35700</v>
          </cell>
        </row>
        <row r="232">
          <cell r="F232">
            <v>0</v>
          </cell>
          <cell r="G232">
            <v>2100</v>
          </cell>
          <cell r="H232">
            <v>6300</v>
          </cell>
          <cell r="I232">
            <v>10500</v>
          </cell>
          <cell r="J232">
            <v>14700</v>
          </cell>
          <cell r="K232">
            <v>18900</v>
          </cell>
          <cell r="L232">
            <v>23100</v>
          </cell>
          <cell r="M232">
            <v>27300</v>
          </cell>
          <cell r="N232">
            <v>31500</v>
          </cell>
          <cell r="O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F236">
            <v>0</v>
          </cell>
          <cell r="G236">
            <v>1308</v>
          </cell>
          <cell r="H236">
            <v>3926</v>
          </cell>
          <cell r="I236">
            <v>6544</v>
          </cell>
          <cell r="J236">
            <v>9162</v>
          </cell>
          <cell r="K236">
            <v>11780</v>
          </cell>
          <cell r="L236">
            <v>14398</v>
          </cell>
          <cell r="M236">
            <v>17016</v>
          </cell>
          <cell r="N236">
            <v>19634</v>
          </cell>
          <cell r="O236">
            <v>22252</v>
          </cell>
        </row>
        <row r="237">
          <cell r="F237">
            <v>0</v>
          </cell>
          <cell r="G237">
            <v>1380.6666666666667</v>
          </cell>
          <cell r="H237">
            <v>2618</v>
          </cell>
          <cell r="I237">
            <v>2618</v>
          </cell>
          <cell r="J237">
            <v>2618</v>
          </cell>
          <cell r="K237">
            <v>2618</v>
          </cell>
          <cell r="L237">
            <v>2618</v>
          </cell>
          <cell r="M237">
            <v>2618</v>
          </cell>
          <cell r="N237">
            <v>2618</v>
          </cell>
          <cell r="O237">
            <v>2618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F240">
            <v>0</v>
          </cell>
          <cell r="G240">
            <v>1006347.51</v>
          </cell>
          <cell r="H240">
            <v>1000000</v>
          </cell>
          <cell r="I240">
            <v>1000000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0</v>
          </cell>
        </row>
        <row r="241">
          <cell r="F241">
            <v>0</v>
          </cell>
          <cell r="G241">
            <v>2052.0651187214607</v>
          </cell>
          <cell r="H241">
            <v>6028.1563561643816</v>
          </cell>
          <cell r="I241">
            <v>5983.5616438356137</v>
          </cell>
          <cell r="J241">
            <v>6016.4383561643817</v>
          </cell>
          <cell r="K241">
            <v>5983.5616438356137</v>
          </cell>
          <cell r="L241">
            <v>6016.4383561643817</v>
          </cell>
          <cell r="M241">
            <v>5983.5616438356137</v>
          </cell>
          <cell r="N241">
            <v>6016.4383561643817</v>
          </cell>
          <cell r="O241">
            <v>4997.2602739726008</v>
          </cell>
        </row>
        <row r="242">
          <cell r="F242">
            <v>0</v>
          </cell>
          <cell r="G242">
            <v>26619775.924645819</v>
          </cell>
          <cell r="H242">
            <v>5588665.0238639768</v>
          </cell>
          <cell r="I242">
            <v>12657567.887675533</v>
          </cell>
          <cell r="J242">
            <v>4306572.4525954053</v>
          </cell>
          <cell r="K242">
            <v>9894804.2323669773</v>
          </cell>
          <cell r="L242">
            <v>4301618.2969659958</v>
          </cell>
          <cell r="M242">
            <v>9889363.4587998763</v>
          </cell>
          <cell r="N242">
            <v>4709055.6857590135</v>
          </cell>
          <cell r="O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F247">
            <v>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F249">
            <v>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F253">
            <v>0</v>
          </cell>
          <cell r="G253">
            <v>246135791.45545456</v>
          </cell>
          <cell r="H253">
            <v>264546695.21504632</v>
          </cell>
          <cell r="I253">
            <v>267365455.87959704</v>
          </cell>
          <cell r="J253">
            <v>275786616.74008048</v>
          </cell>
          <cell r="K253">
            <v>281433342.13542593</v>
          </cell>
          <cell r="L253">
            <v>291001634.92789745</v>
          </cell>
          <cell r="M253">
            <v>297291959.34905744</v>
          </cell>
          <cell r="N253">
            <v>306868949.81092668</v>
          </cell>
          <cell r="O253">
            <v>356314197.47993022</v>
          </cell>
        </row>
        <row r="254">
          <cell r="F254">
            <v>0</v>
          </cell>
          <cell r="G254">
            <v>22841.166666666664</v>
          </cell>
          <cell r="H254">
            <v>37655</v>
          </cell>
          <cell r="I254">
            <v>32759</v>
          </cell>
          <cell r="J254">
            <v>28501</v>
          </cell>
          <cell r="K254">
            <v>26506</v>
          </cell>
          <cell r="L254">
            <v>24850</v>
          </cell>
          <cell r="M254">
            <v>22925</v>
          </cell>
          <cell r="N254">
            <v>21320</v>
          </cell>
          <cell r="O254">
            <v>19827</v>
          </cell>
        </row>
        <row r="255">
          <cell r="F255">
            <v>0</v>
          </cell>
          <cell r="G255">
            <v>47648.833333333328</v>
          </cell>
          <cell r="H255">
            <v>100218</v>
          </cell>
          <cell r="I255">
            <v>111242</v>
          </cell>
          <cell r="J255">
            <v>123479</v>
          </cell>
          <cell r="K255">
            <v>130888</v>
          </cell>
          <cell r="L255">
            <v>138741</v>
          </cell>
          <cell r="M255">
            <v>147665</v>
          </cell>
          <cell r="N255">
            <v>155889</v>
          </cell>
          <cell r="O255">
            <v>165243</v>
          </cell>
        </row>
        <row r="256">
          <cell r="F256">
            <v>0</v>
          </cell>
          <cell r="G256">
            <v>22587.833333333336</v>
          </cell>
          <cell r="H256">
            <v>42799</v>
          </cell>
          <cell r="I256">
            <v>42799</v>
          </cell>
          <cell r="J256">
            <v>42799</v>
          </cell>
          <cell r="K256">
            <v>42799</v>
          </cell>
          <cell r="L256">
            <v>42799</v>
          </cell>
          <cell r="M256">
            <v>42799</v>
          </cell>
          <cell r="N256">
            <v>42799</v>
          </cell>
          <cell r="O256">
            <v>42799</v>
          </cell>
        </row>
        <row r="257">
          <cell r="F257">
            <v>0</v>
          </cell>
          <cell r="G257">
            <v>6542.3333333333339</v>
          </cell>
          <cell r="H257">
            <v>12396</v>
          </cell>
          <cell r="I257">
            <v>12396</v>
          </cell>
          <cell r="J257">
            <v>12396</v>
          </cell>
          <cell r="K257">
            <v>12396</v>
          </cell>
          <cell r="L257">
            <v>12396</v>
          </cell>
          <cell r="M257">
            <v>12396</v>
          </cell>
          <cell r="N257">
            <v>12396</v>
          </cell>
          <cell r="O257">
            <v>12396</v>
          </cell>
        </row>
        <row r="258">
          <cell r="F258">
            <v>0</v>
          </cell>
          <cell r="G258">
            <v>22844.333333333336</v>
          </cell>
          <cell r="H258">
            <v>54600</v>
          </cell>
          <cell r="I258">
            <v>68872</v>
          </cell>
          <cell r="J258">
            <v>86873</v>
          </cell>
          <cell r="K258">
            <v>95560</v>
          </cell>
          <cell r="L258">
            <v>105117</v>
          </cell>
          <cell r="M258">
            <v>115628</v>
          </cell>
          <cell r="N258">
            <v>127191</v>
          </cell>
          <cell r="O258">
            <v>139910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</row>
        <row r="261">
          <cell r="F261">
            <v>0</v>
          </cell>
          <cell r="G261">
            <v>28500</v>
          </cell>
          <cell r="H261">
            <v>54000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F262">
            <v>0</v>
          </cell>
          <cell r="G262">
            <v>24652.5</v>
          </cell>
          <cell r="H262">
            <v>59326</v>
          </cell>
          <cell r="I262">
            <v>75345</v>
          </cell>
          <cell r="J262">
            <v>95688</v>
          </cell>
          <cell r="K262">
            <v>105257</v>
          </cell>
          <cell r="L262">
            <v>115782</v>
          </cell>
          <cell r="M262">
            <v>127361</v>
          </cell>
          <cell r="N262">
            <v>140097</v>
          </cell>
          <cell r="O262">
            <v>154106</v>
          </cell>
        </row>
        <row r="263">
          <cell r="F263">
            <v>0</v>
          </cell>
          <cell r="G263">
            <v>34409</v>
          </cell>
          <cell r="H263">
            <v>72371</v>
          </cell>
          <cell r="I263">
            <v>80332</v>
          </cell>
          <cell r="J263">
            <v>89169</v>
          </cell>
          <cell r="K263">
            <v>94519</v>
          </cell>
          <cell r="L263">
            <v>100190</v>
          </cell>
          <cell r="M263">
            <v>106201</v>
          </cell>
          <cell r="N263">
            <v>112573</v>
          </cell>
          <cell r="O263">
            <v>119328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</row>
        <row r="268">
          <cell r="F268">
            <v>0</v>
          </cell>
          <cell r="G268">
            <v>994618.62694444449</v>
          </cell>
          <cell r="H268">
            <v>1469568.1875</v>
          </cell>
          <cell r="I268">
            <v>1525551.7375</v>
          </cell>
          <cell r="J268">
            <v>1534089.2288749998</v>
          </cell>
          <cell r="K268">
            <v>1588393.2723749999</v>
          </cell>
          <cell r="L268">
            <v>1593416.3963987501</v>
          </cell>
          <cell r="M268">
            <v>1646091.3185937502</v>
          </cell>
          <cell r="N268">
            <v>1647803.2535650874</v>
          </cell>
          <cell r="O268">
            <v>1412200.0321251177</v>
          </cell>
        </row>
        <row r="269">
          <cell r="F269">
            <v>0</v>
          </cell>
          <cell r="G269">
            <v>870430.69633333338</v>
          </cell>
          <cell r="H269">
            <v>1175654.55</v>
          </cell>
          <cell r="I269">
            <v>1220441.3899999999</v>
          </cell>
          <cell r="J269">
            <v>1073862.4602125001</v>
          </cell>
          <cell r="K269">
            <v>1111875.2906625001</v>
          </cell>
          <cell r="L269">
            <v>956049.8378392501</v>
          </cell>
          <cell r="M269">
            <v>987654.79115625005</v>
          </cell>
          <cell r="N269">
            <v>823901.62678254372</v>
          </cell>
          <cell r="O269">
            <v>706100.01606255886</v>
          </cell>
        </row>
        <row r="270">
          <cell r="F270">
            <v>0</v>
          </cell>
          <cell r="G270">
            <v>1621958.4028749997</v>
          </cell>
          <cell r="H270">
            <v>791790.4833333334</v>
          </cell>
          <cell r="I270">
            <v>799488.81666666665</v>
          </cell>
          <cell r="J270">
            <v>824830.08333333326</v>
          </cell>
          <cell r="K270">
            <v>816191.75</v>
          </cell>
          <cell r="L270">
            <v>833085.8833333333</v>
          </cell>
          <cell r="M270">
            <v>824447.55</v>
          </cell>
          <cell r="N270">
            <v>842581.48333333328</v>
          </cell>
          <cell r="O270">
            <v>833943.15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F272">
            <v>0</v>
          </cell>
          <cell r="G272">
            <v>2536.0339999999997</v>
          </cell>
          <cell r="H272">
            <v>3958.9524166666665</v>
          </cell>
          <cell r="I272">
            <v>3997.4440833333338</v>
          </cell>
          <cell r="J272">
            <v>4124.1504166666664</v>
          </cell>
          <cell r="K272">
            <v>4080.9587499999998</v>
          </cell>
          <cell r="L272">
            <v>4165.4294166666668</v>
          </cell>
          <cell r="M272">
            <v>4122.2377500000002</v>
          </cell>
          <cell r="N272">
            <v>4212.9074166666669</v>
          </cell>
          <cell r="O272">
            <v>4169.7157499999994</v>
          </cell>
        </row>
        <row r="273">
          <cell r="F273">
            <v>0</v>
          </cell>
          <cell r="G273">
            <v>132575.66666666666</v>
          </cell>
          <cell r="H273">
            <v>283096</v>
          </cell>
          <cell r="I273">
            <v>283096</v>
          </cell>
          <cell r="J273">
            <v>285305</v>
          </cell>
          <cell r="K273">
            <v>298384</v>
          </cell>
          <cell r="L273">
            <v>301225</v>
          </cell>
          <cell r="M273">
            <v>309585</v>
          </cell>
          <cell r="N273">
            <v>311534</v>
          </cell>
          <cell r="O273">
            <v>287601</v>
          </cell>
        </row>
        <row r="274">
          <cell r="F274">
            <v>0</v>
          </cell>
          <cell r="G274">
            <v>57247</v>
          </cell>
          <cell r="H274">
            <v>126202</v>
          </cell>
          <cell r="I274">
            <v>126202</v>
          </cell>
          <cell r="J274">
            <v>132512</v>
          </cell>
          <cell r="K274">
            <v>132512</v>
          </cell>
          <cell r="L274">
            <v>132512</v>
          </cell>
          <cell r="M274">
            <v>132512</v>
          </cell>
          <cell r="N274">
            <v>132512</v>
          </cell>
          <cell r="O274">
            <v>132512</v>
          </cell>
        </row>
        <row r="275">
          <cell r="F275">
            <v>0</v>
          </cell>
          <cell r="G275">
            <v>24719</v>
          </cell>
          <cell r="H275">
            <v>70251</v>
          </cell>
          <cell r="I275">
            <v>70251</v>
          </cell>
          <cell r="J275">
            <v>70251</v>
          </cell>
          <cell r="K275">
            <v>70251</v>
          </cell>
          <cell r="L275">
            <v>70251</v>
          </cell>
          <cell r="M275">
            <v>70251</v>
          </cell>
          <cell r="N275">
            <v>70251</v>
          </cell>
          <cell r="O275">
            <v>70251</v>
          </cell>
        </row>
        <row r="276">
          <cell r="F276">
            <v>0</v>
          </cell>
          <cell r="G276">
            <v>16257.666666666668</v>
          </cell>
          <cell r="H276">
            <v>46191</v>
          </cell>
          <cell r="I276">
            <v>46191</v>
          </cell>
          <cell r="J276">
            <v>46191</v>
          </cell>
          <cell r="K276">
            <v>46191</v>
          </cell>
          <cell r="L276">
            <v>46191</v>
          </cell>
          <cell r="M276">
            <v>46191</v>
          </cell>
          <cell r="N276">
            <v>46191</v>
          </cell>
          <cell r="O276">
            <v>46191</v>
          </cell>
        </row>
        <row r="277">
          <cell r="F277">
            <v>0</v>
          </cell>
          <cell r="G277">
            <v>13939.666666666668</v>
          </cell>
          <cell r="H277">
            <v>38697</v>
          </cell>
          <cell r="I277">
            <v>38697</v>
          </cell>
          <cell r="J277">
            <v>38697</v>
          </cell>
          <cell r="K277">
            <v>38697</v>
          </cell>
          <cell r="L277">
            <v>38697</v>
          </cell>
          <cell r="M277">
            <v>38697</v>
          </cell>
          <cell r="N277">
            <v>38697</v>
          </cell>
          <cell r="O277">
            <v>38697</v>
          </cell>
        </row>
        <row r="278">
          <cell r="F278">
            <v>0</v>
          </cell>
          <cell r="G278">
            <v>15871.333333333332</v>
          </cell>
          <cell r="H278">
            <v>37221</v>
          </cell>
          <cell r="I278">
            <v>37221</v>
          </cell>
          <cell r="J278">
            <v>39727</v>
          </cell>
          <cell r="K278">
            <v>42615</v>
          </cell>
          <cell r="L278">
            <v>45598</v>
          </cell>
          <cell r="M278">
            <v>48790</v>
          </cell>
          <cell r="N278">
            <v>52205</v>
          </cell>
          <cell r="O278">
            <v>55859</v>
          </cell>
        </row>
        <row r="279">
          <cell r="F279">
            <v>0</v>
          </cell>
          <cell r="G279">
            <v>14595.166666666668</v>
          </cell>
          <cell r="H279">
            <v>32179</v>
          </cell>
          <cell r="I279">
            <v>32179</v>
          </cell>
          <cell r="J279">
            <v>33788</v>
          </cell>
          <cell r="K279">
            <v>35478</v>
          </cell>
          <cell r="L279">
            <v>37252</v>
          </cell>
          <cell r="M279">
            <v>39114</v>
          </cell>
          <cell r="N279">
            <v>41071</v>
          </cell>
          <cell r="O279">
            <v>43124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F291">
            <v>0</v>
          </cell>
          <cell r="G291">
            <v>-301129041.14121747</v>
          </cell>
          <cell r="H291">
            <v>-302607462.60457999</v>
          </cell>
          <cell r="I291">
            <v>-320227548.56964326</v>
          </cell>
          <cell r="J291">
            <v>-320213850.4447428</v>
          </cell>
          <cell r="K291">
            <v>-335997861.13902879</v>
          </cell>
          <cell r="L291">
            <v>-338702729.33132726</v>
          </cell>
          <cell r="M291">
            <v>-353466516.74163908</v>
          </cell>
          <cell r="N291">
            <v>-356184364.48302841</v>
          </cell>
          <cell r="O291">
            <v>-199875111.66459417</v>
          </cell>
        </row>
        <row r="292">
          <cell r="F292">
            <v>0</v>
          </cell>
          <cell r="G292">
            <v>-809701.39363844972</v>
          </cell>
          <cell r="H292">
            <v>-1441505.3679110254</v>
          </cell>
          <cell r="I292">
            <v>-1709869.1598551597</v>
          </cell>
          <cell r="J292">
            <v>-1996871.6640085266</v>
          </cell>
          <cell r="K292">
            <v>-2259870.397884896</v>
          </cell>
          <cell r="L292">
            <v>-2493693.2307308558</v>
          </cell>
          <cell r="M292">
            <v>-2712634.3517250735</v>
          </cell>
          <cell r="N292">
            <v>-2912459.773082363</v>
          </cell>
          <cell r="O292">
            <v>-2834887.6903259037</v>
          </cell>
        </row>
        <row r="293">
          <cell r="F293">
            <v>0</v>
          </cell>
          <cell r="G293">
            <v>514639.49486825196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F294">
            <v>0</v>
          </cell>
          <cell r="G294">
            <v>294139.37725555222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F295">
            <v>0</v>
          </cell>
          <cell r="G295">
            <v>22568.725402090509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F296">
            <v>0</v>
          </cell>
          <cell r="G296">
            <v>1351.5666376141571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F297">
            <v>0</v>
          </cell>
          <cell r="G297">
            <v>-137483.08350328144</v>
          </cell>
          <cell r="H297">
            <v>-1454.9219137147527</v>
          </cell>
          <cell r="I297">
            <v>21832.32355631399</v>
          </cell>
          <cell r="J297">
            <v>56424.940505064311</v>
          </cell>
          <cell r="K297">
            <v>104548.11290163612</v>
          </cell>
          <cell r="L297">
            <v>179648.30594530553</v>
          </cell>
          <cell r="M297">
            <v>-167321.10522309318</v>
          </cell>
          <cell r="N297">
            <v>-277712.13956327044</v>
          </cell>
          <cell r="O297">
            <v>-104447.10789497696</v>
          </cell>
        </row>
        <row r="298">
          <cell r="F298">
            <v>0</v>
          </cell>
          <cell r="G298">
            <v>-25974.376730912925</v>
          </cell>
          <cell r="H298">
            <v>-129.30985076844189</v>
          </cell>
          <cell r="I298">
            <v>1082.3994781092549</v>
          </cell>
          <cell r="J298">
            <v>2960.8163976057049</v>
          </cell>
          <cell r="K298">
            <v>2861.4465226885318</v>
          </cell>
          <cell r="L298">
            <v>2129.2213923388163</v>
          </cell>
          <cell r="M298">
            <v>11393.442331163365</v>
          </cell>
          <cell r="N298">
            <v>13885.677133711662</v>
          </cell>
          <cell r="O298">
            <v>9151.8420622756294</v>
          </cell>
        </row>
        <row r="299">
          <cell r="F299">
            <v>0</v>
          </cell>
          <cell r="G299">
            <v>6558.8355297070984</v>
          </cell>
          <cell r="H299">
            <v>0</v>
          </cell>
          <cell r="I299">
            <v>-2036.999898762183</v>
          </cell>
          <cell r="J299">
            <v>-6349.7586472500589</v>
          </cell>
          <cell r="K299">
            <v>-22500.599888310775</v>
          </cell>
          <cell r="L299">
            <v>-55758.7479809043</v>
          </cell>
          <cell r="M299">
            <v>277678.81822809251</v>
          </cell>
          <cell r="N299">
            <v>422533.64322267845</v>
          </cell>
          <cell r="O299">
            <v>244104.81266442302</v>
          </cell>
        </row>
        <row r="300">
          <cell r="F300">
            <v>0</v>
          </cell>
          <cell r="G300">
            <v>1637.613577007337</v>
          </cell>
          <cell r="H300">
            <v>11.926541010164987</v>
          </cell>
          <cell r="I300">
            <v>-373.4446011964738</v>
          </cell>
          <cell r="J300">
            <v>-1207.7482259849467</v>
          </cell>
          <cell r="K300">
            <v>-2970.7636137325699</v>
          </cell>
          <cell r="L300">
            <v>-6442.6565674120511</v>
          </cell>
          <cell r="M300">
            <v>26227.567118829633</v>
          </cell>
          <cell r="N300">
            <v>39477.704932635337</v>
          </cell>
          <cell r="O300">
            <v>20999.049362029633</v>
          </cell>
        </row>
        <row r="301">
          <cell r="F301">
            <v>0</v>
          </cell>
          <cell r="G301">
            <v>831.9719160460462</v>
          </cell>
          <cell r="H301">
            <v>0.10194644508113518</v>
          </cell>
          <cell r="I301">
            <v>-267.98222977929873</v>
          </cell>
          <cell r="J301">
            <v>-1322.24300233949</v>
          </cell>
          <cell r="K301">
            <v>-5160.7427075125097</v>
          </cell>
          <cell r="L301">
            <v>-15111.352387791942</v>
          </cell>
          <cell r="M301">
            <v>32720.05946729362</v>
          </cell>
          <cell r="N301">
            <v>64543.353108280367</v>
          </cell>
          <cell r="O301">
            <v>37085.483587524686</v>
          </cell>
        </row>
        <row r="302">
          <cell r="F302">
            <v>0</v>
          </cell>
          <cell r="G302">
            <v>907.18303793448069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-346.85824094006659</v>
          </cell>
          <cell r="N302">
            <v>-536.49730025380541</v>
          </cell>
          <cell r="O302">
            <v>-217.26018676273415</v>
          </cell>
        </row>
        <row r="303">
          <cell r="F303">
            <v>0</v>
          </cell>
          <cell r="G303">
            <v>540.8789526738118</v>
          </cell>
          <cell r="H303">
            <v>0</v>
          </cell>
          <cell r="I303">
            <v>305.51381085902574</v>
          </cell>
          <cell r="J303">
            <v>1007.8791765871031</v>
          </cell>
          <cell r="K303">
            <v>1256.7959292535395</v>
          </cell>
          <cell r="L303">
            <v>1641.9838130427459</v>
          </cell>
          <cell r="M303">
            <v>-10585.221264385547</v>
          </cell>
          <cell r="N303">
            <v>-17158.890579734212</v>
          </cell>
          <cell r="O303">
            <v>-5979.3466503451746</v>
          </cell>
        </row>
        <row r="304">
          <cell r="F304">
            <v>0</v>
          </cell>
          <cell r="G304">
            <v>6950.7660268400241</v>
          </cell>
          <cell r="H304">
            <v>0</v>
          </cell>
          <cell r="I304">
            <v>0</v>
          </cell>
          <cell r="J304">
            <v>0</v>
          </cell>
          <cell r="K304">
            <v>6.3906921762408722</v>
          </cell>
          <cell r="L304">
            <v>20.37227867955858</v>
          </cell>
          <cell r="M304">
            <v>-1241.3081730225783</v>
          </cell>
          <cell r="N304">
            <v>-1862.7424378177552</v>
          </cell>
          <cell r="O304">
            <v>-532.6725831221554</v>
          </cell>
        </row>
        <row r="305">
          <cell r="F305">
            <v>0</v>
          </cell>
          <cell r="G305">
            <v>244241.59849187106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F306">
            <v>0</v>
          </cell>
          <cell r="G306">
            <v>84128.803711057684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F307">
            <v>0</v>
          </cell>
          <cell r="G307">
            <v>1961.4918882269531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F308">
            <v>0</v>
          </cell>
          <cell r="G308">
            <v>9899.3471419602647</v>
          </cell>
          <cell r="H308">
            <v>0</v>
          </cell>
          <cell r="I308">
            <v>-181.7888708073136</v>
          </cell>
          <cell r="J308">
            <v>-639.25719831087508</v>
          </cell>
          <cell r="K308">
            <v>-2340.9592512379068</v>
          </cell>
          <cell r="L308">
            <v>-6307.0080952661538</v>
          </cell>
          <cell r="M308">
            <v>28163.640112752582</v>
          </cell>
          <cell r="N308">
            <v>49361.439181025751</v>
          </cell>
          <cell r="O308">
            <v>30184.286364040014</v>
          </cell>
        </row>
        <row r="309">
          <cell r="F309">
            <v>0</v>
          </cell>
          <cell r="G309">
            <v>-25631.222054041125</v>
          </cell>
          <cell r="H309">
            <v>-129.30985076844189</v>
          </cell>
          <cell r="I309">
            <v>1082.3994781092549</v>
          </cell>
          <cell r="J309">
            <v>2960.8163976057049</v>
          </cell>
          <cell r="K309">
            <v>2861.4465226885318</v>
          </cell>
          <cell r="L309">
            <v>2129.2213923388163</v>
          </cell>
          <cell r="M309">
            <v>11393.442331163365</v>
          </cell>
          <cell r="N309">
            <v>13885.677133711662</v>
          </cell>
          <cell r="O309">
            <v>9151.8420622756294</v>
          </cell>
        </row>
        <row r="310">
          <cell r="F310">
            <v>0</v>
          </cell>
          <cell r="G310">
            <v>7861.7256222867099</v>
          </cell>
          <cell r="H310">
            <v>0</v>
          </cell>
          <cell r="I310">
            <v>-2036.999898762183</v>
          </cell>
          <cell r="J310">
            <v>-6349.7586472500589</v>
          </cell>
          <cell r="K310">
            <v>-22500.599888310775</v>
          </cell>
          <cell r="L310">
            <v>-55758.7479809043</v>
          </cell>
          <cell r="M310">
            <v>277678.81822809251</v>
          </cell>
          <cell r="N310">
            <v>422533.64322267845</v>
          </cell>
          <cell r="O310">
            <v>244104.81266442302</v>
          </cell>
        </row>
        <row r="311">
          <cell r="F311">
            <v>0</v>
          </cell>
          <cell r="G311">
            <v>1504.1882805458249</v>
          </cell>
          <cell r="H311">
            <v>11.926541010164987</v>
          </cell>
          <cell r="I311">
            <v>-373.4446011964738</v>
          </cell>
          <cell r="J311">
            <v>-1207.7482259849467</v>
          </cell>
          <cell r="K311">
            <v>-2970.7636137325699</v>
          </cell>
          <cell r="L311">
            <v>-6442.6565674120511</v>
          </cell>
          <cell r="M311">
            <v>26227.567118829633</v>
          </cell>
          <cell r="N311">
            <v>39477.704932635337</v>
          </cell>
          <cell r="O311">
            <v>20999.049362029633</v>
          </cell>
        </row>
        <row r="312">
          <cell r="F312">
            <v>0</v>
          </cell>
          <cell r="G312">
            <v>222.04666543324981</v>
          </cell>
          <cell r="H312">
            <v>0.10194644508113518</v>
          </cell>
          <cell r="I312">
            <v>-267.98222977929873</v>
          </cell>
          <cell r="J312">
            <v>-1322.24300233949</v>
          </cell>
          <cell r="K312">
            <v>-5160.7427075125097</v>
          </cell>
          <cell r="L312">
            <v>-15111.352387791942</v>
          </cell>
          <cell r="M312">
            <v>32720.05946729362</v>
          </cell>
          <cell r="N312">
            <v>64543.353108280367</v>
          </cell>
          <cell r="O312">
            <v>37085.483587524686</v>
          </cell>
        </row>
        <row r="313">
          <cell r="F313">
            <v>0</v>
          </cell>
          <cell r="G313">
            <v>-1517.5547563235723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-346.85824094006659</v>
          </cell>
          <cell r="N313">
            <v>-536.49730025380541</v>
          </cell>
          <cell r="O313">
            <v>-217.26018676273415</v>
          </cell>
        </row>
        <row r="314">
          <cell r="F314">
            <v>0</v>
          </cell>
          <cell r="G314">
            <v>540.8789526738118</v>
          </cell>
          <cell r="H314">
            <v>0</v>
          </cell>
          <cell r="I314">
            <v>305.51381085902574</v>
          </cell>
          <cell r="J314">
            <v>1007.8791765871031</v>
          </cell>
          <cell r="K314">
            <v>1256.7959292535395</v>
          </cell>
          <cell r="L314">
            <v>1641.9838130427459</v>
          </cell>
          <cell r="M314">
            <v>-10585.221264385547</v>
          </cell>
          <cell r="N314">
            <v>-17158.890579734212</v>
          </cell>
          <cell r="O314">
            <v>-5979.3466503451746</v>
          </cell>
        </row>
        <row r="315">
          <cell r="F315">
            <v>0</v>
          </cell>
          <cell r="G315">
            <v>-1567227.0975648877</v>
          </cell>
          <cell r="H315">
            <v>-1433905.0082778332</v>
          </cell>
          <cell r="I315">
            <v>-1724427.4083268682</v>
          </cell>
          <cell r="J315">
            <v>-2042369.1118560447</v>
          </cell>
          <cell r="K315">
            <v>-2331927.4760772595</v>
          </cell>
          <cell r="L315">
            <v>-2593803.9188679494</v>
          </cell>
          <cell r="M315">
            <v>-2875176.1843251754</v>
          </cell>
          <cell r="N315">
            <v>-3149613.4432424274</v>
          </cell>
          <cell r="O315">
            <v>-3030055.2304129768</v>
          </cell>
        </row>
        <row r="316">
          <cell r="F316">
            <v>0</v>
          </cell>
          <cell r="G316">
            <v>170906417.98265111</v>
          </cell>
          <cell r="H316">
            <v>12794017.866834946</v>
          </cell>
          <cell r="I316">
            <v>1958799.7838403294</v>
          </cell>
          <cell r="J316">
            <v>5851993.1403359473</v>
          </cell>
          <cell r="K316">
            <v>3923995.6137146275</v>
          </cell>
          <cell r="L316">
            <v>6649152.6184971891</v>
          </cell>
          <cell r="M316">
            <v>4371242.3943654345</v>
          </cell>
          <cell r="N316">
            <v>6655196.761637955</v>
          </cell>
          <cell r="O316">
            <v>34360256.854731262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</sheetData>
      <sheetData sheetId="5">
        <row r="5">
          <cell r="F5">
            <v>0</v>
          </cell>
          <cell r="G5">
            <v>0</v>
          </cell>
          <cell r="H5">
            <v>2357765.2585264393</v>
          </cell>
          <cell r="I5">
            <v>48372576.110521801</v>
          </cell>
          <cell r="J5">
            <v>7998765.1290614754</v>
          </cell>
          <cell r="K5">
            <v>6809138.0159095097</v>
          </cell>
          <cell r="L5">
            <v>6786680.4118570145</v>
          </cell>
          <cell r="M5">
            <v>9365915.1159879435</v>
          </cell>
          <cell r="N5">
            <v>5347289.6183532281</v>
          </cell>
          <cell r="O5">
            <v>5292255.9814865533</v>
          </cell>
          <cell r="P5">
            <v>5620927.595621991</v>
          </cell>
          <cell r="Q5">
            <v>9020462.9728323743</v>
          </cell>
          <cell r="R5">
            <v>5733030.9421764631</v>
          </cell>
          <cell r="S5">
            <v>5319196.9877944738</v>
          </cell>
          <cell r="T5">
            <v>5555805.2313560825</v>
          </cell>
          <cell r="U5">
            <v>11477143.89053604</v>
          </cell>
          <cell r="V5">
            <v>6170218.0721354168</v>
          </cell>
          <cell r="W5">
            <v>5849027.8267154107</v>
          </cell>
          <cell r="X5">
            <v>5855243.2930785324</v>
          </cell>
          <cell r="Y5">
            <v>-100577231.85302183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EG5">
            <v>0</v>
          </cell>
          <cell r="EH5">
            <v>0</v>
          </cell>
          <cell r="EI5">
            <v>0</v>
          </cell>
          <cell r="EJ5">
            <v>52866.666666666664</v>
          </cell>
          <cell r="EK5">
            <v>54497.666666666664</v>
          </cell>
          <cell r="EL5">
            <v>56085</v>
          </cell>
          <cell r="EM5">
            <v>57585</v>
          </cell>
          <cell r="EN5">
            <v>59085</v>
          </cell>
          <cell r="EO5">
            <v>60585</v>
          </cell>
          <cell r="EP5">
            <v>62085</v>
          </cell>
          <cell r="EQ5">
            <v>63585</v>
          </cell>
          <cell r="ER5">
            <v>65085</v>
          </cell>
          <cell r="ES5">
            <v>66585</v>
          </cell>
          <cell r="ET5">
            <v>68085</v>
          </cell>
          <cell r="EU5">
            <v>69585</v>
          </cell>
          <cell r="EV5">
            <v>71085</v>
          </cell>
          <cell r="EW5">
            <v>72585</v>
          </cell>
          <cell r="EX5">
            <v>74085</v>
          </cell>
          <cell r="EY5">
            <v>75585</v>
          </cell>
          <cell r="EZ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22772014.668876395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EG6">
            <v>0</v>
          </cell>
          <cell r="EH6">
            <v>0</v>
          </cell>
          <cell r="EI6">
            <v>0</v>
          </cell>
          <cell r="EJ6">
            <v>25666.666666666668</v>
          </cell>
          <cell r="EK6">
            <v>26166.666666666668</v>
          </cell>
          <cell r="EL6">
            <v>26666.666666666668</v>
          </cell>
          <cell r="EM6">
            <v>27166.666666666668</v>
          </cell>
          <cell r="EN6">
            <v>27666.666666666668</v>
          </cell>
          <cell r="EO6">
            <v>28166.666666666668</v>
          </cell>
          <cell r="EP6">
            <v>28666.666666666668</v>
          </cell>
          <cell r="EQ6">
            <v>29166.666666666668</v>
          </cell>
          <cell r="ER6">
            <v>29666.666666666668</v>
          </cell>
          <cell r="ES6">
            <v>30166.666666666668</v>
          </cell>
          <cell r="ET6">
            <v>30666.666666666668</v>
          </cell>
          <cell r="EU6">
            <v>31166.666666666668</v>
          </cell>
          <cell r="EV6">
            <v>31666.666666666668</v>
          </cell>
          <cell r="EW6">
            <v>32166.666666666668</v>
          </cell>
          <cell r="EX6">
            <v>32666.666666666668</v>
          </cell>
          <cell r="EY6">
            <v>33166.666666666664</v>
          </cell>
          <cell r="EZ6">
            <v>0</v>
          </cell>
        </row>
        <row r="7">
          <cell r="F7">
            <v>0</v>
          </cell>
          <cell r="G7">
            <v>0</v>
          </cell>
          <cell r="H7">
            <v>17513875.582087025</v>
          </cell>
          <cell r="I7">
            <v>0</v>
          </cell>
          <cell r="J7">
            <v>21325850.287015151</v>
          </cell>
          <cell r="K7">
            <v>19889235.284289051</v>
          </cell>
          <cell r="L7">
            <v>18462121.514731959</v>
          </cell>
          <cell r="M7">
            <v>16806658.483023833</v>
          </cell>
          <cell r="N7">
            <v>15550450.435529066</v>
          </cell>
          <cell r="O7">
            <v>14302571.663509374</v>
          </cell>
          <cell r="P7">
            <v>13062980.112863449</v>
          </cell>
          <cell r="Q7">
            <v>11633069.785879064</v>
          </cell>
          <cell r="R7">
            <v>10528652.373906149</v>
          </cell>
          <cell r="S7">
            <v>9431593.9557739347</v>
          </cell>
          <cell r="T7">
            <v>8341857.3135216329</v>
          </cell>
          <cell r="U7">
            <v>6457028.4819505196</v>
          </cell>
          <cell r="V7">
            <v>5782455.8669329621</v>
          </cell>
          <cell r="W7">
            <v>5112385.5495956289</v>
          </cell>
          <cell r="X7">
            <v>4446794.7467749696</v>
          </cell>
          <cell r="Y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EG7">
            <v>0</v>
          </cell>
          <cell r="EH7">
            <v>0</v>
          </cell>
          <cell r="EI7">
            <v>0</v>
          </cell>
          <cell r="EJ7">
            <v>31982.333333333332</v>
          </cell>
          <cell r="EK7">
            <v>33048.333333333336</v>
          </cell>
          <cell r="EL7">
            <v>34133.833333333336</v>
          </cell>
          <cell r="EM7">
            <v>35258.333333333336</v>
          </cell>
          <cell r="EN7">
            <v>36383</v>
          </cell>
          <cell r="EO7">
            <v>37508</v>
          </cell>
          <cell r="EP7">
            <v>38640.166666666664</v>
          </cell>
          <cell r="EQ7">
            <v>39786.666666666664</v>
          </cell>
          <cell r="ER7">
            <v>40933.333333333336</v>
          </cell>
          <cell r="ES7">
            <v>42080.333333333336</v>
          </cell>
          <cell r="ET7">
            <v>43193.333333333336</v>
          </cell>
          <cell r="EU7">
            <v>44238.333333333336</v>
          </cell>
          <cell r="EV7">
            <v>45283.333333333336</v>
          </cell>
          <cell r="EW7">
            <v>46328.333333333336</v>
          </cell>
          <cell r="EX7">
            <v>47373.333333333336</v>
          </cell>
          <cell r="EY7">
            <v>48418.333333333336</v>
          </cell>
          <cell r="EZ7">
            <v>0</v>
          </cell>
        </row>
        <row r="8">
          <cell r="F8">
            <v>0</v>
          </cell>
          <cell r="G8">
            <v>0</v>
          </cell>
          <cell r="H8">
            <v>496683.72245560546</v>
          </cell>
          <cell r="I8">
            <v>1725210.4746445054</v>
          </cell>
          <cell r="J8">
            <v>1736144.359862145</v>
          </cell>
          <cell r="K8">
            <v>1730254.9732020097</v>
          </cell>
          <cell r="L8">
            <v>1724385.5646474021</v>
          </cell>
          <cell r="M8">
            <v>1494974.559112556</v>
          </cell>
          <cell r="N8">
            <v>1487732.0025137044</v>
          </cell>
          <cell r="O8">
            <v>1482685.2856553462</v>
          </cell>
          <cell r="P8">
            <v>1477655.6883796852</v>
          </cell>
          <cell r="Q8">
            <v>1329018.2367088697</v>
          </cell>
          <cell r="R8">
            <v>1323113.8291331043</v>
          </cell>
          <cell r="S8">
            <v>1318625.5336230723</v>
          </cell>
          <cell r="T8">
            <v>1314152.4634066939</v>
          </cell>
          <cell r="U8">
            <v>807972.96086016437</v>
          </cell>
          <cell r="V8">
            <v>800352.1997279611</v>
          </cell>
          <cell r="W8">
            <v>797637.22758770559</v>
          </cell>
          <cell r="X8">
            <v>794931.46523499722</v>
          </cell>
          <cell r="Y8">
            <v>525835.02272815118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</row>
        <row r="9">
          <cell r="F9">
            <v>0</v>
          </cell>
          <cell r="G9">
            <v>0</v>
          </cell>
          <cell r="H9">
            <v>392106.0478761447</v>
          </cell>
          <cell r="I9">
            <v>1361874.3701417465</v>
          </cell>
          <cell r="J9">
            <v>1370468.6438665809</v>
          </cell>
          <cell r="K9">
            <v>1365819.7103240024</v>
          </cell>
          <cell r="L9">
            <v>1361186.5469949059</v>
          </cell>
          <cell r="M9">
            <v>1206106.9954192089</v>
          </cell>
          <cell r="N9">
            <v>1200555.7028109438</v>
          </cell>
          <cell r="O9">
            <v>1196483.1516427652</v>
          </cell>
          <cell r="P9">
            <v>1192424.4154712402</v>
          </cell>
          <cell r="Q9">
            <v>1070935.2270004172</v>
          </cell>
          <cell r="R9">
            <v>1066162.8343642424</v>
          </cell>
          <cell r="S9">
            <v>1062546.1736075673</v>
          </cell>
          <cell r="T9">
            <v>1058941.7813661764</v>
          </cell>
          <cell r="U9">
            <v>659487.01361327118</v>
          </cell>
          <cell r="V9">
            <v>653408.894628359</v>
          </cell>
          <cell r="W9">
            <v>651192.38676380366</v>
          </cell>
          <cell r="X9">
            <v>648983.39778543741</v>
          </cell>
          <cell r="Y9">
            <v>431661.56197078037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389402.83456980926</v>
          </cell>
          <cell r="N10">
            <v>0</v>
          </cell>
          <cell r="O10">
            <v>0</v>
          </cell>
          <cell r="P10">
            <v>0</v>
          </cell>
          <cell r="Q10">
            <v>316940.39414040744</v>
          </cell>
          <cell r="R10">
            <v>0</v>
          </cell>
          <cell r="S10">
            <v>0</v>
          </cell>
          <cell r="T10">
            <v>0</v>
          </cell>
          <cell r="U10">
            <v>1201829.7270608752</v>
          </cell>
          <cell r="V10">
            <v>0</v>
          </cell>
          <cell r="W10">
            <v>0</v>
          </cell>
          <cell r="X10">
            <v>0</v>
          </cell>
          <cell r="Y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1162646.7488072559</v>
          </cell>
          <cell r="J11">
            <v>0</v>
          </cell>
          <cell r="K11">
            <v>0</v>
          </cell>
          <cell r="L11">
            <v>0</v>
          </cell>
          <cell r="M11">
            <v>177403.03511054427</v>
          </cell>
          <cell r="N11">
            <v>178527.84030164452</v>
          </cell>
          <cell r="O11">
            <v>177922.23427864155</v>
          </cell>
          <cell r="P11">
            <v>177318.68260556224</v>
          </cell>
          <cell r="Q11">
            <v>133186.67103372767</v>
          </cell>
          <cell r="R11">
            <v>132311.38291331046</v>
          </cell>
          <cell r="S11">
            <v>131862.55336230726</v>
          </cell>
          <cell r="T11">
            <v>131415.2463406694</v>
          </cell>
          <cell r="U11">
            <v>80797.296086016431</v>
          </cell>
          <cell r="V11">
            <v>80035.219972796112</v>
          </cell>
          <cell r="W11">
            <v>79763.722758770557</v>
          </cell>
          <cell r="X11">
            <v>79493.14652349973</v>
          </cell>
          <cell r="Y11">
            <v>52583.502272815109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49810.666666666664</v>
          </cell>
          <cell r="EK11">
            <v>51999.666666666664</v>
          </cell>
          <cell r="EL11">
            <v>54162</v>
          </cell>
          <cell r="EM11">
            <v>56321</v>
          </cell>
          <cell r="EN11">
            <v>57880</v>
          </cell>
          <cell r="EO11">
            <v>59479</v>
          </cell>
          <cell r="EP11">
            <v>61116</v>
          </cell>
          <cell r="EQ11">
            <v>62845</v>
          </cell>
          <cell r="ER11">
            <v>64431</v>
          </cell>
          <cell r="ES11">
            <v>66095</v>
          </cell>
          <cell r="ET11">
            <v>67650</v>
          </cell>
          <cell r="EU11">
            <v>69301</v>
          </cell>
          <cell r="EV11">
            <v>70836</v>
          </cell>
          <cell r="EW11">
            <v>72380</v>
          </cell>
          <cell r="EX11">
            <v>73908</v>
          </cell>
          <cell r="EY11">
            <v>75440</v>
          </cell>
          <cell r="EZ11">
            <v>0</v>
          </cell>
        </row>
        <row r="12">
          <cell r="F12">
            <v>0</v>
          </cell>
          <cell r="G12">
            <v>0</v>
          </cell>
          <cell r="H12">
            <v>442902.44966002146</v>
          </cell>
          <cell r="I12">
            <v>17058396.604379818</v>
          </cell>
          <cell r="J12">
            <v>849353.43836796307</v>
          </cell>
          <cell r="K12">
            <v>42218.173696229744</v>
          </cell>
          <cell r="L12">
            <v>42233.274688200894</v>
          </cell>
          <cell r="M12">
            <v>4872602.9442876698</v>
          </cell>
          <cell r="N12">
            <v>287250.68979231914</v>
          </cell>
          <cell r="O12">
            <v>43323.078231387299</v>
          </cell>
          <cell r="P12">
            <v>42820.230462348321</v>
          </cell>
          <cell r="Q12">
            <v>3573826.3821245241</v>
          </cell>
          <cell r="R12">
            <v>225179.7789099199</v>
          </cell>
          <cell r="S12">
            <v>43695.249832359841</v>
          </cell>
          <cell r="T12">
            <v>43206.292795359128</v>
          </cell>
          <cell r="U12">
            <v>3198212.9312698031</v>
          </cell>
          <cell r="V12">
            <v>256885.94385205896</v>
          </cell>
          <cell r="W12">
            <v>47392.611523489119</v>
          </cell>
          <cell r="X12">
            <v>45333.750162883967</v>
          </cell>
          <cell r="Y12">
            <v>-20197391.059327561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22024.666666666664</v>
          </cell>
          <cell r="EK12">
            <v>24213.666666666664</v>
          </cell>
          <cell r="EL12">
            <v>26376</v>
          </cell>
          <cell r="EM12">
            <v>28535</v>
          </cell>
          <cell r="EN12">
            <v>30094</v>
          </cell>
          <cell r="EO12">
            <v>31693</v>
          </cell>
          <cell r="EP12">
            <v>33330</v>
          </cell>
          <cell r="EQ12">
            <v>35059</v>
          </cell>
          <cell r="ER12">
            <v>36645</v>
          </cell>
          <cell r="ES12">
            <v>38309</v>
          </cell>
          <cell r="ET12">
            <v>39864</v>
          </cell>
          <cell r="EU12">
            <v>41515</v>
          </cell>
          <cell r="EV12">
            <v>43050</v>
          </cell>
          <cell r="EW12">
            <v>44594</v>
          </cell>
          <cell r="EX12">
            <v>46122</v>
          </cell>
          <cell r="EY12">
            <v>47654</v>
          </cell>
          <cell r="EZ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8130989.9036227576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24326</v>
          </cell>
          <cell r="EQ13">
            <v>24326</v>
          </cell>
          <cell r="ER13">
            <v>24326</v>
          </cell>
          <cell r="ES13">
            <v>24326</v>
          </cell>
          <cell r="ET13">
            <v>24326</v>
          </cell>
          <cell r="EU13">
            <v>24326</v>
          </cell>
          <cell r="EV13">
            <v>24326</v>
          </cell>
          <cell r="EW13">
            <v>24326</v>
          </cell>
          <cell r="EX13">
            <v>24326</v>
          </cell>
          <cell r="EY13">
            <v>24326</v>
          </cell>
          <cell r="EZ13">
            <v>0</v>
          </cell>
        </row>
        <row r="14">
          <cell r="F14">
            <v>0</v>
          </cell>
          <cell r="G14">
            <v>0</v>
          </cell>
          <cell r="H14">
            <v>224672.43028386222</v>
          </cell>
          <cell r="I14">
            <v>0</v>
          </cell>
          <cell r="J14">
            <v>7684724.8622954329</v>
          </cell>
          <cell r="K14">
            <v>7239553.8848715629</v>
          </cell>
          <cell r="L14">
            <v>6795474.94446202</v>
          </cell>
          <cell r="M14">
            <v>6329631.8159536337</v>
          </cell>
          <cell r="N14">
            <v>5927024.3091767747</v>
          </cell>
          <cell r="O14">
            <v>5525405.3816435775</v>
          </cell>
          <cell r="P14">
            <v>5124773.2009188859</v>
          </cell>
          <cell r="Q14">
            <v>4710854.080161457</v>
          </cell>
          <cell r="R14">
            <v>4320267.4415414808</v>
          </cell>
          <cell r="S14">
            <v>3930642.0633748765</v>
          </cell>
          <cell r="T14">
            <v>3541976.1624889327</v>
          </cell>
          <cell r="U14">
            <v>3022794.6560677062</v>
          </cell>
          <cell r="V14">
            <v>2681620.2670980296</v>
          </cell>
          <cell r="W14">
            <v>2341287.2103341445</v>
          </cell>
          <cell r="X14">
            <v>2001793.9240260946</v>
          </cell>
          <cell r="Y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3460</v>
          </cell>
          <cell r="EQ14">
            <v>3460</v>
          </cell>
          <cell r="ER14">
            <v>3460</v>
          </cell>
          <cell r="ES14">
            <v>3460</v>
          </cell>
          <cell r="ET14">
            <v>3460</v>
          </cell>
          <cell r="EU14">
            <v>3460</v>
          </cell>
          <cell r="EV14">
            <v>3460</v>
          </cell>
          <cell r="EW14">
            <v>3460</v>
          </cell>
          <cell r="EX14">
            <v>3460</v>
          </cell>
          <cell r="EY14">
            <v>3460</v>
          </cell>
          <cell r="EZ14">
            <v>0</v>
          </cell>
        </row>
        <row r="15">
          <cell r="F15">
            <v>0</v>
          </cell>
          <cell r="G15">
            <v>0</v>
          </cell>
          <cell r="H15">
            <v>8572.0815942252411</v>
          </cell>
          <cell r="I15">
            <v>764917.88391741633</v>
          </cell>
          <cell r="J15">
            <v>850767.60884490993</v>
          </cell>
          <cell r="K15">
            <v>849712.823960379</v>
          </cell>
          <cell r="L15">
            <v>848659.34680211917</v>
          </cell>
          <cell r="M15">
            <v>712490.21334195253</v>
          </cell>
          <cell r="N15">
            <v>696291.17632331839</v>
          </cell>
          <cell r="O15">
            <v>695427.91190142173</v>
          </cell>
          <cell r="P15">
            <v>694565.71775800525</v>
          </cell>
          <cell r="Q15">
            <v>673870.25181719894</v>
          </cell>
          <cell r="R15">
            <v>670785.73510385957</v>
          </cell>
          <cell r="S15">
            <v>669954.09242401295</v>
          </cell>
          <cell r="T15">
            <v>669123.48081789201</v>
          </cell>
          <cell r="U15">
            <v>599595.95417012752</v>
          </cell>
          <cell r="V15">
            <v>591057.68824307038</v>
          </cell>
          <cell r="W15">
            <v>590324.89269589272</v>
          </cell>
          <cell r="X15">
            <v>589593.00567139348</v>
          </cell>
          <cell r="Y15">
            <v>451271.52089783584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</row>
        <row r="16">
          <cell r="F16">
            <v>0</v>
          </cell>
          <cell r="G16">
            <v>0</v>
          </cell>
          <cell r="H16">
            <v>4395.0041679466776</v>
          </cell>
          <cell r="I16">
            <v>392380.53262815787</v>
          </cell>
          <cell r="J16">
            <v>436364.64438292792</v>
          </cell>
          <cell r="K16">
            <v>435823.63785393746</v>
          </cell>
          <cell r="L16">
            <v>435283.3020668783</v>
          </cell>
          <cell r="M16">
            <v>399421.72987618693</v>
          </cell>
          <cell r="N16">
            <v>394923.30455129332</v>
          </cell>
          <cell r="O16">
            <v>394433.6771514499</v>
          </cell>
          <cell r="P16">
            <v>393944.6567935003</v>
          </cell>
          <cell r="Q16">
            <v>386205.81043558102</v>
          </cell>
          <cell r="R16">
            <v>384905.26070671558</v>
          </cell>
          <cell r="S16">
            <v>384428.05371534807</v>
          </cell>
          <cell r="T16">
            <v>383951.43836700509</v>
          </cell>
          <cell r="U16">
            <v>342621.29790557432</v>
          </cell>
          <cell r="V16">
            <v>337566.29902367882</v>
          </cell>
          <cell r="W16">
            <v>337147.783055234</v>
          </cell>
          <cell r="X16">
            <v>336729.78596446262</v>
          </cell>
          <cell r="Y16">
            <v>260176.81968446018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58227.774031488858</v>
          </cell>
          <cell r="N17">
            <v>0</v>
          </cell>
          <cell r="O17">
            <v>0</v>
          </cell>
          <cell r="P17">
            <v>0</v>
          </cell>
          <cell r="Q17">
            <v>21543.575926302721</v>
          </cell>
          <cell r="R17">
            <v>0</v>
          </cell>
          <cell r="S17">
            <v>0</v>
          </cell>
          <cell r="T17">
            <v>0</v>
          </cell>
          <cell r="U17">
            <v>172504.27875552679</v>
          </cell>
          <cell r="V17">
            <v>0</v>
          </cell>
          <cell r="W17">
            <v>0</v>
          </cell>
          <cell r="X17">
            <v>0</v>
          </cell>
          <cell r="Y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852068.1864426526</v>
          </cell>
          <cell r="J18">
            <v>0</v>
          </cell>
          <cell r="K18">
            <v>0</v>
          </cell>
          <cell r="L18">
            <v>0</v>
          </cell>
          <cell r="M18">
            <v>125202.91559703415</v>
          </cell>
          <cell r="N18">
            <v>139258.23526466367</v>
          </cell>
          <cell r="O18">
            <v>139085.58238028432</v>
          </cell>
          <cell r="P18">
            <v>138913.14355160104</v>
          </cell>
          <cell r="Q18">
            <v>122712.4210619356</v>
          </cell>
          <cell r="R18">
            <v>120741.43231869471</v>
          </cell>
          <cell r="S18">
            <v>120591.73663632234</v>
          </cell>
          <cell r="T18">
            <v>120442.22654722055</v>
          </cell>
          <cell r="U18">
            <v>107927.27175062292</v>
          </cell>
          <cell r="V18">
            <v>106390.38388375269</v>
          </cell>
          <cell r="W18">
            <v>106258.48068526069</v>
          </cell>
          <cell r="X18">
            <v>106126.74102085084</v>
          </cell>
          <cell r="Y18">
            <v>81228.873761610448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</row>
        <row r="19">
          <cell r="F19">
            <v>0</v>
          </cell>
          <cell r="G19">
            <v>0</v>
          </cell>
          <cell r="H19">
            <v>1465.8259526125164</v>
          </cell>
          <cell r="I19">
            <v>130800.95814987819</v>
          </cell>
          <cell r="J19">
            <v>145481.26111247961</v>
          </cell>
          <cell r="K19">
            <v>145300.89289722481</v>
          </cell>
          <cell r="L19">
            <v>145120.7483031624</v>
          </cell>
          <cell r="M19">
            <v>134982.13261916247</v>
          </cell>
          <cell r="N19">
            <v>133687.90585407714</v>
          </cell>
          <cell r="O19">
            <v>133522.15908507296</v>
          </cell>
          <cell r="P19">
            <v>133356.61780953698</v>
          </cell>
          <cell r="Q19">
            <v>114909.13318709718</v>
          </cell>
          <cell r="R19">
            <v>112692.0034974484</v>
          </cell>
          <cell r="S19">
            <v>112552.28752723418</v>
          </cell>
          <cell r="T19">
            <v>112412.74477740584</v>
          </cell>
          <cell r="U19">
            <v>87978.561892916288</v>
          </cell>
          <cell r="V19">
            <v>85112.307107002125</v>
          </cell>
          <cell r="W19">
            <v>85006.784548208554</v>
          </cell>
          <cell r="X19">
            <v>84901.392816680658</v>
          </cell>
          <cell r="Y19">
            <v>55594.842839229525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</row>
        <row r="20">
          <cell r="F20">
            <v>0</v>
          </cell>
          <cell r="G20">
            <v>0</v>
          </cell>
          <cell r="H20">
            <v>40893.068320631181</v>
          </cell>
          <cell r="I20">
            <v>1042757.8581387469</v>
          </cell>
          <cell r="J20">
            <v>5002.0904466738684</v>
          </cell>
          <cell r="K20">
            <v>5002.090442314211</v>
          </cell>
          <cell r="L20">
            <v>5002.090442314211</v>
          </cell>
          <cell r="M20">
            <v>566862.20287842723</v>
          </cell>
          <cell r="N20">
            <v>5624.5766471730785</v>
          </cell>
          <cell r="O20">
            <v>5624.5782194004569</v>
          </cell>
          <cell r="P20">
            <v>5624.5782194004578</v>
          </cell>
          <cell r="Q20">
            <v>554097.2854093893</v>
          </cell>
          <cell r="R20">
            <v>6567.2986365433753</v>
          </cell>
          <cell r="S20">
            <v>6567.1597880953086</v>
          </cell>
          <cell r="T20">
            <v>6567.1597880953086</v>
          </cell>
          <cell r="U20">
            <v>539052.28865030746</v>
          </cell>
          <cell r="V20">
            <v>7591.108815366113</v>
          </cell>
          <cell r="W20">
            <v>7590.5897905616366</v>
          </cell>
          <cell r="X20">
            <v>7590.5897905616384</v>
          </cell>
          <cell r="Y20">
            <v>-1833843.4264469505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460329.5899427798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</row>
        <row r="22">
          <cell r="F22">
            <v>0</v>
          </cell>
          <cell r="G22">
            <v>0</v>
          </cell>
          <cell r="H22">
            <v>24210.61870423266</v>
          </cell>
          <cell r="I22">
            <v>0</v>
          </cell>
          <cell r="J22">
            <v>398648.98449359328</v>
          </cell>
          <cell r="K22">
            <v>337221.0210352001</v>
          </cell>
          <cell r="L22">
            <v>276044.91945668845</v>
          </cell>
          <cell r="M22">
            <v>216867.008104821</v>
          </cell>
          <cell r="N22">
            <v>188923.97976985836</v>
          </cell>
          <cell r="O22">
            <v>161095.36981667217</v>
          </cell>
          <cell r="P22">
            <v>133380.82497971444</v>
          </cell>
          <cell r="Q22">
            <v>95765.418741775517</v>
          </cell>
          <cell r="R22">
            <v>83744.621879613958</v>
          </cell>
          <cell r="S22">
            <v>71773.036074081945</v>
          </cell>
          <cell r="T22">
            <v>59850.509397512418</v>
          </cell>
          <cell r="U22">
            <v>40237.349088569179</v>
          </cell>
          <cell r="V22">
            <v>34396.374281453544</v>
          </cell>
          <cell r="W22">
            <v>28579.338228586385</v>
          </cell>
          <cell r="X22">
            <v>22786.166996740878</v>
          </cell>
          <cell r="Y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</row>
        <row r="23">
          <cell r="F23">
            <v>0</v>
          </cell>
          <cell r="G23">
            <v>0</v>
          </cell>
          <cell r="H23">
            <v>2605.1591273647196</v>
          </cell>
          <cell r="I23">
            <v>118344.84661098609</v>
          </cell>
          <cell r="J23">
            <v>119110.42337391895</v>
          </cell>
          <cell r="K23">
            <v>118864.59367971198</v>
          </cell>
          <cell r="L23">
            <v>118619.2713486462</v>
          </cell>
          <cell r="M23">
            <v>58476.026870842434</v>
          </cell>
          <cell r="N23">
            <v>57844.359438305757</v>
          </cell>
          <cell r="O23">
            <v>57724.975585998589</v>
          </cell>
          <cell r="P23">
            <v>57605.838127710289</v>
          </cell>
          <cell r="Q23">
            <v>20999.141367631699</v>
          </cell>
          <cell r="R23">
            <v>20644.457278593854</v>
          </cell>
          <cell r="S23">
            <v>20601.849583346782</v>
          </cell>
          <cell r="T23">
            <v>20559.32982529611</v>
          </cell>
          <cell r="U23">
            <v>9468.8073504121985</v>
          </cell>
          <cell r="V23">
            <v>9354.9469884081664</v>
          </cell>
          <cell r="W23">
            <v>9335.6394946360779</v>
          </cell>
          <cell r="X23">
            <v>9316.3718492261687</v>
          </cell>
          <cell r="Y23">
            <v>4206.8991467155593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</row>
        <row r="24">
          <cell r="F24">
            <v>0</v>
          </cell>
          <cell r="G24">
            <v>0</v>
          </cell>
          <cell r="H24">
            <v>1328.815500882848</v>
          </cell>
          <cell r="I24">
            <v>60382.067677950632</v>
          </cell>
          <cell r="J24">
            <v>60772.387511620887</v>
          </cell>
          <cell r="K24">
            <v>60646.960558924147</v>
          </cell>
          <cell r="L24">
            <v>60521.792472484056</v>
          </cell>
          <cell r="M24">
            <v>27849.431060758892</v>
          </cell>
          <cell r="N24">
            <v>27514.386907480221</v>
          </cell>
          <cell r="O24">
            <v>27457.600497624851</v>
          </cell>
          <cell r="P24">
            <v>27400.931288140146</v>
          </cell>
          <cell r="Q24">
            <v>11987.003595953658</v>
          </cell>
          <cell r="R24">
            <v>11831.295406135348</v>
          </cell>
          <cell r="S24">
            <v>11806.877024860418</v>
          </cell>
          <cell r="T24">
            <v>11782.509040209326</v>
          </cell>
          <cell r="U24">
            <v>5824.5210639144107</v>
          </cell>
          <cell r="V24">
            <v>5761.8973187194679</v>
          </cell>
          <cell r="W24">
            <v>5750.0054505202752</v>
          </cell>
          <cell r="X24">
            <v>5738.1381257173689</v>
          </cell>
          <cell r="Y24">
            <v>2612.4402411852989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30841.227051232803</v>
          </cell>
          <cell r="N25">
            <v>0</v>
          </cell>
          <cell r="O25">
            <v>0</v>
          </cell>
          <cell r="P25">
            <v>0</v>
          </cell>
          <cell r="Q25">
            <v>25413.466121379173</v>
          </cell>
          <cell r="R25">
            <v>0</v>
          </cell>
          <cell r="S25">
            <v>0</v>
          </cell>
          <cell r="T25">
            <v>0</v>
          </cell>
          <cell r="U25">
            <v>13697.188655326603</v>
          </cell>
          <cell r="V25">
            <v>0</v>
          </cell>
          <cell r="W25">
            <v>0</v>
          </cell>
          <cell r="X25">
            <v>0</v>
          </cell>
          <cell r="Y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23887.375710611541</v>
          </cell>
          <cell r="J26">
            <v>0</v>
          </cell>
          <cell r="K26">
            <v>0</v>
          </cell>
          <cell r="L26">
            <v>0</v>
          </cell>
          <cell r="M26">
            <v>11494.488012127096</v>
          </cell>
          <cell r="N26">
            <v>11568.871887661151</v>
          </cell>
          <cell r="O26">
            <v>11544.995117199718</v>
          </cell>
          <cell r="P26">
            <v>11521.167625542059</v>
          </cell>
          <cell r="Q26">
            <v>3789.5955396932359</v>
          </cell>
          <cell r="R26">
            <v>3716.0023101468937</v>
          </cell>
          <cell r="S26">
            <v>3708.3329250024203</v>
          </cell>
          <cell r="T26">
            <v>3700.6793685532994</v>
          </cell>
          <cell r="U26">
            <v>1704.3853230741956</v>
          </cell>
          <cell r="V26">
            <v>1683.8904579134698</v>
          </cell>
          <cell r="W26">
            <v>1680.415109034494</v>
          </cell>
          <cell r="X26">
            <v>1676.9469328607101</v>
          </cell>
          <cell r="Y26">
            <v>757.24184640880071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</row>
        <row r="27">
          <cell r="F27">
            <v>0</v>
          </cell>
          <cell r="G27">
            <v>0</v>
          </cell>
          <cell r="H27">
            <v>468.92864292564957</v>
          </cell>
          <cell r="I27">
            <v>21302.072389977497</v>
          </cell>
          <cell r="J27">
            <v>21439.876207305409</v>
          </cell>
          <cell r="K27">
            <v>21395.626862348152</v>
          </cell>
          <cell r="L27">
            <v>21351.468842756316</v>
          </cell>
          <cell r="M27">
            <v>15813.149322330104</v>
          </cell>
          <cell r="N27">
            <v>15733.665767219165</v>
          </cell>
          <cell r="O27">
            <v>15701.193359391615</v>
          </cell>
          <cell r="P27">
            <v>15668.787970737199</v>
          </cell>
          <cell r="Q27">
            <v>5014.3708044795458</v>
          </cell>
          <cell r="R27">
            <v>4913.3808323053381</v>
          </cell>
          <cell r="S27">
            <v>4903.2402008365334</v>
          </cell>
          <cell r="T27">
            <v>4893.1204984204742</v>
          </cell>
          <cell r="U27">
            <v>1937.5551441271709</v>
          </cell>
          <cell r="V27">
            <v>1908.4091856352661</v>
          </cell>
          <cell r="W27">
            <v>1904.4704569057599</v>
          </cell>
          <cell r="X27">
            <v>1900.5398572421382</v>
          </cell>
          <cell r="Y27">
            <v>717.85559752192216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</row>
        <row r="28">
          <cell r="F28">
            <v>0</v>
          </cell>
          <cell r="G28">
            <v>0</v>
          </cell>
          <cell r="H28">
            <v>16112.547844697579</v>
          </cell>
          <cell r="I28">
            <v>-1466665.9341425197</v>
          </cell>
          <cell r="J28">
            <v>-37952.709789887653</v>
          </cell>
          <cell r="K28">
            <v>0.51784073193204938</v>
          </cell>
          <cell r="L28">
            <v>-5.8327231457877564E-6</v>
          </cell>
          <cell r="M28">
            <v>111187.11898535574</v>
          </cell>
          <cell r="N28">
            <v>2117.5951775539738</v>
          </cell>
          <cell r="O28">
            <v>-1.6826933654215906E-2</v>
          </cell>
          <cell r="P28">
            <v>1.3366904125122758E-7</v>
          </cell>
          <cell r="Q28">
            <v>416585.73353197833</v>
          </cell>
          <cell r="R28">
            <v>7934.0120367835998</v>
          </cell>
          <cell r="S28">
            <v>-6.3045616823752482E-2</v>
          </cell>
          <cell r="T28">
            <v>5.0081923738898309E-7</v>
          </cell>
          <cell r="U28">
            <v>69295.543285739011</v>
          </cell>
          <cell r="V28">
            <v>-1014.900938576304</v>
          </cell>
          <cell r="W28">
            <v>-28.58823500490022</v>
          </cell>
          <cell r="X28">
            <v>7.133168420412762E-4</v>
          </cell>
          <cell r="Y28">
            <v>199047.25372833334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-702323.16578523442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</row>
        <row r="30">
          <cell r="F30">
            <v>0</v>
          </cell>
          <cell r="G30">
            <v>0</v>
          </cell>
          <cell r="H30">
            <v>-702123.46843498899</v>
          </cell>
          <cell r="I30">
            <v>0</v>
          </cell>
          <cell r="J30">
            <v>-659957.56400356651</v>
          </cell>
          <cell r="K30">
            <v>-617698.84749423969</v>
          </cell>
          <cell r="L30">
            <v>-575546.81257714541</v>
          </cell>
          <cell r="M30">
            <v>-533501.25591779524</v>
          </cell>
          <cell r="N30">
            <v>-491561.97452677134</v>
          </cell>
          <cell r="O30">
            <v>-449728.76575917611</v>
          </cell>
          <cell r="P30">
            <v>-408001.42731408443</v>
          </cell>
          <cell r="Q30">
            <v>-366379.75723399548</v>
          </cell>
          <cell r="R30">
            <v>-324863.55390428618</v>
          </cell>
          <cell r="S30">
            <v>-283452.61605266493</v>
          </cell>
          <cell r="T30">
            <v>-242146.74274862674</v>
          </cell>
          <cell r="U30">
            <v>-212899.11468280089</v>
          </cell>
          <cell r="V30">
            <v>-191152.32127292297</v>
          </cell>
          <cell r="W30">
            <v>-169460.63334848895</v>
          </cell>
          <cell r="X30">
            <v>-147823.94574613974</v>
          </cell>
          <cell r="Y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16822.953481286186</v>
          </cell>
          <cell r="EK30">
            <v>2264.8923513357422</v>
          </cell>
          <cell r="EL30">
            <v>2245.9837459252094</v>
          </cell>
          <cell r="EM30">
            <v>2250.1486801901683</v>
          </cell>
          <cell r="EN30">
            <v>3113.1432950828553</v>
          </cell>
          <cell r="EO30">
            <v>1735.2167815238454</v>
          </cell>
          <cell r="EP30">
            <v>1773.7906211786694</v>
          </cell>
          <cell r="EQ30">
            <v>1871.4199588569481</v>
          </cell>
          <cell r="ER30">
            <v>3049.309958242312</v>
          </cell>
          <cell r="ES30">
            <v>1871.8962133168006</v>
          </cell>
          <cell r="ET30">
            <v>1759.3086174951629</v>
          </cell>
          <cell r="EU30">
            <v>1861.8700862230296</v>
          </cell>
          <cell r="EV30">
            <v>3911.5400640099938</v>
          </cell>
          <cell r="EW30">
            <v>1990.7238357467136</v>
          </cell>
          <cell r="EX30">
            <v>1942.884479155304</v>
          </cell>
          <cell r="EY30">
            <v>1954.8560633329098</v>
          </cell>
          <cell r="EZ30">
            <v>-44899.090154970858</v>
          </cell>
        </row>
        <row r="31">
          <cell r="F31">
            <v>0</v>
          </cell>
          <cell r="G31">
            <v>0</v>
          </cell>
          <cell r="H31">
            <v>-33647.446534587165</v>
          </cell>
          <cell r="I31">
            <v>-66814.82748155031</v>
          </cell>
          <cell r="J31">
            <v>-90482.317103401554</v>
          </cell>
          <cell r="K31">
            <v>-90366.957928972028</v>
          </cell>
          <cell r="L31">
            <v>-90251.745830120926</v>
          </cell>
          <cell r="M31">
            <v>-90136.680619336286</v>
          </cell>
          <cell r="N31">
            <v>-90021.762109345189</v>
          </cell>
          <cell r="O31">
            <v>-89906.990113113512</v>
          </cell>
          <cell r="P31">
            <v>-89792.364443845567</v>
          </cell>
          <cell r="Q31">
            <v>-89677.884914983792</v>
          </cell>
          <cell r="R31">
            <v>-89563.551340208563</v>
          </cell>
          <cell r="S31">
            <v>-89449.363533437703</v>
          </cell>
          <cell r="T31">
            <v>-89335.321308826329</v>
          </cell>
          <cell r="U31">
            <v>-56058.408676074599</v>
          </cell>
          <cell r="V31">
            <v>-44199.981755924193</v>
          </cell>
          <cell r="W31">
            <v>-44143.629602615212</v>
          </cell>
          <cell r="X31">
            <v>-44087.349294701984</v>
          </cell>
          <cell r="Y31">
            <v>-44031.140740586263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12765.595638607991</v>
          </cell>
          <cell r="EK31">
            <v>29.92826769237584</v>
          </cell>
          <cell r="EL31">
            <v>30.166629033844576</v>
          </cell>
          <cell r="EM31">
            <v>30.166624575541455</v>
          </cell>
          <cell r="EN31">
            <v>3647.500163303077</v>
          </cell>
          <cell r="EO31">
            <v>38.528573703879687</v>
          </cell>
          <cell r="EP31">
            <v>30.585594007725348</v>
          </cell>
          <cell r="EQ31">
            <v>30.585892401130046</v>
          </cell>
          <cell r="ER31">
            <v>2675.5692147445334</v>
          </cell>
          <cell r="ES31">
            <v>38.390681902464806</v>
          </cell>
          <cell r="ET31">
            <v>30.866174742934973</v>
          </cell>
          <cell r="EU31">
            <v>30.86142291319462</v>
          </cell>
          <cell r="EV31">
            <v>2405.0184756745116</v>
          </cell>
          <cell r="EW31">
            <v>64.589444089043099</v>
          </cell>
          <cell r="EX31">
            <v>32.387851174446567</v>
          </cell>
          <cell r="EY31">
            <v>32.380933334657996</v>
          </cell>
          <cell r="EZ31">
            <v>-21472.227858856153</v>
          </cell>
        </row>
        <row r="32">
          <cell r="F32">
            <v>0</v>
          </cell>
          <cell r="G32">
            <v>0</v>
          </cell>
          <cell r="H32">
            <v>-15431.121880492356</v>
          </cell>
          <cell r="I32">
            <v>-30640.585297368532</v>
          </cell>
          <cell r="J32">
            <v>-41487.826049426294</v>
          </cell>
          <cell r="K32">
            <v>-41434.931721394569</v>
          </cell>
          <cell r="L32">
            <v>-41382.104830252283</v>
          </cell>
          <cell r="M32">
            <v>-41329.345290021694</v>
          </cell>
          <cell r="N32">
            <v>-41276.653014834686</v>
          </cell>
          <cell r="O32">
            <v>-41224.027918932647</v>
          </cell>
          <cell r="P32">
            <v>-41171.469916666269</v>
          </cell>
          <cell r="Q32">
            <v>-41118.978922495451</v>
          </cell>
          <cell r="R32">
            <v>-41066.554850989152</v>
          </cell>
          <cell r="S32">
            <v>-41014.197616825259</v>
          </cell>
          <cell r="T32">
            <v>-40961.90713479041</v>
          </cell>
          <cell r="U32">
            <v>-26601.848248252907</v>
          </cell>
          <cell r="V32">
            <v>-21484.496269303439</v>
          </cell>
          <cell r="W32">
            <v>-21457.104908958092</v>
          </cell>
          <cell r="X32">
            <v>-21429.748470847473</v>
          </cell>
          <cell r="Y32">
            <v>-21402.426910447946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1489.7033893816597</v>
          </cell>
          <cell r="EK32">
            <v>7.145843489016011</v>
          </cell>
          <cell r="EL32">
            <v>7.1458434890203026</v>
          </cell>
          <cell r="EM32">
            <v>7.1458434890203026</v>
          </cell>
          <cell r="EN32">
            <v>809.80928067176535</v>
          </cell>
          <cell r="EO32">
            <v>8.0351117443235367</v>
          </cell>
          <cell r="EP32">
            <v>8.0351117420006517</v>
          </cell>
          <cell r="EQ32">
            <v>8.0351117420006535</v>
          </cell>
          <cell r="ER32">
            <v>791.57704051621545</v>
          </cell>
          <cell r="ES32">
            <v>9.3816564248655681</v>
          </cell>
          <cell r="ET32">
            <v>9.3816568401361558</v>
          </cell>
          <cell r="EU32">
            <v>9.3816568401361558</v>
          </cell>
          <cell r="EV32">
            <v>770.08550382874535</v>
          </cell>
          <cell r="EW32">
            <v>10.843723503669953</v>
          </cell>
          <cell r="EX32">
            <v>10.843699700802336</v>
          </cell>
          <cell r="EY32">
            <v>10.84369970080234</v>
          </cell>
          <cell r="EZ32">
            <v>-2691.3861048274166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-2352.456910195398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-2149.4880826325852</v>
          </cell>
          <cell r="EK33">
            <v>3.3617177515336993E-2</v>
          </cell>
          <cell r="EL33">
            <v>-3.9851780719857288E-7</v>
          </cell>
          <cell r="EM33">
            <v>4.2100767316810561E-12</v>
          </cell>
          <cell r="EN33">
            <v>161.86513976550862</v>
          </cell>
          <cell r="EO33">
            <v>-1.2864384299934306E-3</v>
          </cell>
          <cell r="EP33">
            <v>1.0221009483224464E-8</v>
          </cell>
          <cell r="EQ33">
            <v>-8.1379347705023974E-14</v>
          </cell>
          <cell r="ER33">
            <v>606.46150919111233</v>
          </cell>
          <cell r="ES33">
            <v>-4.8199099130613599E-3</v>
          </cell>
          <cell r="ET33">
            <v>3.8295145721178869E-8</v>
          </cell>
          <cell r="EU33">
            <v>-3.0453417565468044E-13</v>
          </cell>
          <cell r="EV33">
            <v>99.240913400114223</v>
          </cell>
          <cell r="EW33">
            <v>-1.7380253523377072</v>
          </cell>
          <cell r="EX33">
            <v>4.7417971783417154E-5</v>
          </cell>
          <cell r="EY33">
            <v>-8.0108534797775251E-10</v>
          </cell>
          <cell r="EZ33">
            <v>288.67905353624201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-90606.018285260623</v>
          </cell>
          <cell r="J34">
            <v>0</v>
          </cell>
          <cell r="K34">
            <v>0</v>
          </cell>
          <cell r="L34">
            <v>0</v>
          </cell>
          <cell r="M34">
            <v>-6647.4740009669194</v>
          </cell>
          <cell r="N34">
            <v>-9002.1762109345182</v>
          </cell>
          <cell r="O34">
            <v>-8990.6990113113516</v>
          </cell>
          <cell r="P34">
            <v>-8979.2364443845545</v>
          </cell>
          <cell r="Q34">
            <v>-8306.424655668181</v>
          </cell>
          <cell r="R34">
            <v>-8060.7196206187709</v>
          </cell>
          <cell r="S34">
            <v>-8050.4427180093926</v>
          </cell>
          <cell r="T34">
            <v>-8040.1789177943701</v>
          </cell>
          <cell r="U34">
            <v>-8961.6648111535651</v>
          </cell>
          <cell r="V34">
            <v>-9281.9961687440809</v>
          </cell>
          <cell r="W34">
            <v>-9270.1622165491917</v>
          </cell>
          <cell r="X34">
            <v>-9258.343351887419</v>
          </cell>
          <cell r="Y34">
            <v>-5025.3599159711457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-2562.6347372991263</v>
          </cell>
          <cell r="EK34">
            <v>0.1057097502093276</v>
          </cell>
          <cell r="EL34">
            <v>-2.5865455106632851E-6</v>
          </cell>
          <cell r="EM34">
            <v>5.3677728928391844E-11</v>
          </cell>
          <cell r="EN34">
            <v>1400.6118231998862</v>
          </cell>
          <cell r="EO34">
            <v>-2.6917463947399032</v>
          </cell>
          <cell r="EP34">
            <v>1.5379460316063159E-4</v>
          </cell>
          <cell r="EQ34">
            <v>-5.0940590107937191E-9</v>
          </cell>
          <cell r="ER34">
            <v>587.69709601398347</v>
          </cell>
          <cell r="ES34">
            <v>-3.650727316839395</v>
          </cell>
          <cell r="ET34">
            <v>-1.9232287019223054E-3</v>
          </cell>
          <cell r="EU34">
            <v>1.4898765729538761E-7</v>
          </cell>
          <cell r="EV34">
            <v>143.04549585864311</v>
          </cell>
          <cell r="EW34">
            <v>-10.398730271124604</v>
          </cell>
          <cell r="EX34">
            <v>-6.0453812868575905E-3</v>
          </cell>
          <cell r="EY34">
            <v>-1.0786543843367873E-6</v>
          </cell>
          <cell r="EZ34">
            <v>-131.42693212463507</v>
          </cell>
        </row>
        <row r="35">
          <cell r="F35">
            <v>0</v>
          </cell>
          <cell r="G35">
            <v>0</v>
          </cell>
          <cell r="H35">
            <v>-4239.5782633579829</v>
          </cell>
          <cell r="I35">
            <v>-8418.6682626753409</v>
          </cell>
          <cell r="J35">
            <v>-11400.771955028598</v>
          </cell>
          <cell r="K35">
            <v>-11386.236699050478</v>
          </cell>
          <cell r="L35">
            <v>-11371.719974595238</v>
          </cell>
          <cell r="M35">
            <v>-12553.767078210418</v>
          </cell>
          <cell r="N35">
            <v>-12963.133743745708</v>
          </cell>
          <cell r="O35">
            <v>-12946.606576288345</v>
          </cell>
          <cell r="P35">
            <v>-12930.100479913759</v>
          </cell>
          <cell r="Q35">
            <v>-11723.160523263308</v>
          </cell>
          <cell r="R35">
            <v>-11285.007468866279</v>
          </cell>
          <cell r="S35">
            <v>-11270.619805213151</v>
          </cell>
          <cell r="T35">
            <v>-11256.250484912116</v>
          </cell>
          <cell r="U35">
            <v>-6280.0778871240291</v>
          </cell>
          <cell r="V35">
            <v>-4508.398139104268</v>
          </cell>
          <cell r="W35">
            <v>-4502.6502194667519</v>
          </cell>
          <cell r="X35">
            <v>-4496.9096280596041</v>
          </cell>
          <cell r="Y35">
            <v>-3939.1759411368494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-415.34509453851228</v>
          </cell>
          <cell r="EK35">
            <v>-2.8875559895946701E-7</v>
          </cell>
          <cell r="EL35">
            <v>0</v>
          </cell>
          <cell r="EM35">
            <v>0</v>
          </cell>
          <cell r="EN35">
            <v>148.57695860972845</v>
          </cell>
          <cell r="EO35">
            <v>1.6095085744929261E-5</v>
          </cell>
          <cell r="EP35">
            <v>-2.0120575885407279E-19</v>
          </cell>
          <cell r="EQ35">
            <v>0</v>
          </cell>
          <cell r="ER35">
            <v>90.147572889391043</v>
          </cell>
          <cell r="ES35">
            <v>-2.0234402032901389E-4</v>
          </cell>
          <cell r="ET35">
            <v>2.1386924703891768E-17</v>
          </cell>
          <cell r="EU35">
            <v>-1.1102230246251565E-16</v>
          </cell>
          <cell r="EV35">
            <v>36.472419230208395</v>
          </cell>
          <cell r="EW35">
            <v>-5.4372461022489794E-4</v>
          </cell>
          <cell r="EX35">
            <v>-1.4083370472916921E-15</v>
          </cell>
          <cell r="EY35">
            <v>-1.7992913825537471E-18</v>
          </cell>
          <cell r="EZ35">
            <v>-6.7182004657277528</v>
          </cell>
        </row>
        <row r="36">
          <cell r="F36">
            <v>0</v>
          </cell>
          <cell r="G36">
            <v>0</v>
          </cell>
          <cell r="H36">
            <v>92146.534108850406</v>
          </cell>
          <cell r="I36">
            <v>-7913040.8603855316</v>
          </cell>
          <cell r="J36">
            <v>-543320.54827631626</v>
          </cell>
          <cell r="K36">
            <v>15.609560076109538</v>
          </cell>
          <cell r="L36">
            <v>-3.4508452342292935E-4</v>
          </cell>
          <cell r="M36">
            <v>4472977.8334836988</v>
          </cell>
          <cell r="N36">
            <v>140598.88162601111</v>
          </cell>
          <cell r="O36">
            <v>-439.97544534513202</v>
          </cell>
          <cell r="P36">
            <v>2.1298665540952107E-2</v>
          </cell>
          <cell r="Q36">
            <v>1884112.5208873076</v>
          </cell>
          <cell r="R36">
            <v>43884.000608282993</v>
          </cell>
          <cell r="S36">
            <v>-649.56765284024095</v>
          </cell>
          <cell r="T36">
            <v>-0.28332574589597187</v>
          </cell>
          <cell r="U36">
            <v>484002.42115788348</v>
          </cell>
          <cell r="V36">
            <v>-44464.787658474917</v>
          </cell>
          <cell r="W36">
            <v>-1822.3458997379389</v>
          </cell>
          <cell r="X36">
            <v>-0.91430801845494658</v>
          </cell>
          <cell r="Y36">
            <v>-360607.75971784617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16124.192036840603</v>
          </cell>
          <cell r="EK36">
            <v>2666.2550430204919</v>
          </cell>
          <cell r="EL36">
            <v>2269.7126719698363</v>
          </cell>
          <cell r="EM36">
            <v>2262.2268039523383</v>
          </cell>
          <cell r="EN36">
            <v>3121.9717053293148</v>
          </cell>
          <cell r="EO36">
            <v>1782.4298727844093</v>
          </cell>
          <cell r="EP36">
            <v>1764.0853271621847</v>
          </cell>
          <cell r="EQ36">
            <v>1873.6425318739969</v>
          </cell>
          <cell r="ER36">
            <v>3006.8209909441243</v>
          </cell>
          <cell r="ES36">
            <v>1911.0103140588212</v>
          </cell>
          <cell r="ET36">
            <v>1773.0656625981578</v>
          </cell>
          <cell r="EU36">
            <v>1851.9350771186942</v>
          </cell>
          <cell r="EV36">
            <v>3825.7146301786797</v>
          </cell>
          <cell r="EW36">
            <v>2056.7393573784721</v>
          </cell>
          <cell r="EX36">
            <v>1949.67594223847</v>
          </cell>
          <cell r="EY36">
            <v>1951.7477643595105</v>
          </cell>
          <cell r="EZ36">
            <v>-33525.743951007273</v>
          </cell>
        </row>
        <row r="37">
          <cell r="F37">
            <v>0</v>
          </cell>
          <cell r="G37">
            <v>0</v>
          </cell>
          <cell r="H37">
            <v>-685956.46431086725</v>
          </cell>
          <cell r="I37">
            <v>-442980.15445273987</v>
          </cell>
          <cell r="J37">
            <v>-441326.558301143</v>
          </cell>
          <cell r="K37">
            <v>-407523.59975649533</v>
          </cell>
          <cell r="L37">
            <v>-373810.70738834125</v>
          </cell>
          <cell r="M37">
            <v>-97081.063710766728</v>
          </cell>
          <cell r="N37">
            <v>-78571.505218563572</v>
          </cell>
          <cell r="O37">
            <v>-68407.367527116192</v>
          </cell>
          <cell r="P37">
            <v>-58244.126261601232</v>
          </cell>
          <cell r="Q37">
            <v>56773.761980930642</v>
          </cell>
          <cell r="R37">
            <v>62451.226975219506</v>
          </cell>
          <cell r="S37">
            <v>65504.010290736893</v>
          </cell>
          <cell r="T37">
            <v>68586.999708451811</v>
          </cell>
          <cell r="U37">
            <v>96181.53335482371</v>
          </cell>
          <cell r="V37">
            <v>91295.724283871779</v>
          </cell>
          <cell r="W37">
            <v>88936.710131986853</v>
          </cell>
          <cell r="X37">
            <v>86691.778754360392</v>
          </cell>
          <cell r="Y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12184.569003128441</v>
          </cell>
          <cell r="EK37">
            <v>606.68102740568793</v>
          </cell>
          <cell r="EL37">
            <v>30.15583835444982</v>
          </cell>
          <cell r="EM37">
            <v>30.166624777286351</v>
          </cell>
          <cell r="EN37">
            <v>3480.4306744911928</v>
          </cell>
          <cell r="EO37">
            <v>205.17906413737077</v>
          </cell>
          <cell r="EP37">
            <v>30.945055879562354</v>
          </cell>
          <cell r="EQ37">
            <v>30.585878901677368</v>
          </cell>
          <cell r="ER37">
            <v>2552.7331300889455</v>
          </cell>
          <cell r="ES37">
            <v>160.84269922137133</v>
          </cell>
          <cell r="ET37">
            <v>31.210892737399885</v>
          </cell>
          <cell r="EU37">
            <v>30.861637710970808</v>
          </cell>
          <cell r="EV37">
            <v>2284.4378080498591</v>
          </cell>
          <cell r="EW37">
            <v>183.4899598943278</v>
          </cell>
          <cell r="EX37">
            <v>33.851865373920802</v>
          </cell>
          <cell r="EY37">
            <v>32.38125011634569</v>
          </cell>
          <cell r="EZ37">
            <v>-14426.707899519683</v>
          </cell>
        </row>
        <row r="38">
          <cell r="F38">
            <v>0</v>
          </cell>
          <cell r="G38">
            <v>0</v>
          </cell>
          <cell r="H38">
            <v>-618803.65011660499</v>
          </cell>
          <cell r="I38">
            <v>-394841.96570895298</v>
          </cell>
          <cell r="J38">
            <v>-395842.89329967968</v>
          </cell>
          <cell r="K38">
            <v>-367848.21094932168</v>
          </cell>
          <cell r="L38">
            <v>-339369.49688126275</v>
          </cell>
          <cell r="M38">
            <v>-94151.481162394412</v>
          </cell>
          <cell r="N38">
            <v>-77463.79944136538</v>
          </cell>
          <cell r="O38">
            <v>-68096.198880137395</v>
          </cell>
          <cell r="P38">
            <v>-58656.244200303547</v>
          </cell>
          <cell r="Q38">
            <v>44343.849339386004</v>
          </cell>
          <cell r="R38">
            <v>50734.672432570878</v>
          </cell>
          <cell r="S38">
            <v>54816.435389838436</v>
          </cell>
          <cell r="T38">
            <v>58940.486024388709</v>
          </cell>
          <cell r="U38">
            <v>84764.276975540648</v>
          </cell>
          <cell r="V38">
            <v>81535.814625116109</v>
          </cell>
          <cell r="W38">
            <v>80447.449194539731</v>
          </cell>
          <cell r="X38">
            <v>79381.50784722493</v>
          </cell>
          <cell r="Y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1489.6540830553529</v>
          </cell>
          <cell r="EK38">
            <v>7.1458434952483838</v>
          </cell>
          <cell r="EL38">
            <v>7.1458434890203026</v>
          </cell>
          <cell r="EM38">
            <v>7.1458434890203026</v>
          </cell>
          <cell r="EN38">
            <v>809.80314696918185</v>
          </cell>
          <cell r="EO38">
            <v>8.0351094959615423</v>
          </cell>
          <cell r="EP38">
            <v>8.0351117420006517</v>
          </cell>
          <cell r="EQ38">
            <v>8.0351117420006535</v>
          </cell>
          <cell r="ER38">
            <v>791.56755058484191</v>
          </cell>
          <cell r="ES38">
            <v>9.3818551950619646</v>
          </cell>
          <cell r="ET38">
            <v>9.3816568401361558</v>
          </cell>
          <cell r="EU38">
            <v>9.3816568401361558</v>
          </cell>
          <cell r="EV38">
            <v>770.07469807186794</v>
          </cell>
          <cell r="EW38">
            <v>10.844441164808732</v>
          </cell>
          <cell r="EX38">
            <v>10.843699700802338</v>
          </cell>
          <cell r="EY38">
            <v>10.84369970080234</v>
          </cell>
          <cell r="EZ38">
            <v>-2619.7763234956437</v>
          </cell>
        </row>
        <row r="39">
          <cell r="F39">
            <v>0</v>
          </cell>
          <cell r="G39">
            <v>0</v>
          </cell>
          <cell r="H39">
            <v>-18363.895718677642</v>
          </cell>
          <cell r="I39">
            <v>-20607.612222211752</v>
          </cell>
          <cell r="J39">
            <v>-32954.634952015163</v>
          </cell>
          <cell r="K39">
            <v>-33229.752235206368</v>
          </cell>
          <cell r="L39">
            <v>-33185.546860658418</v>
          </cell>
          <cell r="M39">
            <v>-13702.017441863833</v>
          </cell>
          <cell r="N39">
            <v>-10134.306656763327</v>
          </cell>
          <cell r="O39">
            <v>-10089.964714148518</v>
          </cell>
          <cell r="P39">
            <v>-10076.71834061656</v>
          </cell>
          <cell r="Q39">
            <v>-4174.9040446058543</v>
          </cell>
          <cell r="R39">
            <v>-3176.8689319056439</v>
          </cell>
          <cell r="S39">
            <v>-3175.4951377218117</v>
          </cell>
          <cell r="T39">
            <v>-3171.5434145739191</v>
          </cell>
          <cell r="U39">
            <v>761.16441336726689</v>
          </cell>
          <cell r="V39">
            <v>2139.3342019638476</v>
          </cell>
          <cell r="W39">
            <v>2131.1168511858996</v>
          </cell>
          <cell r="X39">
            <v>2127.52202330615</v>
          </cell>
          <cell r="Y39">
            <v>3039.2114721329931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-2095.2370487750286</v>
          </cell>
          <cell r="EK39">
            <v>-54.218156842696658</v>
          </cell>
          <cell r="EL39">
            <v>7.3977247418864211E-4</v>
          </cell>
          <cell r="EM39">
            <v>-8.3324616368396513E-9</v>
          </cell>
          <cell r="EN39">
            <v>158.83874140765107</v>
          </cell>
          <cell r="EO39">
            <v>3.0251359679342484</v>
          </cell>
          <cell r="EP39">
            <v>-2.4038476648879867E-5</v>
          </cell>
          <cell r="EQ39">
            <v>1.9095577321603943E-10</v>
          </cell>
          <cell r="ER39">
            <v>595.12247647425477</v>
          </cell>
          <cell r="ES39">
            <v>11.334302909690859</v>
          </cell>
          <cell r="ET39">
            <v>-9.0065166891074961E-5</v>
          </cell>
          <cell r="EU39">
            <v>7.1545605341283296E-10</v>
          </cell>
          <cell r="EV39">
            <v>98.99363326534143</v>
          </cell>
          <cell r="EW39">
            <v>-1.4498584836804345</v>
          </cell>
          <cell r="EX39">
            <v>-4.0840335721286029E-2</v>
          </cell>
          <cell r="EY39">
            <v>1.0190240600589661E-6</v>
          </cell>
          <cell r="EZ39">
            <v>284.35321961190476</v>
          </cell>
        </row>
        <row r="40">
          <cell r="F40">
            <v>0</v>
          </cell>
          <cell r="G40">
            <v>0</v>
          </cell>
          <cell r="H40">
            <v>-15244.492420430501</v>
          </cell>
          <cell r="I40">
            <v>-16460.632380868039</v>
          </cell>
          <cell r="J40">
            <v>-26718.766738823902</v>
          </cell>
          <cell r="K40">
            <v>-27479.476967153325</v>
          </cell>
          <cell r="L40">
            <v>-28001.787282638732</v>
          </cell>
          <cell r="M40">
            <v>-12363.583401899403</v>
          </cell>
          <cell r="N40">
            <v>-9262.1464447858307</v>
          </cell>
          <cell r="O40">
            <v>-9291.538139118391</v>
          </cell>
          <cell r="P40">
            <v>-9353.5177262912857</v>
          </cell>
          <cell r="Q40">
            <v>-5031.5107362232393</v>
          </cell>
          <cell r="R40">
            <v>-4172.0804469393906</v>
          </cell>
          <cell r="S40">
            <v>-4184.8550391811823</v>
          </cell>
          <cell r="T40">
            <v>-4198.8404765437072</v>
          </cell>
          <cell r="U40">
            <v>-765.04273476066521</v>
          </cell>
          <cell r="V40">
            <v>804.9256581743939</v>
          </cell>
          <cell r="W40">
            <v>885.60419656763065</v>
          </cell>
          <cell r="X40">
            <v>959.30456626054092</v>
          </cell>
          <cell r="Y40">
            <v>1944.1526902185497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-2397.8911698137972</v>
          </cell>
          <cell r="EK40">
            <v>-164.64259038676252</v>
          </cell>
          <cell r="EL40">
            <v>4.730169720033193E-3</v>
          </cell>
          <cell r="EM40">
            <v>-1.04571067703918E-7</v>
          </cell>
          <cell r="EN40">
            <v>1355.4478283283934</v>
          </cell>
          <cell r="EO40">
            <v>42.605721704851852</v>
          </cell>
          <cell r="EP40">
            <v>-0.1333258925288279</v>
          </cell>
          <cell r="EQ40">
            <v>6.4541410730157895E-6</v>
          </cell>
          <cell r="ER40">
            <v>570.94318814766905</v>
          </cell>
          <cell r="ES40">
            <v>13.298182002510002</v>
          </cell>
          <cell r="ET40">
            <v>-0.19683868267886093</v>
          </cell>
          <cell r="EU40">
            <v>-8.5856286635143002E-5</v>
          </cell>
          <cell r="EV40">
            <v>146.66740035087383</v>
          </cell>
          <cell r="EW40">
            <v>-13.474178078325734</v>
          </cell>
          <cell r="EX40">
            <v>-0.55222603022361805</v>
          </cell>
          <cell r="EY40">
            <v>-2.770630358954384E-4</v>
          </cell>
          <cell r="EZ40">
            <v>-109.27507870237761</v>
          </cell>
        </row>
        <row r="41">
          <cell r="F41">
            <v>0</v>
          </cell>
          <cell r="G41">
            <v>0</v>
          </cell>
          <cell r="H41">
            <v>-67152.814194262362</v>
          </cell>
          <cell r="I41">
            <v>-48138.188743786923</v>
          </cell>
          <cell r="J41">
            <v>-45483.665001463363</v>
          </cell>
          <cell r="K41">
            <v>-39675.388807173615</v>
          </cell>
          <cell r="L41">
            <v>-34441.210507078562</v>
          </cell>
          <cell r="M41">
            <v>-2929.5825483722874</v>
          </cell>
          <cell r="N41">
            <v>-1107.7057771982536</v>
          </cell>
          <cell r="O41">
            <v>-311.16864697880538</v>
          </cell>
          <cell r="P41">
            <v>412.11793870234408</v>
          </cell>
          <cell r="Q41">
            <v>12429.912641544606</v>
          </cell>
          <cell r="R41">
            <v>11716.554542648659</v>
          </cell>
          <cell r="S41">
            <v>10687.574900898493</v>
          </cell>
          <cell r="T41">
            <v>9646.5136840630585</v>
          </cell>
          <cell r="U41">
            <v>11417.25637928303</v>
          </cell>
          <cell r="V41">
            <v>9759.9096587556742</v>
          </cell>
          <cell r="W41">
            <v>8489.2609374470885</v>
          </cell>
          <cell r="X41">
            <v>7310.2709071354366</v>
          </cell>
          <cell r="Y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-415.34559153352603</v>
          </cell>
          <cell r="EK41">
            <v>4.9670625816152229E-4</v>
          </cell>
          <cell r="EL41">
            <v>-1.2415068972870814E-17</v>
          </cell>
          <cell r="EM41">
            <v>0</v>
          </cell>
          <cell r="EN41">
            <v>148.59080606031443</v>
          </cell>
          <cell r="EO41">
            <v>-1.3831355500203583E-2</v>
          </cell>
          <cell r="EP41">
            <v>1.3362745857735216E-15</v>
          </cell>
          <cell r="EQ41">
            <v>0</v>
          </cell>
          <cell r="ER41">
            <v>90.166550499260779</v>
          </cell>
          <cell r="ES41">
            <v>-1.9179953890010468E-2</v>
          </cell>
          <cell r="ET41">
            <v>-5.395719359694734E-14</v>
          </cell>
          <cell r="EU41">
            <v>-1.1102230246251565E-16</v>
          </cell>
          <cell r="EV41">
            <v>36.530946036689862</v>
          </cell>
          <cell r="EW41">
            <v>-5.9070531092581514E-2</v>
          </cell>
          <cell r="EX41">
            <v>8.8927893847120507E-13</v>
          </cell>
          <cell r="EY41">
            <v>-1.7992913890414675E-18</v>
          </cell>
          <cell r="EZ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16124.192036840604</v>
          </cell>
          <cell r="EK42">
            <v>18790.4470798611</v>
          </cell>
          <cell r="EL42">
            <v>21060.159751830935</v>
          </cell>
          <cell r="EM42">
            <v>23322.386555783272</v>
          </cell>
          <cell r="EN42">
            <v>25770.367033972641</v>
          </cell>
          <cell r="EO42">
            <v>27441.347445958792</v>
          </cell>
          <cell r="EP42">
            <v>29110.55878343264</v>
          </cell>
          <cell r="EQ42">
            <v>30889.640234901432</v>
          </cell>
          <cell r="ER42">
            <v>32898.481276980769</v>
          </cell>
          <cell r="ES42">
            <v>34591.541501042702</v>
          </cell>
          <cell r="ET42">
            <v>36168.757855213502</v>
          </cell>
          <cell r="EU42">
            <v>37820.666872447226</v>
          </cell>
          <cell r="EV42">
            <v>37184.630665934434</v>
          </cell>
          <cell r="EW42">
            <v>38376.368136408644</v>
          </cell>
          <cell r="EX42">
            <v>39570.301417644972</v>
          </cell>
          <cell r="EY42">
            <v>40759.050698744424</v>
          </cell>
          <cell r="EZ42">
            <v>3153.8680783134187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-8242604.3001781274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12184.569003128441</v>
          </cell>
          <cell r="EK43">
            <v>12791.250030534129</v>
          </cell>
          <cell r="EL43">
            <v>12821.405868888578</v>
          </cell>
          <cell r="EM43">
            <v>12851.572493665864</v>
          </cell>
          <cell r="EN43">
            <v>16022.515115477596</v>
          </cell>
          <cell r="EO43">
            <v>16212.28448151886</v>
          </cell>
          <cell r="EP43">
            <v>16242.46357910422</v>
          </cell>
          <cell r="EQ43">
            <v>16272.283225736555</v>
          </cell>
          <cell r="ER43">
            <v>18612.33081286151</v>
          </cell>
          <cell r="ES43">
            <v>18761.773817374255</v>
          </cell>
          <cell r="ET43">
            <v>18791.891116141098</v>
          </cell>
          <cell r="EU43">
            <v>18821.668172955237</v>
          </cell>
          <cell r="EV43">
            <v>19963.985516853547</v>
          </cell>
          <cell r="EW43">
            <v>20089.42601789027</v>
          </cell>
          <cell r="EX43">
            <v>20119.591162839384</v>
          </cell>
          <cell r="EY43">
            <v>20148.297304974618</v>
          </cell>
          <cell r="EZ43">
            <v>3013.9157618373429</v>
          </cell>
        </row>
        <row r="44">
          <cell r="F44">
            <v>0</v>
          </cell>
          <cell r="G44">
            <v>0</v>
          </cell>
          <cell r="H44">
            <v>-11411243.389609786</v>
          </cell>
          <cell r="I44">
            <v>0</v>
          </cell>
          <cell r="J44">
            <v>-7752827.6775947511</v>
          </cell>
          <cell r="K44">
            <v>-7264339.4256630754</v>
          </cell>
          <cell r="L44">
            <v>-6777136.9834899148</v>
          </cell>
          <cell r="M44">
            <v>-6107535.699713924</v>
          </cell>
          <cell r="N44">
            <v>-5658251.2355720373</v>
          </cell>
          <cell r="O44">
            <v>-5210151.1982468795</v>
          </cell>
          <cell r="P44">
            <v>-4763233.2317244727</v>
          </cell>
          <cell r="Q44">
            <v>-4318436.9485065974</v>
          </cell>
          <cell r="R44">
            <v>-3903981.4158103094</v>
          </cell>
          <cell r="S44">
            <v>-3490620.8198711132</v>
          </cell>
          <cell r="T44">
            <v>-3078352.9811227797</v>
          </cell>
          <cell r="U44">
            <v>-2484537.2137562102</v>
          </cell>
          <cell r="V44">
            <v>-2154913.8236926883</v>
          </cell>
          <cell r="W44">
            <v>-1826162.9358901882</v>
          </cell>
          <cell r="X44">
            <v>-1498282.8124318968</v>
          </cell>
          <cell r="Y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1489.6540830553527</v>
          </cell>
          <cell r="EK44">
            <v>1496.7999265506012</v>
          </cell>
          <cell r="EL44">
            <v>1503.9457700396215</v>
          </cell>
          <cell r="EM44">
            <v>1511.0916135286418</v>
          </cell>
          <cell r="EN44">
            <v>1853.5902746433596</v>
          </cell>
          <cell r="EO44">
            <v>1859.3837330348617</v>
          </cell>
          <cell r="EP44">
            <v>1865.1771936743567</v>
          </cell>
          <cell r="EQ44">
            <v>1870.9706543138516</v>
          </cell>
          <cell r="ER44">
            <v>1974.5667233004374</v>
          </cell>
          <cell r="ES44">
            <v>1979.3463804364503</v>
          </cell>
          <cell r="ET44">
            <v>1984.1258385147689</v>
          </cell>
          <cell r="EU44">
            <v>1988.9052965930875</v>
          </cell>
          <cell r="EV44">
            <v>2024.2097805644578</v>
          </cell>
          <cell r="EW44">
            <v>2028.5685754825015</v>
          </cell>
          <cell r="EX44">
            <v>2032.9266905072548</v>
          </cell>
          <cell r="EY44">
            <v>2037.284805532008</v>
          </cell>
          <cell r="EZ44">
            <v>-1357.6977248565597</v>
          </cell>
        </row>
        <row r="45">
          <cell r="F45">
            <v>0</v>
          </cell>
          <cell r="G45">
            <v>0</v>
          </cell>
          <cell r="H45">
            <v>-10046726.587747043</v>
          </cell>
          <cell r="I45">
            <v>-7228087.5730727967</v>
          </cell>
          <cell r="J45">
            <v>-6810421.4772075005</v>
          </cell>
          <cell r="K45">
            <v>-6393853.7111163717</v>
          </cell>
          <cell r="L45">
            <v>-5978382.09188719</v>
          </cell>
          <cell r="M45">
            <v>-5373175.3881346341</v>
          </cell>
          <cell r="N45">
            <v>-4984455.4340350507</v>
          </cell>
          <cell r="O45">
            <v>-4596760.0860981634</v>
          </cell>
          <cell r="P45">
            <v>-4210087.3063244028</v>
          </cell>
          <cell r="Q45">
            <v>-3823497.0022090287</v>
          </cell>
          <cell r="R45">
            <v>-3466129.6269687423</v>
          </cell>
          <cell r="S45">
            <v>-3109706.1923761982</v>
          </cell>
          <cell r="T45">
            <v>-2754224.8195543373</v>
          </cell>
          <cell r="U45">
            <v>-2207425.7390835308</v>
          </cell>
          <cell r="V45">
            <v>-1919762.519877055</v>
          </cell>
          <cell r="W45">
            <v>-1632860.6664488502</v>
          </cell>
          <cell r="X45">
            <v>-1346718.6622985746</v>
          </cell>
          <cell r="Y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-2095.2370487750286</v>
          </cell>
          <cell r="EK45">
            <v>-2149.4552056177254</v>
          </cell>
          <cell r="EL45">
            <v>-2149.454465845251</v>
          </cell>
          <cell r="EM45">
            <v>-2149.4544658535833</v>
          </cell>
          <cell r="EN45">
            <v>-1990.6157244459323</v>
          </cell>
          <cell r="EO45">
            <v>-1987.5905884779979</v>
          </cell>
          <cell r="EP45">
            <v>-1987.5906125164745</v>
          </cell>
          <cell r="EQ45">
            <v>-1987.5906125162835</v>
          </cell>
          <cell r="ER45">
            <v>-1392.4681360420288</v>
          </cell>
          <cell r="ES45">
            <v>-1381.1338331323379</v>
          </cell>
          <cell r="ET45">
            <v>-1381.1339231975048</v>
          </cell>
          <cell r="EU45">
            <v>-1381.1339231967893</v>
          </cell>
          <cell r="EV45">
            <v>-599.93110685029865</v>
          </cell>
          <cell r="EW45">
            <v>-583.727533465997</v>
          </cell>
          <cell r="EX45">
            <v>-583.76861467163587</v>
          </cell>
          <cell r="EY45">
            <v>-583.7686136498985</v>
          </cell>
          <cell r="EZ45">
            <v>-351.13328824032482</v>
          </cell>
        </row>
        <row r="46">
          <cell r="F46">
            <v>0</v>
          </cell>
          <cell r="G46">
            <v>0</v>
          </cell>
          <cell r="H46">
            <v>-247509.39634192726</v>
          </cell>
          <cell r="I46">
            <v>-317083.58361859177</v>
          </cell>
          <cell r="J46">
            <v>-479025.22698349005</v>
          </cell>
          <cell r="K46">
            <v>-478388.05081029108</v>
          </cell>
          <cell r="L46">
            <v>-477751.72217799968</v>
          </cell>
          <cell r="M46">
            <v>-453864.71063655248</v>
          </cell>
          <cell r="N46">
            <v>-441356.32179559366</v>
          </cell>
          <cell r="O46">
            <v>-440769.25097698602</v>
          </cell>
          <cell r="P46">
            <v>-440182.96105156833</v>
          </cell>
          <cell r="Q46">
            <v>-419658.24633586872</v>
          </cell>
          <cell r="R46">
            <v>-408892.76058528508</v>
          </cell>
          <cell r="S46">
            <v>-408348.87122463656</v>
          </cell>
          <cell r="T46">
            <v>-407805.70531929261</v>
          </cell>
          <cell r="U46">
            <v>-354136.56073898473</v>
          </cell>
          <cell r="V46">
            <v>-326463.4131571675</v>
          </cell>
          <cell r="W46">
            <v>-326029.16732507449</v>
          </cell>
          <cell r="X46">
            <v>-325595.49910577084</v>
          </cell>
          <cell r="Y46">
            <v>-247474.67450722674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-2397.8911698137972</v>
          </cell>
          <cell r="EK46">
            <v>-2562.5337602005593</v>
          </cell>
          <cell r="EL46">
            <v>-2562.5290300308393</v>
          </cell>
          <cell r="EM46">
            <v>-2562.5290301354103</v>
          </cell>
          <cell r="EN46">
            <v>-1109.2472420786139</v>
          </cell>
          <cell r="EO46">
            <v>-1059.9241026859829</v>
          </cell>
          <cell r="EP46">
            <v>-1060.0576215694362</v>
          </cell>
          <cell r="EQ46">
            <v>-1060.0576151110286</v>
          </cell>
          <cell r="ER46">
            <v>-467.68418092511672</v>
          </cell>
          <cell r="ES46">
            <v>-450.85574947578755</v>
          </cell>
          <cell r="ET46">
            <v>-451.04729982748233</v>
          </cell>
          <cell r="EU46">
            <v>-451.04738594375209</v>
          </cell>
          <cell r="EV46">
            <v>-37.981714688675432</v>
          </cell>
          <cell r="EW46">
            <v>-30.492985882537546</v>
          </cell>
          <cell r="EX46">
            <v>-31.033571486521527</v>
          </cell>
          <cell r="EY46">
            <v>-31.03384523862842</v>
          </cell>
          <cell r="EZ46">
            <v>242.80132733088627</v>
          </cell>
        </row>
        <row r="47">
          <cell r="F47">
            <v>0</v>
          </cell>
          <cell r="G47">
            <v>0</v>
          </cell>
          <cell r="H47">
            <v>-211078.63015816812</v>
          </cell>
          <cell r="I47">
            <v>-270267.99142491526</v>
          </cell>
          <cell r="J47">
            <v>-408232.7545048045</v>
          </cell>
          <cell r="K47">
            <v>-407689.74305230158</v>
          </cell>
          <cell r="L47">
            <v>-407147.45388735202</v>
          </cell>
          <cell r="M47">
            <v>-390503.08319691336</v>
          </cell>
          <cell r="N47">
            <v>-381742.17470915377</v>
          </cell>
          <cell r="O47">
            <v>-381234.39974381094</v>
          </cell>
          <cell r="P47">
            <v>-380727.30019615183</v>
          </cell>
          <cell r="Q47">
            <v>-362162.15799667349</v>
          </cell>
          <cell r="R47">
            <v>-352437.90230909776</v>
          </cell>
          <cell r="S47">
            <v>-351969.1064686412</v>
          </cell>
          <cell r="T47">
            <v>-351500.93419772293</v>
          </cell>
          <cell r="U47">
            <v>-307528.44664201234</v>
          </cell>
          <cell r="V47">
            <v>-284853.38244057156</v>
          </cell>
          <cell r="W47">
            <v>-284474.48425750667</v>
          </cell>
          <cell r="X47">
            <v>-284096.09006646706</v>
          </cell>
          <cell r="Y47">
            <v>-214370.18690667432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-415.34559153352603</v>
          </cell>
          <cell r="EK47">
            <v>-415.34509482726787</v>
          </cell>
          <cell r="EL47">
            <v>-415.34509482726787</v>
          </cell>
          <cell r="EM47">
            <v>-415.34509482726787</v>
          </cell>
          <cell r="EN47">
            <v>-249.80818863238559</v>
          </cell>
          <cell r="EO47">
            <v>-249.82204025350109</v>
          </cell>
          <cell r="EP47">
            <v>-249.82204025350109</v>
          </cell>
          <cell r="EQ47">
            <v>-249.82204025350109</v>
          </cell>
          <cell r="ER47">
            <v>-152.4269357124283</v>
          </cell>
          <cell r="ES47">
            <v>-152.44556724161419</v>
          </cell>
          <cell r="ET47">
            <v>-152.44556724161424</v>
          </cell>
          <cell r="EU47">
            <v>-152.44556724161424</v>
          </cell>
          <cell r="EV47">
            <v>-66.656819595217542</v>
          </cell>
          <cell r="EW47">
            <v>-66.714733973314694</v>
          </cell>
          <cell r="EX47">
            <v>-66.714733973313798</v>
          </cell>
          <cell r="EY47">
            <v>-66.714733973313798</v>
          </cell>
          <cell r="EZ47">
            <v>4.8435774259762185</v>
          </cell>
        </row>
        <row r="48">
          <cell r="F48">
            <v>0</v>
          </cell>
          <cell r="G48">
            <v>0</v>
          </cell>
          <cell r="H48">
            <v>-1364516.8018627465</v>
          </cell>
          <cell r="I48">
            <v>-1014516.72710533</v>
          </cell>
          <cell r="J48">
            <v>-942406.20038725191</v>
          </cell>
          <cell r="K48">
            <v>-870485.71454670525</v>
          </cell>
          <cell r="L48">
            <v>-798754.89160272549</v>
          </cell>
          <cell r="M48">
            <v>-734360.31157929183</v>
          </cell>
          <cell r="N48">
            <v>-673795.80153698649</v>
          </cell>
          <cell r="O48">
            <v>-613391.11214871611</v>
          </cell>
          <cell r="P48">
            <v>-553145.92540006933</v>
          </cell>
          <cell r="Q48">
            <v>-494939.9462975678</v>
          </cell>
          <cell r="R48">
            <v>-437851.78884156648</v>
          </cell>
          <cell r="S48">
            <v>-380914.62749491388</v>
          </cell>
          <cell r="T48">
            <v>-324128.16156844073</v>
          </cell>
          <cell r="U48">
            <v>-277111.47467267688</v>
          </cell>
          <cell r="V48">
            <v>-235151.30381563111</v>
          </cell>
          <cell r="W48">
            <v>-193302.269441337</v>
          </cell>
          <cell r="X48">
            <v>-151564.15013332127</v>
          </cell>
          <cell r="Y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16088.233043632659</v>
          </cell>
          <cell r="EK48">
            <v>18696.363080805419</v>
          </cell>
          <cell r="EL48">
            <v>20900.132414895579</v>
          </cell>
          <cell r="EM48">
            <v>23088.857547045962</v>
          </cell>
          <cell r="EN48">
            <v>25464.296006196997</v>
          </cell>
          <cell r="EO48">
            <v>27048.497700847507</v>
          </cell>
          <cell r="EP48">
            <v>28625.407855453883</v>
          </cell>
          <cell r="EQ48">
            <v>30306.635258140428</v>
          </cell>
          <cell r="ER48">
            <v>32235.264002998403</v>
          </cell>
          <cell r="ES48">
            <v>33821.898726212763</v>
          </cell>
          <cell r="ET48">
            <v>35286.858995852992</v>
          </cell>
          <cell r="EU48">
            <v>36821.5478647052</v>
          </cell>
          <cell r="EV48">
            <v>36236.595514913402</v>
          </cell>
          <cell r="EW48">
            <v>37335.243540185213</v>
          </cell>
          <cell r="EX48">
            <v>38428.112532857762</v>
          </cell>
          <cell r="EY48">
            <v>39512.263357146774</v>
          </cell>
          <cell r="EZ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-207110.09153363225</v>
          </cell>
          <cell r="N49">
            <v>0</v>
          </cell>
          <cell r="O49">
            <v>0</v>
          </cell>
          <cell r="P49">
            <v>0</v>
          </cell>
          <cell r="Q49">
            <v>-19009.027630688695</v>
          </cell>
          <cell r="R49">
            <v>0</v>
          </cell>
          <cell r="S49">
            <v>0</v>
          </cell>
          <cell r="T49">
            <v>0</v>
          </cell>
          <cell r="U49">
            <v>-235959.66463017632</v>
          </cell>
          <cell r="V49">
            <v>0</v>
          </cell>
          <cell r="W49">
            <v>0</v>
          </cell>
          <cell r="X49">
            <v>0</v>
          </cell>
          <cell r="Y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12176.034383470824</v>
          </cell>
          <cell r="EK49">
            <v>12767.13035728915</v>
          </cell>
          <cell r="EL49">
            <v>12781.444997943912</v>
          </cell>
          <cell r="EM49">
            <v>12795.752668756115</v>
          </cell>
          <cell r="EN49">
            <v>15950.163823078617</v>
          </cell>
          <cell r="EO49">
            <v>16120.091785597886</v>
          </cell>
          <cell r="EP49">
            <v>16130.27629841618</v>
          </cell>
          <cell r="EQ49">
            <v>16140.089032150945</v>
          </cell>
          <cell r="ER49">
            <v>18460.17281865003</v>
          </cell>
          <cell r="ES49">
            <v>18586.706303023977</v>
          </cell>
          <cell r="ET49">
            <v>18593.77406999885</v>
          </cell>
          <cell r="EU49">
            <v>18600.493067735839</v>
          </cell>
          <cell r="EV49">
            <v>19735.076941853546</v>
          </cell>
          <cell r="EW49">
            <v>19836.772835019099</v>
          </cell>
          <cell r="EX49">
            <v>19842.376325492849</v>
          </cell>
          <cell r="EY49">
            <v>19846.515003075001</v>
          </cell>
          <cell r="EZ49">
            <v>2738.3251962737922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-319773.15500890167</v>
          </cell>
          <cell r="J50">
            <v>0</v>
          </cell>
          <cell r="K50">
            <v>0</v>
          </cell>
          <cell r="L50">
            <v>0</v>
          </cell>
          <cell r="M50">
            <v>-20450.383832681015</v>
          </cell>
          <cell r="N50">
            <v>-30894.942525691564</v>
          </cell>
          <cell r="O50">
            <v>-30853.847568389017</v>
          </cell>
          <cell r="P50">
            <v>-30812.807273609782</v>
          </cell>
          <cell r="Q50">
            <v>-26669.498962168534</v>
          </cell>
          <cell r="R50">
            <v>-24533.565635117106</v>
          </cell>
          <cell r="S50">
            <v>-24500.932273478196</v>
          </cell>
          <cell r="T50">
            <v>-24468.342319157557</v>
          </cell>
          <cell r="U50">
            <v>-21248.193644339084</v>
          </cell>
          <cell r="V50">
            <v>-19587.804789430051</v>
          </cell>
          <cell r="W50">
            <v>-19561.75003950447</v>
          </cell>
          <cell r="X50">
            <v>-19535.729946346248</v>
          </cell>
          <cell r="Y50">
            <v>-14848.480470433604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1487.6297473271713</v>
          </cell>
          <cell r="EK50">
            <v>1491.7003823071061</v>
          </cell>
          <cell r="EL50">
            <v>1495.7626159761835</v>
          </cell>
          <cell r="EM50">
            <v>1499.8164656799249</v>
          </cell>
          <cell r="EN50">
            <v>1842.600364816099</v>
          </cell>
          <cell r="EO50">
            <v>1844.6053646214518</v>
          </cell>
          <cell r="EP50">
            <v>1846.6062285914493</v>
          </cell>
          <cell r="EQ50">
            <v>1848.6029630170797</v>
          </cell>
          <cell r="ER50">
            <v>1957.4418290600336</v>
          </cell>
          <cell r="ES50">
            <v>1958.2330988565925</v>
          </cell>
          <cell r="ET50">
            <v>1959.0225367888081</v>
          </cell>
          <cell r="EU50">
            <v>1959.8103454153775</v>
          </cell>
          <cell r="EV50">
            <v>2003.05997731764</v>
          </cell>
          <cell r="EW50">
            <v>2003.3736536292574</v>
          </cell>
          <cell r="EX50">
            <v>2003.686003091872</v>
          </cell>
          <cell r="EY50">
            <v>2003.997707902485</v>
          </cell>
          <cell r="EZ50">
            <v>-1380.5945520064449</v>
          </cell>
        </row>
        <row r="51">
          <cell r="F51">
            <v>0</v>
          </cell>
          <cell r="G51">
            <v>0</v>
          </cell>
          <cell r="H51">
            <v>-11137.922835386731</v>
          </cell>
          <cell r="I51">
            <v>-14268.76126283663</v>
          </cell>
          <cell r="J51">
            <v>-21556.135214257054</v>
          </cell>
          <cell r="K51">
            <v>-21527.462286463095</v>
          </cell>
          <cell r="L51">
            <v>-21498.827498009981</v>
          </cell>
          <cell r="M51">
            <v>-18963.170276310506</v>
          </cell>
          <cell r="N51">
            <v>-17654.252871823752</v>
          </cell>
          <cell r="O51">
            <v>-17630.770039079442</v>
          </cell>
          <cell r="P51">
            <v>-17607.318442062733</v>
          </cell>
          <cell r="Q51">
            <v>-15433.040712763612</v>
          </cell>
          <cell r="R51">
            <v>-14311.246620484977</v>
          </cell>
          <cell r="S51">
            <v>-14292.210492862283</v>
          </cell>
          <cell r="T51">
            <v>-14273.199686175243</v>
          </cell>
          <cell r="U51">
            <v>-11314.309956370109</v>
          </cell>
          <cell r="V51">
            <v>-9793.9023947150254</v>
          </cell>
          <cell r="W51">
            <v>-9780.8750197522349</v>
          </cell>
          <cell r="X51">
            <v>-9767.8649731731239</v>
          </cell>
          <cell r="Y51">
            <v>-6737.9465257860475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-2094.1563873047407</v>
          </cell>
          <cell r="EK51">
            <v>-2145.6690791000765</v>
          </cell>
          <cell r="EL51">
            <v>-2142.9327488590761</v>
          </cell>
          <cell r="EM51">
            <v>-2140.2006464999986</v>
          </cell>
          <cell r="EN51">
            <v>-1978.7559174339433</v>
          </cell>
          <cell r="EO51">
            <v>-1973.2105660974526</v>
          </cell>
          <cell r="EP51">
            <v>-1970.6948726895034</v>
          </cell>
          <cell r="EQ51">
            <v>-1968.1823626117223</v>
          </cell>
          <cell r="ER51">
            <v>-1371.0100436678517</v>
          </cell>
          <cell r="ES51">
            <v>-1357.93742716307</v>
          </cell>
          <cell r="ET51">
            <v>-1356.2062336750687</v>
          </cell>
          <cell r="EU51">
            <v>-1354.4771573588775</v>
          </cell>
          <cell r="EV51">
            <v>-582.35490275865936</v>
          </cell>
          <cell r="EW51">
            <v>-565.68813463105346</v>
          </cell>
          <cell r="EX51">
            <v>-565.00796735259337</v>
          </cell>
          <cell r="EY51">
            <v>-564.28761726516814</v>
          </cell>
          <cell r="EZ51">
            <v>-330.34059698798796</v>
          </cell>
        </row>
        <row r="52">
          <cell r="F52">
            <v>0</v>
          </cell>
          <cell r="G52">
            <v>0</v>
          </cell>
          <cell r="H52">
            <v>1320.0530868609051</v>
          </cell>
          <cell r="I52">
            <v>-706087.50560699438</v>
          </cell>
          <cell r="J52">
            <v>0.84440063887458794</v>
          </cell>
          <cell r="K52">
            <v>-2.1105617253880381E-14</v>
          </cell>
          <cell r="L52">
            <v>0</v>
          </cell>
          <cell r="M52">
            <v>252604.37030253452</v>
          </cell>
          <cell r="N52">
            <v>-23.51330435034609</v>
          </cell>
          <cell r="O52">
            <v>2.2716667958149866E-12</v>
          </cell>
          <cell r="P52">
            <v>0</v>
          </cell>
          <cell r="Q52">
            <v>153283.13584874332</v>
          </cell>
          <cell r="R52">
            <v>-32.605921613017799</v>
          </cell>
          <cell r="S52">
            <v>-9.1727229114810484E-11</v>
          </cell>
          <cell r="T52">
            <v>-1.8873791418627661E-13</v>
          </cell>
          <cell r="U52">
            <v>62102.608262372763</v>
          </cell>
          <cell r="V52">
            <v>-100.41990285738858</v>
          </cell>
          <cell r="W52">
            <v>1.5117741954010484E-9</v>
          </cell>
          <cell r="X52">
            <v>-3.0587953613704943E-15</v>
          </cell>
          <cell r="Y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-2396.8445936548524</v>
          </cell>
          <cell r="EK52">
            <v>-2558.1855931949322</v>
          </cell>
          <cell r="EL52">
            <v>-2554.7780920681221</v>
          </cell>
          <cell r="EM52">
            <v>-2551.3798500000021</v>
          </cell>
          <cell r="EN52">
            <v>-1096.3468414721915</v>
          </cell>
          <cell r="EO52">
            <v>-1045.6448537848128</v>
          </cell>
          <cell r="EP52">
            <v>-1044.3874048440321</v>
          </cell>
          <cell r="EQ52">
            <v>-1042.9982048109018</v>
          </cell>
          <cell r="ER52">
            <v>-450.21658801706872</v>
          </cell>
          <cell r="ES52">
            <v>-432.85180192864152</v>
          </cell>
          <cell r="ET52">
            <v>-432.46748060205601</v>
          </cell>
          <cell r="EU52">
            <v>-431.89231933716303</v>
          </cell>
          <cell r="EV52">
            <v>-23.211862002055163</v>
          </cell>
          <cell r="EW52">
            <v>-16.04494506731589</v>
          </cell>
          <cell r="EX52">
            <v>-16.563866970237314</v>
          </cell>
          <cell r="EY52">
            <v>-16.542108071801206</v>
          </cell>
          <cell r="EZ52">
            <v>247.84790970301245</v>
          </cell>
        </row>
        <row r="53">
          <cell r="F53">
            <v>0</v>
          </cell>
          <cell r="G53">
            <v>0</v>
          </cell>
          <cell r="H53">
            <v>-1011943.5840886711</v>
          </cell>
          <cell r="I53">
            <v>-679399.37747488753</v>
          </cell>
          <cell r="J53">
            <v>-640454.56447704672</v>
          </cell>
          <cell r="K53">
            <v>-600854.77204563445</v>
          </cell>
          <cell r="L53">
            <v>-560584.71975980187</v>
          </cell>
          <cell r="M53">
            <v>-285789.67971880094</v>
          </cell>
          <cell r="N53">
            <v>-265591.32427981991</v>
          </cell>
          <cell r="O53">
            <v>-244974.47905046373</v>
          </cell>
          <cell r="P53">
            <v>-223953.16487512327</v>
          </cell>
          <cell r="Q53">
            <v>-56051.69521525559</v>
          </cell>
          <cell r="R53">
            <v>-42886.351995869853</v>
          </cell>
          <cell r="S53">
            <v>-29402.03596896306</v>
          </cell>
          <cell r="T53">
            <v>-15624.152430737271</v>
          </cell>
          <cell r="U53">
            <v>82313.864048644391</v>
          </cell>
          <cell r="V53">
            <v>89528.965208814276</v>
          </cell>
          <cell r="W53">
            <v>97066.888891546798</v>
          </cell>
          <cell r="X53">
            <v>104833.43461527357</v>
          </cell>
          <cell r="Y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-415.07615393296311</v>
          </cell>
          <cell r="EK53">
            <v>-414.35257571541649</v>
          </cell>
          <cell r="EL53">
            <v>-413.63075413421802</v>
          </cell>
          <cell r="EM53">
            <v>-412.91019000000006</v>
          </cell>
          <cell r="EN53">
            <v>-246.95442880072849</v>
          </cell>
          <cell r="EO53">
            <v>-246.53805801525266</v>
          </cell>
          <cell r="EP53">
            <v>-246.10857717866094</v>
          </cell>
          <cell r="EQ53">
            <v>-245.67984451778906</v>
          </cell>
          <cell r="ER53">
            <v>-148.10699189318694</v>
          </cell>
          <cell r="ES53">
            <v>-147.86759616927205</v>
          </cell>
          <cell r="ET53">
            <v>-147.61000389561332</v>
          </cell>
          <cell r="EU53">
            <v>-147.35286035975216</v>
          </cell>
          <cell r="EV53">
            <v>-62.493023384824518</v>
          </cell>
          <cell r="EW53">
            <v>-62.442014856591896</v>
          </cell>
          <cell r="EX53">
            <v>-62.333237944032497</v>
          </cell>
          <cell r="EY53">
            <v>-62.224650525947098</v>
          </cell>
          <cell r="EZ53">
            <v>7.0239227988277237</v>
          </cell>
        </row>
        <row r="54">
          <cell r="F54">
            <v>0</v>
          </cell>
          <cell r="G54">
            <v>0</v>
          </cell>
          <cell r="H54">
            <v>-7845.5564248484698</v>
          </cell>
          <cell r="I54">
            <v>-11139.877362221856</v>
          </cell>
          <cell r="J54">
            <v>-15126.55534532142</v>
          </cell>
          <cell r="K54">
            <v>-14310.300500503065</v>
          </cell>
          <cell r="L54">
            <v>-13478.619206005729</v>
          </cell>
          <cell r="M54">
            <v>-7003.8305488274045</v>
          </cell>
          <cell r="N54">
            <v>-6518.2157964995822</v>
          </cell>
          <cell r="O54">
            <v>-6042.041720874432</v>
          </cell>
          <cell r="P54">
            <v>-5555.747287399071</v>
          </cell>
          <cell r="Q54">
            <v>-1517.7926130479259</v>
          </cell>
          <cell r="R54">
            <v>-1233.0571335918082</v>
          </cell>
          <cell r="S54">
            <v>-898.55789730897322</v>
          </cell>
          <cell r="T54">
            <v>-556.3778000609185</v>
          </cell>
          <cell r="U54">
            <v>1750.8705933570025</v>
          </cell>
          <cell r="V54">
            <v>1796.8901953213458</v>
          </cell>
          <cell r="W54">
            <v>2041.9803717361474</v>
          </cell>
          <cell r="X54">
            <v>2293.7270959640473</v>
          </cell>
          <cell r="Y54">
            <v>2863.2716799240029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5249.550660623594</v>
          </cell>
          <cell r="EK54">
            <v>5249.550660623594</v>
          </cell>
          <cell r="EL54">
            <v>5249.550660623594</v>
          </cell>
          <cell r="EM54">
            <v>5249.550660623594</v>
          </cell>
          <cell r="EN54">
            <v>4388.9000245960515</v>
          </cell>
          <cell r="EO54">
            <v>4465.8614497502867</v>
          </cell>
          <cell r="EP54">
            <v>4531.3766833295686</v>
          </cell>
          <cell r="EQ54">
            <v>4596.6758374033852</v>
          </cell>
          <cell r="ER54">
            <v>4166.419431222721</v>
          </cell>
          <cell r="ES54">
            <v>4296.1465905319701</v>
          </cell>
          <cell r="ET54">
            <v>4413.7023321033739</v>
          </cell>
          <cell r="EU54">
            <v>4534.2006671838426</v>
          </cell>
          <cell r="EV54">
            <v>6534.3814877892519</v>
          </cell>
          <cell r="EW54">
            <v>7065.800778018348</v>
          </cell>
          <cell r="EX54">
            <v>7529.6503959927923</v>
          </cell>
          <cell r="EY54">
            <v>7997.8027817923612</v>
          </cell>
          <cell r="EZ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-891.79110196706438</v>
          </cell>
          <cell r="R55">
            <v>1.0664810951389288E-3</v>
          </cell>
          <cell r="S55">
            <v>-2.6656471781571532E-17</v>
          </cell>
          <cell r="T55">
            <v>0</v>
          </cell>
          <cell r="U55">
            <v>-27550.161185013065</v>
          </cell>
          <cell r="V55">
            <v>3.6310172228779455E-3</v>
          </cell>
          <cell r="W55">
            <v>2.0360869229423278E-15</v>
          </cell>
          <cell r="X55">
            <v>0</v>
          </cell>
          <cell r="Y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11578.511014003305</v>
          </cell>
          <cell r="EK55">
            <v>11578.511014003305</v>
          </cell>
          <cell r="EL55">
            <v>11578.511014003305</v>
          </cell>
          <cell r="EM55">
            <v>11578.511014003305</v>
          </cell>
          <cell r="EN55">
            <v>8219.5518359830457</v>
          </cell>
          <cell r="EO55">
            <v>8226.4518750237839</v>
          </cell>
          <cell r="EP55">
            <v>8226.7948500840739</v>
          </cell>
          <cell r="EQ55">
            <v>8227.1379478228992</v>
          </cell>
          <cell r="ER55">
            <v>5748.0867461297248</v>
          </cell>
          <cell r="ES55">
            <v>5751.0931941891395</v>
          </cell>
          <cell r="ET55">
            <v>5751.4785907038358</v>
          </cell>
          <cell r="EU55">
            <v>5751.8599141104169</v>
          </cell>
          <cell r="EV55">
            <v>4473.0522938098229</v>
          </cell>
          <cell r="EW55">
            <v>4495.7644646787749</v>
          </cell>
          <cell r="EX55">
            <v>4497.1804563869518</v>
          </cell>
          <cell r="EY55">
            <v>4498.592444751539</v>
          </cell>
          <cell r="EZ55">
            <v>4308.7803490169226</v>
          </cell>
        </row>
        <row r="56">
          <cell r="F56">
            <v>0</v>
          </cell>
          <cell r="G56">
            <v>0</v>
          </cell>
          <cell r="H56">
            <v>33.139389212146625</v>
          </cell>
          <cell r="I56">
            <v>-17668.268472687752</v>
          </cell>
          <cell r="J56">
            <v>2.1157540217426857E-2</v>
          </cell>
          <cell r="K56">
            <v>-5.2999272329115241E-16</v>
          </cell>
          <cell r="L56">
            <v>0</v>
          </cell>
          <cell r="M56">
            <v>5696.5050179587806</v>
          </cell>
          <cell r="N56">
            <v>-904.86713407523735</v>
          </cell>
          <cell r="O56">
            <v>-902.70214541905148</v>
          </cell>
          <cell r="P56">
            <v>-901.12959602960336</v>
          </cell>
          <cell r="Q56">
            <v>3314.3733127329542</v>
          </cell>
          <cell r="R56">
            <v>-518.062740177602</v>
          </cell>
          <cell r="S56">
            <v>-516.34294397176041</v>
          </cell>
          <cell r="T56">
            <v>-515.44345039526763</v>
          </cell>
          <cell r="U56">
            <v>1317.4352362178281</v>
          </cell>
          <cell r="V56">
            <v>-209.06147273934326</v>
          </cell>
          <cell r="W56">
            <v>-206.17582894146383</v>
          </cell>
          <cell r="X56">
            <v>-205.81666099716244</v>
          </cell>
          <cell r="Y56">
            <v>-270.51679783127702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1975.0393789659586</v>
          </cell>
          <cell r="EK56">
            <v>1975.0393789659586</v>
          </cell>
          <cell r="EL56">
            <v>1975.0393789659586</v>
          </cell>
          <cell r="EM56">
            <v>1975.0393789659586</v>
          </cell>
          <cell r="EN56">
            <v>1621.1874590088935</v>
          </cell>
          <cell r="EO56">
            <v>1622.5213803984152</v>
          </cell>
          <cell r="EP56">
            <v>1623.8553017867741</v>
          </cell>
          <cell r="EQ56">
            <v>1625.1892231751331</v>
          </cell>
          <cell r="ER56">
            <v>1505.7340749246841</v>
          </cell>
          <cell r="ES56">
            <v>1508.0356767660642</v>
          </cell>
          <cell r="ET56">
            <v>1510.3372790260159</v>
          </cell>
          <cell r="EU56">
            <v>1512.638881285968</v>
          </cell>
          <cell r="EV56">
            <v>1460.0099114241671</v>
          </cell>
          <cell r="EW56">
            <v>1462.677468928151</v>
          </cell>
          <cell r="EX56">
            <v>1465.3449896569994</v>
          </cell>
          <cell r="EY56">
            <v>1468.0125103858477</v>
          </cell>
          <cell r="EZ56">
            <v>1455.2567042152077</v>
          </cell>
        </row>
        <row r="57">
          <cell r="F57">
            <v>0</v>
          </cell>
          <cell r="G57">
            <v>0</v>
          </cell>
          <cell r="H57">
            <v>-1314.4961163070195</v>
          </cell>
          <cell r="I57">
            <v>-1682.0602201615689</v>
          </cell>
          <cell r="J57">
            <v>-2380.8975721109496</v>
          </cell>
          <cell r="K57">
            <v>-2376.7499371268623</v>
          </cell>
          <cell r="L57">
            <v>-2372.609527489567</v>
          </cell>
          <cell r="M57">
            <v>-1123.8508635429662</v>
          </cell>
          <cell r="N57">
            <v>-955.34298876200592</v>
          </cell>
          <cell r="O57">
            <v>-953.67873502012617</v>
          </cell>
          <cell r="P57">
            <v>-952.01738202556851</v>
          </cell>
          <cell r="Q57">
            <v>-394.44330187727633</v>
          </cell>
          <cell r="R57">
            <v>-305.68182762867559</v>
          </cell>
          <cell r="S57">
            <v>-305.14933520900649</v>
          </cell>
          <cell r="T57">
            <v>-304.61775078416764</v>
          </cell>
          <cell r="U57">
            <v>-2.6669012378049572</v>
          </cell>
          <cell r="V57">
            <v>73.833475454172117</v>
          </cell>
          <cell r="W57">
            <v>73.704806166264333</v>
          </cell>
          <cell r="X57">
            <v>73.576408944075027</v>
          </cell>
          <cell r="Y57">
            <v>204.70807627234004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2150.2354182661461</v>
          </cell>
          <cell r="EK57">
            <v>2150.2354182661461</v>
          </cell>
          <cell r="EL57">
            <v>2150.2354182661461</v>
          </cell>
          <cell r="EM57">
            <v>2150.2354182661461</v>
          </cell>
          <cell r="EN57">
            <v>1985.9890457168024</v>
          </cell>
          <cell r="EO57">
            <v>1985.9890457168024</v>
          </cell>
          <cell r="EP57">
            <v>1985.9890457168024</v>
          </cell>
          <cell r="EQ57">
            <v>1985.9890457168024</v>
          </cell>
          <cell r="ER57">
            <v>1362.0272966943787</v>
          </cell>
          <cell r="ES57">
            <v>1362.0272966943787</v>
          </cell>
          <cell r="ET57">
            <v>1362.0272966943787</v>
          </cell>
          <cell r="EU57">
            <v>1362.0272966943787</v>
          </cell>
          <cell r="EV57">
            <v>587.29904646407363</v>
          </cell>
          <cell r="EW57">
            <v>571.65233610167809</v>
          </cell>
          <cell r="EX57">
            <v>571.6525495911493</v>
          </cell>
          <cell r="EY57">
            <v>571.65254958874471</v>
          </cell>
          <cell r="EZ57">
            <v>325.23875509704618</v>
          </cell>
        </row>
        <row r="58">
          <cell r="F58">
            <v>0</v>
          </cell>
          <cell r="G58">
            <v>0</v>
          </cell>
          <cell r="H58">
            <v>55718.18822039025</v>
          </cell>
          <cell r="I58">
            <v>108989.95378495194</v>
          </cell>
          <cell r="J58">
            <v>168282.90972382698</v>
          </cell>
          <cell r="K58">
            <v>181771.87405686281</v>
          </cell>
          <cell r="L58">
            <v>193399.60168691588</v>
          </cell>
          <cell r="M58">
            <v>205001.53810354354</v>
          </cell>
          <cell r="N58">
            <v>214561.33620637615</v>
          </cell>
          <cell r="O58">
            <v>217393.44061157535</v>
          </cell>
          <cell r="P58">
            <v>220218.53971927019</v>
          </cell>
          <cell r="Q58">
            <v>227766.8186663037</v>
          </cell>
          <cell r="R58">
            <v>234167.94974963838</v>
          </cell>
          <cell r="S58">
            <v>234834.60290213185</v>
          </cell>
          <cell r="T58">
            <v>234042.56536853351</v>
          </cell>
          <cell r="U58">
            <v>236345.97157922742</v>
          </cell>
          <cell r="V58">
            <v>244416.4807535758</v>
          </cell>
          <cell r="W58">
            <v>244047.0479019325</v>
          </cell>
          <cell r="X58">
            <v>242630.91132081777</v>
          </cell>
          <cell r="Y58">
            <v>247505.04071926198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2563.8622157556651</v>
          </cell>
          <cell r="EK58">
            <v>2563.8622157556651</v>
          </cell>
          <cell r="EL58">
            <v>2563.8622157556651</v>
          </cell>
          <cell r="EM58">
            <v>2563.8622157556651</v>
          </cell>
          <cell r="EN58">
            <v>1052.9469578071139</v>
          </cell>
          <cell r="EO58">
            <v>1048.9379088871992</v>
          </cell>
          <cell r="EP58">
            <v>1048.9380240668847</v>
          </cell>
          <cell r="EQ58">
            <v>1048.9380240643384</v>
          </cell>
          <cell r="ER58">
            <v>434.14416540571449</v>
          </cell>
          <cell r="ES58">
            <v>434.32524006963854</v>
          </cell>
          <cell r="ET58">
            <v>434.32201818625805</v>
          </cell>
          <cell r="EU58">
            <v>434.32201834287258</v>
          </cell>
          <cell r="EV58">
            <v>27.060846332216283</v>
          </cell>
          <cell r="EW58">
            <v>16.867757801858296</v>
          </cell>
          <cell r="EX58">
            <v>16.862579810473804</v>
          </cell>
          <cell r="EY58">
            <v>16.862577746622488</v>
          </cell>
          <cell r="EZ58">
            <v>-225.75713148914957</v>
          </cell>
        </row>
        <row r="59">
          <cell r="F59">
            <v>0</v>
          </cell>
          <cell r="G59">
            <v>0</v>
          </cell>
          <cell r="H59">
            <v>290813.60949295096</v>
          </cell>
          <cell r="I59">
            <v>5097422.9387771655</v>
          </cell>
          <cell r="J59">
            <v>5663946.9225000245</v>
          </cell>
          <cell r="K59">
            <v>5344360.3448507506</v>
          </cell>
          <cell r="L59">
            <v>5024497.4194603497</v>
          </cell>
          <cell r="M59">
            <v>6142700.0574694304</v>
          </cell>
          <cell r="N59">
            <v>5991068.8005684689</v>
          </cell>
          <cell r="O59">
            <v>5578033.7186241243</v>
          </cell>
          <cell r="P59">
            <v>5164170.3379900474</v>
          </cell>
          <cell r="Q59">
            <v>5800517.7339332672</v>
          </cell>
          <cell r="R59">
            <v>5512297.6102481112</v>
          </cell>
          <cell r="S59">
            <v>5031096.7638280261</v>
          </cell>
          <cell r="T59">
            <v>4549293.467836706</v>
          </cell>
          <cell r="U59">
            <v>4986037.328093484</v>
          </cell>
          <cell r="V59">
            <v>4651885.0102753583</v>
          </cell>
          <cell r="W59">
            <v>4113326.8458321928</v>
          </cell>
          <cell r="X59">
            <v>3571262.0725179585</v>
          </cell>
          <cell r="Y59">
            <v>785783.13377532247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415.55841197241079</v>
          </cell>
          <cell r="EK59">
            <v>415.55841197241079</v>
          </cell>
          <cell r="EL59">
            <v>415.55841197241079</v>
          </cell>
          <cell r="EM59">
            <v>415.55841197241079</v>
          </cell>
          <cell r="EN59">
            <v>247.431387745325</v>
          </cell>
          <cell r="EO59">
            <v>247.43139982018656</v>
          </cell>
          <cell r="EP59">
            <v>247.43139982018656</v>
          </cell>
          <cell r="EQ59">
            <v>247.43139982018656</v>
          </cell>
          <cell r="ER59">
            <v>148.39702113171253</v>
          </cell>
          <cell r="ES59">
            <v>148.39668970612996</v>
          </cell>
          <cell r="ET59">
            <v>148.39668970612996</v>
          </cell>
          <cell r="EU59">
            <v>148.39668970612996</v>
          </cell>
          <cell r="EV59">
            <v>62.701754390721938</v>
          </cell>
          <cell r="EW59">
            <v>62.701188207324357</v>
          </cell>
          <cell r="EX59">
            <v>62.701188207324357</v>
          </cell>
          <cell r="EY59">
            <v>62.701188207324357</v>
          </cell>
          <cell r="EZ59">
            <v>-6.8449965446412495</v>
          </cell>
        </row>
        <row r="60">
          <cell r="F60">
            <v>0</v>
          </cell>
          <cell r="G60">
            <v>0</v>
          </cell>
          <cell r="H60">
            <v>66880.813287514829</v>
          </cell>
          <cell r="I60">
            <v>2282.0683543595196</v>
          </cell>
          <cell r="J60">
            <v>5602.4694563818057</v>
          </cell>
          <cell r="K60">
            <v>8724.3613202765409</v>
          </cell>
          <cell r="L60">
            <v>11562.785317760228</v>
          </cell>
          <cell r="M60">
            <v>364139.13928119914</v>
          </cell>
          <cell r="N60">
            <v>345759.25372662104</v>
          </cell>
          <cell r="O60">
            <v>318779.51502789871</v>
          </cell>
          <cell r="P60">
            <v>285344.76924980816</v>
          </cell>
          <cell r="Q60">
            <v>587192.68356905575</v>
          </cell>
          <cell r="R60">
            <v>517911.62458586285</v>
          </cell>
          <cell r="S60">
            <v>429399.10574768146</v>
          </cell>
          <cell r="T60">
            <v>322246.66681272053</v>
          </cell>
          <cell r="U60">
            <v>549780.83515797509</v>
          </cell>
          <cell r="V60">
            <v>487325.67232567264</v>
          </cell>
          <cell r="W60">
            <v>406740.66766603279</v>
          </cell>
          <cell r="X60">
            <v>309090.27227814926</v>
          </cell>
          <cell r="Y60">
            <v>66546.481558497879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5237.6721785884229</v>
          </cell>
          <cell r="EK60">
            <v>5219.9048331004078</v>
          </cell>
          <cell r="EL60">
            <v>5202.1977583882135</v>
          </cell>
          <cell r="EM60">
            <v>5184.5507500000003</v>
          </cell>
          <cell r="EN60">
            <v>4376.9407010954174</v>
          </cell>
          <cell r="EO60">
            <v>4438.9520977054735</v>
          </cell>
          <cell r="EP60">
            <v>4489.3366490826111</v>
          </cell>
          <cell r="EQ60">
            <v>4539.331819413128</v>
          </cell>
          <cell r="ER60">
            <v>4154.2141072569648</v>
          </cell>
          <cell r="ES60">
            <v>4270.6934847846105</v>
          </cell>
          <cell r="ET60">
            <v>4374.4902602473785</v>
          </cell>
          <cell r="EU60">
            <v>4480.8663822908375</v>
          </cell>
          <cell r="EV60">
            <v>6514.9932982513192</v>
          </cell>
          <cell r="EW60">
            <v>7026.3607946112834</v>
          </cell>
          <cell r="EX60">
            <v>7468.2832650218925</v>
          </cell>
          <cell r="EY60">
            <v>7913.0241417594698</v>
          </cell>
          <cell r="EZ60">
            <v>9175.4417394570792</v>
          </cell>
        </row>
        <row r="61">
          <cell r="F61">
            <v>0</v>
          </cell>
          <cell r="G61">
            <v>0</v>
          </cell>
          <cell r="H61">
            <v>-1184.0902495327118</v>
          </cell>
          <cell r="I61">
            <v>-1314.4089196190357</v>
          </cell>
          <cell r="J61">
            <v>-3168.3946870796613</v>
          </cell>
          <cell r="K61">
            <v>-3014.71776388746</v>
          </cell>
          <cell r="L61">
            <v>-2819.3608775271364</v>
          </cell>
          <cell r="M61">
            <v>-2084.1155663266068</v>
          </cell>
          <cell r="N61">
            <v>-1842.1328886681335</v>
          </cell>
          <cell r="O61">
            <v>-1686.2628806844598</v>
          </cell>
          <cell r="P61">
            <v>-1532.3045588543373</v>
          </cell>
          <cell r="Q61">
            <v>-905.90691499496711</v>
          </cell>
          <cell r="R61">
            <v>-460.74341808048774</v>
          </cell>
          <cell r="S61">
            <v>-337.84551065376723</v>
          </cell>
          <cell r="T61">
            <v>-221.84986850383746</v>
          </cell>
          <cell r="U61">
            <v>-13.643048982309729</v>
          </cell>
          <cell r="V61">
            <v>53.343296166036289</v>
          </cell>
          <cell r="W61">
            <v>76.42267790864139</v>
          </cell>
          <cell r="X61">
            <v>97.752689628851243</v>
          </cell>
          <cell r="Y61">
            <v>322.00496188144734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11568.938981049627</v>
          </cell>
          <cell r="EK61">
            <v>11554.595766944612</v>
          </cell>
          <cell r="EL61">
            <v>11540.27033561045</v>
          </cell>
          <cell r="EM61">
            <v>11525.96266499999</v>
          </cell>
          <cell r="EN61">
            <v>8204.4820218656041</v>
          </cell>
          <cell r="EO61">
            <v>8201.2045497798244</v>
          </cell>
          <cell r="EP61">
            <v>8191.3794988333657</v>
          </cell>
          <cell r="EQ61">
            <v>8181.5667515991436</v>
          </cell>
          <cell r="ER61">
            <v>5738.6468804444712</v>
          </cell>
          <cell r="ES61">
            <v>5734.5654133894323</v>
          </cell>
          <cell r="ET61">
            <v>5727.842364409018</v>
          </cell>
          <cell r="EU61">
            <v>5721.1235814698039</v>
          </cell>
          <cell r="EV61">
            <v>4465.9590397274478</v>
          </cell>
          <cell r="EW61">
            <v>4483.1636623671766</v>
          </cell>
          <cell r="EX61">
            <v>4479.0241860928954</v>
          </cell>
          <cell r="EY61">
            <v>4474.8858252924229</v>
          </cell>
          <cell r="EZ61">
            <v>4302.5955914301067</v>
          </cell>
        </row>
        <row r="62">
          <cell r="F62">
            <v>0</v>
          </cell>
          <cell r="G62">
            <v>0</v>
          </cell>
          <cell r="H62">
            <v>-294.84278999655163</v>
          </cell>
          <cell r="I62">
            <v>-182.54771623566242</v>
          </cell>
          <cell r="J62">
            <v>-554.29314805066088</v>
          </cell>
          <cell r="K62">
            <v>-534.96943352383505</v>
          </cell>
          <cell r="L62">
            <v>-496.0038754993322</v>
          </cell>
          <cell r="M62">
            <v>-266.23035119729309</v>
          </cell>
          <cell r="N62">
            <v>-117.32190354191718</v>
          </cell>
          <cell r="O62">
            <v>-101.47403858641411</v>
          </cell>
          <cell r="P62">
            <v>-88.64860366984243</v>
          </cell>
          <cell r="Q62">
            <v>5.4031507101645406</v>
          </cell>
          <cell r="R62">
            <v>64.843955251107616</v>
          </cell>
          <cell r="S62">
            <v>71.089016803462684</v>
          </cell>
          <cell r="T62">
            <v>76.689351846383417</v>
          </cell>
          <cell r="U62">
            <v>111.61773878371012</v>
          </cell>
          <cell r="V62">
            <v>113.64854520193386</v>
          </cell>
          <cell r="W62">
            <v>110.21107180547389</v>
          </cell>
          <cell r="X62">
            <v>108.7721846118103</v>
          </cell>
          <cell r="Y62">
            <v>113.91025529168049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1972.3209463465221</v>
          </cell>
          <cell r="EK62">
            <v>1968.2503113728199</v>
          </cell>
          <cell r="EL62">
            <v>1964.1880777037431</v>
          </cell>
          <cell r="EM62">
            <v>1960.1342280000017</v>
          </cell>
          <cell r="EN62">
            <v>1617.3441951612449</v>
          </cell>
          <cell r="EO62">
            <v>1615.3391931075305</v>
          </cell>
          <cell r="EP62">
            <v>1613.3383291375335</v>
          </cell>
          <cell r="EQ62">
            <v>1611.3415947119033</v>
          </cell>
          <cell r="ER62">
            <v>1502.4932387375766</v>
          </cell>
          <cell r="ES62">
            <v>1501.7021677112148</v>
          </cell>
          <cell r="ET62">
            <v>1500.9127297789987</v>
          </cell>
          <cell r="EU62">
            <v>1500.1249211524298</v>
          </cell>
          <cell r="EV62">
            <v>1456.8644834932907</v>
          </cell>
          <cell r="EW62">
            <v>1456.5515248428126</v>
          </cell>
          <cell r="EX62">
            <v>1456.239175380198</v>
          </cell>
          <cell r="EY62">
            <v>1455.9274705695852</v>
          </cell>
          <cell r="EZ62">
            <v>1452.1295118102885</v>
          </cell>
        </row>
        <row r="63">
          <cell r="F63">
            <v>0</v>
          </cell>
          <cell r="G63">
            <v>0</v>
          </cell>
          <cell r="H63">
            <v>-4773.7914820393535</v>
          </cell>
          <cell r="I63">
            <v>-3335.4579936813284</v>
          </cell>
          <cell r="J63">
            <v>-9830.3618585646054</v>
          </cell>
          <cell r="K63">
            <v>-9269.3733609021128</v>
          </cell>
          <cell r="L63">
            <v>-8690.8827204024492</v>
          </cell>
          <cell r="M63">
            <v>-7634.1781851549567</v>
          </cell>
          <cell r="N63">
            <v>-6885.5774648218048</v>
          </cell>
          <cell r="O63">
            <v>-6371.0672849791445</v>
          </cell>
          <cell r="P63">
            <v>-5861.3469186139928</v>
          </cell>
          <cell r="Q63">
            <v>-5259.3350620457659</v>
          </cell>
          <cell r="R63">
            <v>-4728.2056845943625</v>
          </cell>
          <cell r="S63">
            <v>-4265.185241127504</v>
          </cell>
          <cell r="T63">
            <v>-3804.4504143060794</v>
          </cell>
          <cell r="U63">
            <v>-3097.1717118199635</v>
          </cell>
          <cell r="V63">
            <v>-2608.82041818163</v>
          </cell>
          <cell r="W63">
            <v>-2246.3230056410121</v>
          </cell>
          <cell r="X63">
            <v>-1883.0882690690892</v>
          </cell>
          <cell r="Y63">
            <v>-1393.765106872067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2148.4074211622974</v>
          </cell>
          <cell r="EK63">
            <v>2145.6683389374211</v>
          </cell>
          <cell r="EL63">
            <v>2142.9327488674126</v>
          </cell>
          <cell r="EM63">
            <v>2140.2006464999981</v>
          </cell>
          <cell r="EN63">
            <v>1975.7295190760858</v>
          </cell>
          <cell r="EO63">
            <v>1973.2105901459588</v>
          </cell>
          <cell r="EP63">
            <v>1970.6948726893124</v>
          </cell>
          <cell r="EQ63">
            <v>1968.182362611723</v>
          </cell>
          <cell r="ER63">
            <v>1359.6710109509941</v>
          </cell>
          <cell r="ES63">
            <v>1357.9375172658156</v>
          </cell>
          <cell r="ET63">
            <v>1356.2062336743525</v>
          </cell>
          <cell r="EU63">
            <v>1354.4771573588766</v>
          </cell>
          <cell r="EV63">
            <v>582.10762262388732</v>
          </cell>
          <cell r="EW63">
            <v>565.72902136493815</v>
          </cell>
          <cell r="EX63">
            <v>565.00796633278503</v>
          </cell>
          <cell r="EY63">
            <v>564.28761726518587</v>
          </cell>
          <cell r="EZ63">
            <v>326.01476306366766</v>
          </cell>
        </row>
        <row r="64">
          <cell r="F64">
            <v>0</v>
          </cell>
          <cell r="G64">
            <v>0</v>
          </cell>
          <cell r="H64">
            <v>-625.54903860600132</v>
          </cell>
          <cell r="I64">
            <v>-466.84507036763483</v>
          </cell>
          <cell r="J64">
            <v>-1208.1565669935731</v>
          </cell>
          <cell r="K64">
            <v>-1137.1647689266763</v>
          </cell>
          <cell r="L64">
            <v>-1064.9759384196386</v>
          </cell>
          <cell r="M64">
            <v>-688.06564023998749</v>
          </cell>
          <cell r="N64">
            <v>-498.93060088524902</v>
          </cell>
          <cell r="O64">
            <v>-462.56021788793851</v>
          </cell>
          <cell r="P64">
            <v>-425.46411557655847</v>
          </cell>
          <cell r="Q64">
            <v>-204.4851065355773</v>
          </cell>
          <cell r="R64">
            <v>-92.414321369644938</v>
          </cell>
          <cell r="S64">
            <v>-68.67031600376653</v>
          </cell>
          <cell r="T64">
            <v>-44.390684928435427</v>
          </cell>
          <cell r="U64">
            <v>108.70451873229666</v>
          </cell>
          <cell r="V64">
            <v>150.6059092538502</v>
          </cell>
          <cell r="W64">
            <v>163.68996672650945</v>
          </cell>
          <cell r="X64">
            <v>177.23281797376609</v>
          </cell>
          <cell r="Y64">
            <v>217.63474363495192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2561.5881611401815</v>
          </cell>
          <cell r="EK64">
            <v>2558.1808605432889</v>
          </cell>
          <cell r="EL64">
            <v>2554.7780921727444</v>
          </cell>
          <cell r="EM64">
            <v>2551.3798500000003</v>
          </cell>
          <cell r="EN64">
            <v>1051.1828466006959</v>
          </cell>
          <cell r="EO64">
            <v>1045.7783270129094</v>
          </cell>
          <cell r="EP64">
            <v>1044.3873983849967</v>
          </cell>
          <cell r="EQ64">
            <v>1042.9982048111019</v>
          </cell>
          <cell r="ER64">
            <v>433.46268015095387</v>
          </cell>
          <cell r="ES64">
            <v>433.0468033818762</v>
          </cell>
          <cell r="ET64">
            <v>432.46756660131393</v>
          </cell>
          <cell r="EU64">
            <v>431.8923193311457</v>
          </cell>
          <cell r="EV64">
            <v>26.833766488268946</v>
          </cell>
          <cell r="EW64">
            <v>16.591401746328852</v>
          </cell>
          <cell r="EX64">
            <v>16.564143000312562</v>
          </cell>
          <cell r="EY64">
            <v>16.542108117495808</v>
          </cell>
          <cell r="EZ64">
            <v>-225.69605623506058</v>
          </cell>
        </row>
        <row r="65">
          <cell r="F65">
            <v>0</v>
          </cell>
          <cell r="G65">
            <v>0</v>
          </cell>
          <cell r="H65">
            <v>20292.92952316728</v>
          </cell>
          <cell r="I65">
            <v>52399.016242765349</v>
          </cell>
          <cell r="J65">
            <v>75695.737994659008</v>
          </cell>
          <cell r="K65">
            <v>70795.292402096646</v>
          </cell>
          <cell r="L65">
            <v>65927.222562185372</v>
          </cell>
          <cell r="M65">
            <v>59953.201719107572</v>
          </cell>
          <cell r="N65">
            <v>55652.344683825824</v>
          </cell>
          <cell r="O65">
            <v>51395.620376924518</v>
          </cell>
          <cell r="P65">
            <v>47167.13517468315</v>
          </cell>
          <cell r="Q65">
            <v>42034.705843562711</v>
          </cell>
          <cell r="R65">
            <v>38254.577608673324</v>
          </cell>
          <cell r="S65">
            <v>34512.244524646478</v>
          </cell>
          <cell r="T65">
            <v>30794.860886125847</v>
          </cell>
          <cell r="U65">
            <v>23512.090896967318</v>
          </cell>
          <cell r="V65">
            <v>21163.72038919925</v>
          </cell>
          <cell r="W65">
            <v>18877.930573527869</v>
          </cell>
          <cell r="X65">
            <v>16607.405035223019</v>
          </cell>
          <cell r="Y65">
            <v>12198.39412140105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415.0756569379493</v>
          </cell>
          <cell r="EK65">
            <v>414.35257571541649</v>
          </cell>
          <cell r="EL65">
            <v>413.63075413421808</v>
          </cell>
          <cell r="EM65">
            <v>412.91018999999994</v>
          </cell>
          <cell r="EN65">
            <v>246.96827625131436</v>
          </cell>
          <cell r="EO65">
            <v>246.53805801525257</v>
          </cell>
          <cell r="EP65">
            <v>246.10857717866097</v>
          </cell>
          <cell r="EQ65">
            <v>245.67984451778909</v>
          </cell>
          <cell r="ER65">
            <v>148.12596950305655</v>
          </cell>
          <cell r="ES65">
            <v>147.86759616927208</v>
          </cell>
          <cell r="ET65">
            <v>147.61000389561329</v>
          </cell>
          <cell r="EU65">
            <v>147.35286035975216</v>
          </cell>
          <cell r="EV65">
            <v>62.5515501913059</v>
          </cell>
          <cell r="EW65">
            <v>62.442014856590937</v>
          </cell>
          <cell r="EX65">
            <v>62.333237944032419</v>
          </cell>
          <cell r="EY65">
            <v>62.224650525947006</v>
          </cell>
          <cell r="EZ65">
            <v>-6.904200694686951</v>
          </cell>
        </row>
        <row r="66">
          <cell r="F66">
            <v>0</v>
          </cell>
          <cell r="G66">
            <v>0</v>
          </cell>
          <cell r="H66">
            <v>94.74454310763123</v>
          </cell>
          <cell r="I66">
            <v>5827.865938992587</v>
          </cell>
          <cell r="J66">
            <v>9900.3969443979386</v>
          </cell>
          <cell r="K66">
            <v>9347.3395699326393</v>
          </cell>
          <cell r="L66">
            <v>8795.6383426649481</v>
          </cell>
          <cell r="M66">
            <v>8193.6246007097907</v>
          </cell>
          <cell r="N66">
            <v>7684.2022255650118</v>
          </cell>
          <cell r="O66">
            <v>7185.2503817487031</v>
          </cell>
          <cell r="P66">
            <v>6687.5239311913429</v>
          </cell>
          <cell r="Q66">
            <v>6169.7343955449787</v>
          </cell>
          <cell r="R66">
            <v>5681.3779132603959</v>
          </cell>
          <cell r="S66">
            <v>5197.3244512559522</v>
          </cell>
          <cell r="T66">
            <v>4714.4625189387743</v>
          </cell>
          <cell r="U66">
            <v>4055.9297601260932</v>
          </cell>
          <cell r="V66">
            <v>3608.0899459970133</v>
          </cell>
          <cell r="W66">
            <v>3185.2737086510451</v>
          </cell>
          <cell r="X66">
            <v>2763.5003435876351</v>
          </cell>
          <cell r="Y66">
            <v>2104.426274569943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56.105760811617891</v>
          </cell>
          <cell r="EK66">
            <v>75.892351335742376</v>
          </cell>
          <cell r="EL66">
            <v>83.650412591873689</v>
          </cell>
          <cell r="EM66">
            <v>91.148680190168193</v>
          </cell>
          <cell r="EN66">
            <v>97.421135209940999</v>
          </cell>
          <cell r="EO66">
            <v>103.23331360060141</v>
          </cell>
          <cell r="EP66">
            <v>108.71266393040551</v>
          </cell>
          <cell r="EQ66">
            <v>114.43460711102703</v>
          </cell>
          <cell r="ER66">
            <v>119.71670877917907</v>
          </cell>
          <cell r="ES66">
            <v>125.53491985741175</v>
          </cell>
          <cell r="ET66">
            <v>131.14414885533665</v>
          </cell>
          <cell r="EU66">
            <v>136.51964942279702</v>
          </cell>
          <cell r="EV66">
            <v>141.2865252155716</v>
          </cell>
          <cell r="EW66">
            <v>147.06999980073488</v>
          </cell>
          <cell r="EX66">
            <v>152.40602129746043</v>
          </cell>
          <cell r="EY66">
            <v>157.58546605190077</v>
          </cell>
          <cell r="EZ66">
            <v>161.99862589288568</v>
          </cell>
        </row>
        <row r="67">
          <cell r="F67">
            <v>0</v>
          </cell>
          <cell r="G67">
            <v>0</v>
          </cell>
          <cell r="H67">
            <v>17.594328369891233</v>
          </cell>
          <cell r="I67">
            <v>667.27144864313436</v>
          </cell>
          <cell r="J67">
            <v>908.21793756554825</v>
          </cell>
          <cell r="K67">
            <v>781.00289946912551</v>
          </cell>
          <cell r="L67">
            <v>654.30910602756353</v>
          </cell>
          <cell r="M67">
            <v>487.25323987574274</v>
          </cell>
          <cell r="N67">
            <v>428.64142748238203</v>
          </cell>
          <cell r="O67">
            <v>371.00945556136486</v>
          </cell>
          <cell r="P67">
            <v>313.61354881760269</v>
          </cell>
          <cell r="Q67">
            <v>214.93652060608332</v>
          </cell>
          <cell r="R67">
            <v>189.50145602623343</v>
          </cell>
          <cell r="S67">
            <v>164.70878067158844</v>
          </cell>
          <cell r="T67">
            <v>140.01763636020112</v>
          </cell>
          <cell r="U67">
            <v>91.450589702199778</v>
          </cell>
          <cell r="V67">
            <v>79.077488396170367</v>
          </cell>
          <cell r="W67">
            <v>67.030602346887747</v>
          </cell>
          <cell r="X67">
            <v>55.033106128131557</v>
          </cell>
          <cell r="Y67">
            <v>32.485527297320075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27.960553679661416</v>
          </cell>
          <cell r="EK67">
            <v>29.92826769237584</v>
          </cell>
          <cell r="EL67">
            <v>30.166629033844576</v>
          </cell>
          <cell r="EM67">
            <v>30.166624575541455</v>
          </cell>
          <cell r="EN67">
            <v>29.59951442904984</v>
          </cell>
          <cell r="EO67">
            <v>30.095192654088883</v>
          </cell>
          <cell r="EP67">
            <v>30.166402267369655</v>
          </cell>
          <cell r="EQ67">
            <v>30.166550720344638</v>
          </cell>
          <cell r="ER67">
            <v>29.75238339365599</v>
          </cell>
          <cell r="ES67">
            <v>30.113552963342514</v>
          </cell>
          <cell r="ET67">
            <v>30.166357504539079</v>
          </cell>
          <cell r="EU67">
            <v>30.166502086931391</v>
          </cell>
          <cell r="EV67">
            <v>29.80244780037259</v>
          </cell>
          <cell r="EW67">
            <v>30.107101517550397</v>
          </cell>
          <cell r="EX67">
            <v>30.165626183688936</v>
          </cell>
          <cell r="EY67">
            <v>30.166234356928861</v>
          </cell>
          <cell r="EZ67">
            <v>29.745937305702228</v>
          </cell>
        </row>
        <row r="68">
          <cell r="F68">
            <v>0</v>
          </cell>
          <cell r="G68">
            <v>0</v>
          </cell>
          <cell r="H68">
            <v>-305.20487002053574</v>
          </cell>
          <cell r="I68">
            <v>-369.21598865703243</v>
          </cell>
          <cell r="J68">
            <v>-877.77573224149171</v>
          </cell>
          <cell r="K68">
            <v>-823.78478793224895</v>
          </cell>
          <cell r="L68">
            <v>-769.93008684207348</v>
          </cell>
          <cell r="M68">
            <v>-716.21136932839704</v>
          </cell>
          <cell r="N68">
            <v>-662.62837618924846</v>
          </cell>
          <cell r="O68">
            <v>-609.18084866255299</v>
          </cell>
          <cell r="P68">
            <v>-555.86852842543067</v>
          </cell>
          <cell r="Q68">
            <v>-502.69115759349791</v>
          </cell>
          <cell r="R68">
            <v>-449.6484787201689</v>
          </cell>
          <cell r="S68">
            <v>-396.74023479595871</v>
          </cell>
          <cell r="T68">
            <v>-343.96616924778687</v>
          </cell>
          <cell r="U68">
            <v>-293.3229073775816</v>
          </cell>
          <cell r="V68">
            <v>-262.29714057447063</v>
          </cell>
          <cell r="W68">
            <v>-234.58301547595636</v>
          </cell>
          <cell r="X68">
            <v>-206.93913150170368</v>
          </cell>
          <cell r="Y68">
            <v>-179.36535459407986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7.0104700710202446</v>
          </cell>
          <cell r="EK68">
            <v>7.145843489016011</v>
          </cell>
          <cell r="EL68">
            <v>7.1458434890203026</v>
          </cell>
          <cell r="EM68">
            <v>7.1458434890203026</v>
          </cell>
          <cell r="EN68">
            <v>7.1344092884525523</v>
          </cell>
          <cell r="EO68">
            <v>7.1458308179756482</v>
          </cell>
          <cell r="EP68">
            <v>7.145830816427833</v>
          </cell>
          <cell r="EQ68">
            <v>7.1458308164278339</v>
          </cell>
          <cell r="ER68">
            <v>7.1346714190754934</v>
          </cell>
          <cell r="ES68">
            <v>7.1458114905387458</v>
          </cell>
          <cell r="ET68">
            <v>7.1458116273729981</v>
          </cell>
          <cell r="EU68">
            <v>7.1458116273729981</v>
          </cell>
          <cell r="EV68">
            <v>7.1349785918963233</v>
          </cell>
          <cell r="EW68">
            <v>7.1457902980059629</v>
          </cell>
          <cell r="EX68">
            <v>7.1457907924075243</v>
          </cell>
          <cell r="EY68">
            <v>7.1457907924075261</v>
          </cell>
          <cell r="EZ68">
            <v>7.1350005358762463</v>
          </cell>
        </row>
        <row r="69">
          <cell r="F69">
            <v>0</v>
          </cell>
          <cell r="G69">
            <v>0</v>
          </cell>
          <cell r="H69">
            <v>-283.50268268899197</v>
          </cell>
          <cell r="I69">
            <v>-175.52665022659852</v>
          </cell>
          <cell r="J69">
            <v>-532.97418081794319</v>
          </cell>
          <cell r="K69">
            <v>-514.39368608061068</v>
          </cell>
          <cell r="L69">
            <v>-476.92680336474245</v>
          </cell>
          <cell r="M69">
            <v>-259.58497581639335</v>
          </cell>
          <cell r="N69">
            <v>-114.39343169063687</v>
          </cell>
          <cell r="O69">
            <v>-98.941145267564451</v>
          </cell>
          <cell r="P69">
            <v>-86.435846011936846</v>
          </cell>
          <cell r="Q69">
            <v>5.268282673717378</v>
          </cell>
          <cell r="R69">
            <v>63.225385385245325</v>
          </cell>
          <cell r="S69">
            <v>69.314563965934738</v>
          </cell>
          <cell r="T69">
            <v>74.775109054586011</v>
          </cell>
          <cell r="U69">
            <v>109.37768381909504</v>
          </cell>
          <cell r="V69">
            <v>111.36773400942093</v>
          </cell>
          <cell r="W69">
            <v>107.99924722235994</v>
          </cell>
          <cell r="X69">
            <v>106.58923703728667</v>
          </cell>
          <cell r="Y69">
            <v>112.0740343134883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1.8765591117545732</v>
          </cell>
          <cell r="EK69">
            <v>3.3617177515336993E-2</v>
          </cell>
          <cell r="EL69">
            <v>-3.9851780719857288E-7</v>
          </cell>
          <cell r="EM69">
            <v>4.2100767316810561E-12</v>
          </cell>
          <cell r="EN69">
            <v>-1.4989015920503168E-2</v>
          </cell>
          <cell r="EO69">
            <v>-1.2864384299934306E-3</v>
          </cell>
          <cell r="EP69">
            <v>1.0221009483224464E-8</v>
          </cell>
          <cell r="EQ69">
            <v>-8.1379347705023974E-14</v>
          </cell>
          <cell r="ER69">
            <v>-5.6159474668892706E-2</v>
          </cell>
          <cell r="ES69">
            <v>-4.8199099130613599E-3</v>
          </cell>
          <cell r="ET69">
            <v>3.8295145721178869E-8</v>
          </cell>
          <cell r="EU69">
            <v>-3.0453417565468044E-13</v>
          </cell>
          <cell r="EV69">
            <v>-1.032565809424385E-2</v>
          </cell>
          <cell r="EW69">
            <v>4.9802126179518402E-4</v>
          </cell>
          <cell r="EX69">
            <v>2.3696919419835538E-5</v>
          </cell>
          <cell r="EY69">
            <v>-5.3390217247262228E-10</v>
          </cell>
          <cell r="EZ69">
            <v>-2.7486404442406992E-2</v>
          </cell>
        </row>
        <row r="70">
          <cell r="F70">
            <v>0</v>
          </cell>
          <cell r="G70">
            <v>0</v>
          </cell>
          <cell r="H70">
            <v>-4552.182674507545</v>
          </cell>
          <cell r="I70">
            <v>-3207.171147770508</v>
          </cell>
          <cell r="J70">
            <v>-9433.3413604932812</v>
          </cell>
          <cell r="K70">
            <v>-8878.0230388268737</v>
          </cell>
          <cell r="L70">
            <v>-8324.1653418292772</v>
          </cell>
          <cell r="M70">
            <v>-7593.5290220108327</v>
          </cell>
          <cell r="N70">
            <v>-6977.7793904275468</v>
          </cell>
          <cell r="O70">
            <v>-6460.948193077018</v>
          </cell>
          <cell r="P70">
            <v>-5945.4795776090104</v>
          </cell>
          <cell r="Q70">
            <v>-5419.1184880122319</v>
          </cell>
          <cell r="R70">
            <v>-4929.4729311886067</v>
          </cell>
          <cell r="S70">
            <v>-4454.3281239027729</v>
          </cell>
          <cell r="T70">
            <v>-3980.4386241377306</v>
          </cell>
          <cell r="U70">
            <v>-3310.9691986175262</v>
          </cell>
          <cell r="V70">
            <v>-2809.8367659043688</v>
          </cell>
          <cell r="W70">
            <v>-2427.3691706984873</v>
          </cell>
          <cell r="X70">
            <v>-2045.9140838083431</v>
          </cell>
          <cell r="Y70">
            <v>-1554.1924963613465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3.1304392394614835</v>
          </cell>
          <cell r="EK70">
            <v>0.1057097502093276</v>
          </cell>
          <cell r="EL70">
            <v>-2.5865455106632851E-6</v>
          </cell>
          <cell r="EM70">
            <v>5.3677728928391844E-11</v>
          </cell>
          <cell r="EN70">
            <v>-0.179458785167811</v>
          </cell>
          <cell r="EO70">
            <v>-1.9047114796783282E-2</v>
          </cell>
          <cell r="EP70">
            <v>7.7008146053492155E-5</v>
          </cell>
          <cell r="EQ70">
            <v>-3.3965212309361448E-9</v>
          </cell>
          <cell r="ER70">
            <v>-7.7012938840898132E-2</v>
          </cell>
          <cell r="ES70">
            <v>-6.0062727155565099E-3</v>
          </cell>
          <cell r="ET70">
            <v>1.1651280498417571E-4</v>
          </cell>
          <cell r="EU70">
            <v>4.6969577005562257E-8</v>
          </cell>
          <cell r="EV70">
            <v>-2.4740983379670612E-2</v>
          </cell>
          <cell r="EW70">
            <v>5.5888917978350657E-3</v>
          </cell>
          <cell r="EX70">
            <v>3.2414698934845557E-4</v>
          </cell>
          <cell r="EY70">
            <v>1.5254892820736748E-7</v>
          </cell>
          <cell r="EZ70">
            <v>2.8910539205301636E-3</v>
          </cell>
        </row>
        <row r="71">
          <cell r="F71">
            <v>0</v>
          </cell>
          <cell r="G71">
            <v>0</v>
          </cell>
          <cell r="H71">
            <v>-601.48946019807806</v>
          </cell>
          <cell r="I71">
            <v>-448.88949073811045</v>
          </cell>
          <cell r="J71">
            <v>-1161.6890067245895</v>
          </cell>
          <cell r="K71">
            <v>-1093.4276624294966</v>
          </cell>
          <cell r="L71">
            <v>-1024.0153254034988</v>
          </cell>
          <cell r="M71">
            <v>-670.89083486738252</v>
          </cell>
          <cell r="N71">
            <v>-486.47679493491512</v>
          </cell>
          <cell r="O71">
            <v>-451.01425301086044</v>
          </cell>
          <cell r="P71">
            <v>-414.84410645140258</v>
          </cell>
          <cell r="Q71">
            <v>-199.38095411035229</v>
          </cell>
          <cell r="R71">
            <v>-90.107567638109344</v>
          </cell>
          <cell r="S71">
            <v>-66.956236353126485</v>
          </cell>
          <cell r="T71">
            <v>-43.282649111188981</v>
          </cell>
          <cell r="U71">
            <v>106.52292914343903</v>
          </cell>
          <cell r="V71">
            <v>147.5834011973289</v>
          </cell>
          <cell r="W71">
            <v>160.40487488878711</v>
          </cell>
          <cell r="X71">
            <v>173.67593482847883</v>
          </cell>
          <cell r="Y71">
            <v>214.12649513860109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0.61596414654721543</v>
          </cell>
          <cell r="EK71">
            <v>-2.8875559895946701E-7</v>
          </cell>
          <cell r="EL71">
            <v>0</v>
          </cell>
          <cell r="EM71">
            <v>0</v>
          </cell>
          <cell r="EN71">
            <v>-4.2984554419145671E-3</v>
          </cell>
          <cell r="EO71">
            <v>8.0451780223589342E-6</v>
          </cell>
          <cell r="EP71">
            <v>0</v>
          </cell>
          <cell r="EQ71">
            <v>0</v>
          </cell>
          <cell r="ER71">
            <v>-2.6141892913761205E-3</v>
          </cell>
          <cell r="ES71">
            <v>1.1032209875361243E-5</v>
          </cell>
          <cell r="ET71">
            <v>0</v>
          </cell>
          <cell r="EU71">
            <v>-1.1102230246251565E-16</v>
          </cell>
          <cell r="EV71">
            <v>-1.0872077367814204E-3</v>
          </cell>
          <cell r="EW71">
            <v>3.4020933621266292E-5</v>
          </cell>
          <cell r="EX71">
            <v>-5.620504062164855E-16</v>
          </cell>
          <cell r="EY71">
            <v>0</v>
          </cell>
          <cell r="EZ71">
            <v>1.2443843659245418E-4</v>
          </cell>
        </row>
        <row r="72">
          <cell r="F72">
            <v>0</v>
          </cell>
          <cell r="G72">
            <v>0</v>
          </cell>
          <cell r="H72">
            <v>2056.7747726559455</v>
          </cell>
          <cell r="I72">
            <v>36306.493288479134</v>
          </cell>
          <cell r="J72">
            <v>1349.9807347953188</v>
          </cell>
          <cell r="K72">
            <v>1487.9819042255085</v>
          </cell>
          <cell r="L72">
            <v>1621.3618380907305</v>
          </cell>
          <cell r="M72">
            <v>27645.256347263326</v>
          </cell>
          <cell r="N72">
            <v>2493.61164593182</v>
          </cell>
          <cell r="O72">
            <v>2504.1164694209592</v>
          </cell>
          <cell r="P72">
            <v>2607.168250827066</v>
          </cell>
          <cell r="Q72">
            <v>26787.644757575406</v>
          </cell>
          <cell r="R72">
            <v>3913.5006883394544</v>
          </cell>
          <cell r="S72">
            <v>3845.9667083141994</v>
          </cell>
          <cell r="T72">
            <v>3969.4817640881784</v>
          </cell>
          <cell r="U72">
            <v>44736.703126943328</v>
          </cell>
          <cell r="V72">
            <v>8717.8603269806881</v>
          </cell>
          <cell r="W72">
            <v>8096.5120991636732</v>
          </cell>
          <cell r="X72">
            <v>8252.078361548065</v>
          </cell>
          <cell r="Y72">
            <v>53762.34111672813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7295.7317144314975</v>
          </cell>
          <cell r="EK72">
            <v>0</v>
          </cell>
          <cell r="EL72">
            <v>0</v>
          </cell>
          <cell r="EM72">
            <v>0</v>
          </cell>
          <cell r="EN72">
            <v>5693.9101703769438</v>
          </cell>
          <cell r="EO72">
            <v>109.94489307748009</v>
          </cell>
          <cell r="EP72">
            <v>93.593190827546579</v>
          </cell>
          <cell r="EQ72">
            <v>93.284505819737419</v>
          </cell>
          <cell r="ER72">
            <v>5179.782134374952</v>
          </cell>
          <cell r="ES72">
            <v>286.8256927359169</v>
          </cell>
          <cell r="ET72">
            <v>254.34205354007179</v>
          </cell>
          <cell r="EU72">
            <v>258.26078040178356</v>
          </cell>
          <cell r="EV72">
            <v>8083.2121190412672</v>
          </cell>
          <cell r="EW72">
            <v>1031.8526894994689</v>
          </cell>
          <cell r="EX72">
            <v>904.16301877935803</v>
          </cell>
          <cell r="EY72">
            <v>913.90546330477753</v>
          </cell>
          <cell r="EZ72">
            <v>9594.7339643498872</v>
          </cell>
        </row>
        <row r="73">
          <cell r="F73">
            <v>0</v>
          </cell>
          <cell r="G73">
            <v>0</v>
          </cell>
          <cell r="H73">
            <v>5577.3562883042769</v>
          </cell>
          <cell r="I73">
            <v>211964.99667875996</v>
          </cell>
          <cell r="J73">
            <v>532.3670185387507</v>
          </cell>
          <cell r="K73">
            <v>536.60701391693067</v>
          </cell>
          <cell r="L73">
            <v>536.60693461218887</v>
          </cell>
          <cell r="M73">
            <v>64882.097654851488</v>
          </cell>
          <cell r="N73">
            <v>705.31177593796235</v>
          </cell>
          <cell r="O73">
            <v>559.90600102422184</v>
          </cell>
          <cell r="P73">
            <v>559.91146347356687</v>
          </cell>
          <cell r="Q73">
            <v>48979.505158956381</v>
          </cell>
          <cell r="R73">
            <v>722.67771333656822</v>
          </cell>
          <cell r="S73">
            <v>581.03413321343078</v>
          </cell>
          <cell r="T73">
            <v>580.94468334484941</v>
          </cell>
          <cell r="U73">
            <v>45272.789291639703</v>
          </cell>
          <cell r="V73">
            <v>1260.4694603420846</v>
          </cell>
          <cell r="W73">
            <v>632.05215445444219</v>
          </cell>
          <cell r="X73">
            <v>631.91715211918415</v>
          </cell>
          <cell r="Y73">
            <v>55691.648711636291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23824.146098931633</v>
          </cell>
          <cell r="EK73">
            <v>0</v>
          </cell>
          <cell r="EL73">
            <v>0</v>
          </cell>
          <cell r="EM73">
            <v>0</v>
          </cell>
          <cell r="EN73">
            <v>10160.884090029396</v>
          </cell>
          <cell r="EO73">
            <v>15.33342009052874</v>
          </cell>
          <cell r="EP73">
            <v>0.76216680064671971</v>
          </cell>
          <cell r="EQ73">
            <v>0.76243941960982442</v>
          </cell>
          <cell r="ER73">
            <v>7438.8934633614517</v>
          </cell>
          <cell r="ES73">
            <v>17.184490386175177</v>
          </cell>
          <cell r="ET73">
            <v>1.3785260246531366</v>
          </cell>
          <cell r="EU73">
            <v>1.3696614190861307</v>
          </cell>
          <cell r="EV73">
            <v>6142.871545548287</v>
          </cell>
          <cell r="EW73">
            <v>65.811214603061998</v>
          </cell>
          <cell r="EX73">
            <v>4.2683112416717197</v>
          </cell>
          <cell r="EY73">
            <v>4.2534060498798496</v>
          </cell>
          <cell r="EZ73">
            <v>6550.3506031335928</v>
          </cell>
        </row>
        <row r="74">
          <cell r="F74">
            <v>0</v>
          </cell>
          <cell r="G74">
            <v>0</v>
          </cell>
          <cell r="H74">
            <v>1040.1667331420806</v>
          </cell>
          <cell r="I74">
            <v>22860.357534621256</v>
          </cell>
          <cell r="J74">
            <v>127.11097856696571</v>
          </cell>
          <cell r="K74">
            <v>127.11097856704204</v>
          </cell>
          <cell r="L74">
            <v>127.11097856704205</v>
          </cell>
          <cell r="M74">
            <v>14404.968465517433</v>
          </cell>
          <cell r="N74">
            <v>147.09236261393551</v>
          </cell>
          <cell r="O74">
            <v>147.09236257141237</v>
          </cell>
          <cell r="P74">
            <v>147.09236257141237</v>
          </cell>
          <cell r="Q74">
            <v>14490.767619097942</v>
          </cell>
          <cell r="R74">
            <v>176.60311503859694</v>
          </cell>
          <cell r="S74">
            <v>176.60312285577504</v>
          </cell>
          <cell r="T74">
            <v>176.60312285577504</v>
          </cell>
          <cell r="U74">
            <v>14496.320549723452</v>
          </cell>
          <cell r="V74">
            <v>211.61634854646948</v>
          </cell>
          <cell r="W74">
            <v>211.61588403112768</v>
          </cell>
          <cell r="X74">
            <v>211.61588403112773</v>
          </cell>
          <cell r="Y74">
            <v>14999.577025682482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3291.7322982765977</v>
          </cell>
          <cell r="EK74">
            <v>0</v>
          </cell>
          <cell r="EL74">
            <v>0</v>
          </cell>
          <cell r="EM74">
            <v>0</v>
          </cell>
          <cell r="EN74">
            <v>2227.148408247197</v>
          </cell>
          <cell r="EO74">
            <v>2.2232023158697189</v>
          </cell>
          <cell r="EP74">
            <v>2.2232023139320489</v>
          </cell>
          <cell r="EQ74">
            <v>2.2232023139320494</v>
          </cell>
          <cell r="ER74">
            <v>2144.2971155839409</v>
          </cell>
          <cell r="ES74">
            <v>5.7385095948325633</v>
          </cell>
          <cell r="ET74">
            <v>5.7385102907936263</v>
          </cell>
          <cell r="EU74">
            <v>5.7385102907936272</v>
          </cell>
          <cell r="EV74">
            <v>2076.6123333834066</v>
          </cell>
          <cell r="EW74">
            <v>9.6521485403638323</v>
          </cell>
          <cell r="EX74">
            <v>9.652087843782315</v>
          </cell>
          <cell r="EY74">
            <v>9.652087843782315</v>
          </cell>
          <cell r="EZ74">
            <v>2066.9857132713132</v>
          </cell>
        </row>
        <row r="75">
          <cell r="F75">
            <v>0</v>
          </cell>
          <cell r="G75">
            <v>0</v>
          </cell>
          <cell r="H75">
            <v>421.88348539877802</v>
          </cell>
          <cell r="I75">
            <v>8747.4608129352546</v>
          </cell>
          <cell r="J75">
            <v>0.59798571536056599</v>
          </cell>
          <cell r="K75">
            <v>-7.088874606228934E-6</v>
          </cell>
          <cell r="L75">
            <v>7.4889265910815793E-11</v>
          </cell>
          <cell r="M75">
            <v>2879.2732926628437</v>
          </cell>
          <cell r="N75">
            <v>-2.3549799187145743E-2</v>
          </cell>
          <cell r="O75">
            <v>1.8710784380180366E-7</v>
          </cell>
          <cell r="P75">
            <v>-1.48974661495771E-12</v>
          </cell>
          <cell r="Q75">
            <v>11102.005679554341</v>
          </cell>
          <cell r="R75">
            <v>-9.0731430176440961E-2</v>
          </cell>
          <cell r="S75">
            <v>7.2087931159918737E-7</v>
          </cell>
          <cell r="T75">
            <v>-5.7326426827764013E-12</v>
          </cell>
          <cell r="U75">
            <v>1868.1407261177699</v>
          </cell>
          <cell r="V75">
            <v>-33.91773855340557</v>
          </cell>
          <cell r="W75">
            <v>9.2536646115056397E-4</v>
          </cell>
          <cell r="X75">
            <v>-1.5633260674320638E-8</v>
          </cell>
          <cell r="Y75">
            <v>5633.6005976651159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2654.8707765218064</v>
          </cell>
          <cell r="EK75">
            <v>0</v>
          </cell>
          <cell r="EL75">
            <v>0</v>
          </cell>
          <cell r="EM75">
            <v>0</v>
          </cell>
          <cell r="EN75">
            <v>462.51465366122613</v>
          </cell>
          <cell r="EO75">
            <v>0</v>
          </cell>
          <cell r="EP75">
            <v>0</v>
          </cell>
          <cell r="EQ75">
            <v>0</v>
          </cell>
          <cell r="ER75">
            <v>1732.907624759375</v>
          </cell>
          <cell r="ES75">
            <v>0</v>
          </cell>
          <cell r="ET75">
            <v>0</v>
          </cell>
          <cell r="EU75">
            <v>0</v>
          </cell>
          <cell r="EV75">
            <v>-196.31416206387681</v>
          </cell>
          <cell r="EW75">
            <v>-17.385233735995026</v>
          </cell>
          <cell r="EX75">
            <v>2.3721052363581628E-4</v>
          </cell>
          <cell r="EY75">
            <v>-2.6718317550513033E-9</v>
          </cell>
          <cell r="EZ75">
            <v>861.25595331254988</v>
          </cell>
        </row>
        <row r="76">
          <cell r="F76">
            <v>0</v>
          </cell>
          <cell r="G76">
            <v>0</v>
          </cell>
          <cell r="H76">
            <v>15.804458589973654</v>
          </cell>
          <cell r="I76">
            <v>863.68263135043685</v>
          </cell>
          <cell r="J76">
            <v>5.4440521357803716E-2</v>
          </cell>
          <cell r="K76">
            <v>-1.3320709379915919E-6</v>
          </cell>
          <cell r="L76">
            <v>2.76440303981218E-11</v>
          </cell>
          <cell r="M76">
            <v>721.31508894794138</v>
          </cell>
          <cell r="N76">
            <v>-1.4266255892121489</v>
          </cell>
          <cell r="O76">
            <v>8.1511139675134725E-5</v>
          </cell>
          <cell r="P76">
            <v>-2.6998512757206715E-9</v>
          </cell>
          <cell r="Q76">
            <v>311.47946088741134</v>
          </cell>
          <cell r="R76">
            <v>-1.9896463876774706</v>
          </cell>
          <cell r="S76">
            <v>-1.0481596425476567E-3</v>
          </cell>
          <cell r="T76">
            <v>8.1198273225986241E-8</v>
          </cell>
          <cell r="U76">
            <v>77.959795242960524</v>
          </cell>
          <cell r="V76">
            <v>-5.8752826031854006</v>
          </cell>
          <cell r="W76">
            <v>-3.4156404270745378E-3</v>
          </cell>
          <cell r="X76">
            <v>-6.0943972715028487E-7</v>
          </cell>
          <cell r="Y76">
            <v>-74.256216650418864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4288.0970392170775</v>
          </cell>
          <cell r="EK76">
            <v>0</v>
          </cell>
          <cell r="EL76">
            <v>0</v>
          </cell>
          <cell r="EM76">
            <v>0</v>
          </cell>
          <cell r="EN76">
            <v>2302.2139828410086</v>
          </cell>
          <cell r="EO76">
            <v>-6.6817481998578003</v>
          </cell>
          <cell r="EP76">
            <v>1.9196614276784853E-4</v>
          </cell>
          <cell r="EQ76">
            <v>-4.2438444496439367E-9</v>
          </cell>
          <cell r="ER76">
            <v>972.65312648072734</v>
          </cell>
          <cell r="ES76">
            <v>-7.2357605089475614</v>
          </cell>
          <cell r="ET76">
            <v>-5.1532523212219211E-3</v>
          </cell>
          <cell r="EU76">
            <v>2.5623674979540876E-7</v>
          </cell>
          <cell r="EV76">
            <v>151.21581404395744</v>
          </cell>
          <cell r="EW76">
            <v>-24.21315151690002</v>
          </cell>
          <cell r="EX76">
            <v>-1.4470214866468042E-2</v>
          </cell>
          <cell r="EY76">
            <v>-3.1501007559911366E-6</v>
          </cell>
          <cell r="EZ76">
            <v>-343.63900888912843</v>
          </cell>
        </row>
        <row r="77">
          <cell r="F77">
            <v>0</v>
          </cell>
          <cell r="G77">
            <v>0</v>
          </cell>
          <cell r="H77">
            <v>0.3981387612868813</v>
          </cell>
          <cell r="I77">
            <v>138.82745273074386</v>
          </cell>
          <cell r="J77">
            <v>-1.443777994797335E-7</v>
          </cell>
          <cell r="K77">
            <v>0</v>
          </cell>
          <cell r="L77">
            <v>0</v>
          </cell>
          <cell r="M77">
            <v>74.288479304864225</v>
          </cell>
          <cell r="N77">
            <v>8.0475428724646307E-6</v>
          </cell>
          <cell r="O77">
            <v>-1.006028794270364E-19</v>
          </cell>
          <cell r="P77">
            <v>0</v>
          </cell>
          <cell r="Q77">
            <v>45.073786444695521</v>
          </cell>
          <cell r="R77">
            <v>-1.0117201016450694E-4</v>
          </cell>
          <cell r="S77">
            <v>1.0693462351945884E-17</v>
          </cell>
          <cell r="T77">
            <v>-5.5511151231257827E-17</v>
          </cell>
          <cell r="U77">
            <v>18.236209615104197</v>
          </cell>
          <cell r="V77">
            <v>-2.7186230511244897E-4</v>
          </cell>
          <cell r="W77">
            <v>-7.0416852364584604E-16</v>
          </cell>
          <cell r="X77">
            <v>-8.9964569127687357E-19</v>
          </cell>
          <cell r="Y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692.59735328735132</v>
          </cell>
          <cell r="EK77">
            <v>0</v>
          </cell>
          <cell r="EL77">
            <v>0</v>
          </cell>
          <cell r="EM77">
            <v>0</v>
          </cell>
          <cell r="EN77">
            <v>371.45314266292593</v>
          </cell>
          <cell r="EO77">
            <v>2.0124769306425823E-5</v>
          </cell>
          <cell r="EP77">
            <v>-5.0301439713518187E-19</v>
          </cell>
          <cell r="EQ77">
            <v>0</v>
          </cell>
          <cell r="ER77">
            <v>225.37546769670601</v>
          </cell>
          <cell r="ES77">
            <v>-5.3344057551093767E-4</v>
          </cell>
          <cell r="ET77">
            <v>5.3467311759729413E-17</v>
          </cell>
          <cell r="EU77">
            <v>0</v>
          </cell>
          <cell r="EV77">
            <v>91.183766094862918</v>
          </cell>
          <cell r="EW77">
            <v>-1.4443638596154107E-3</v>
          </cell>
          <cell r="EX77">
            <v>-2.1157166026880169E-15</v>
          </cell>
          <cell r="EY77">
            <v>-4.4982284563843671E-18</v>
          </cell>
          <cell r="EZ77">
            <v>-16.795812260410862</v>
          </cell>
        </row>
        <row r="78">
          <cell r="F78">
            <v>0</v>
          </cell>
          <cell r="G78">
            <v>0</v>
          </cell>
          <cell r="H78">
            <v>41241.578140185949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490272.33683390915</v>
          </cell>
          <cell r="N78">
            <v>551778.1647777349</v>
          </cell>
          <cell r="O78">
            <v>584004.6152669664</v>
          </cell>
          <cell r="P78">
            <v>605206.65458292246</v>
          </cell>
          <cell r="Q78">
            <v>987704.9866843035</v>
          </cell>
          <cell r="R78">
            <v>1027905.4293304338</v>
          </cell>
          <cell r="S78">
            <v>1044231.7462987512</v>
          </cell>
          <cell r="T78">
            <v>1054250.9147546934</v>
          </cell>
          <cell r="U78">
            <v>2562461.0295094331</v>
          </cell>
          <cell r="V78">
            <v>2744649.1896956149</v>
          </cell>
          <cell r="W78">
            <v>2828846.7279147939</v>
          </cell>
          <cell r="X78">
            <v>2882795.8537107538</v>
          </cell>
          <cell r="Y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2046.1810538079035</v>
          </cell>
          <cell r="EK78">
            <v>0</v>
          </cell>
          <cell r="EL78">
            <v>0</v>
          </cell>
          <cell r="EM78">
            <v>0</v>
          </cell>
          <cell r="EN78">
            <v>1456.7221598729138</v>
          </cell>
          <cell r="EO78">
            <v>32.983467923244035</v>
          </cell>
          <cell r="EP78">
            <v>28.077957248263978</v>
          </cell>
          <cell r="EQ78">
            <v>27.985351745921236</v>
          </cell>
          <cell r="ER78">
            <v>1343.5932494631327</v>
          </cell>
          <cell r="ES78">
            <v>82.361293459389088</v>
          </cell>
          <cell r="ET78">
            <v>73.164468639826453</v>
          </cell>
          <cell r="EU78">
            <v>74.350436800232671</v>
          </cell>
          <cell r="EV78">
            <v>2235.2535387944217</v>
          </cell>
          <cell r="EW78">
            <v>299.65383594597864</v>
          </cell>
          <cell r="EX78">
            <v>262.47845785784364</v>
          </cell>
          <cell r="EY78">
            <v>265.27059728100892</v>
          </cell>
          <cell r="EZ78">
            <v>2592.9112191362528</v>
          </cell>
        </row>
        <row r="79">
          <cell r="F79">
            <v>0</v>
          </cell>
          <cell r="G79">
            <v>0</v>
          </cell>
          <cell r="H79">
            <v>8074.0998796355816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155193.18409941869</v>
          </cell>
          <cell r="N79">
            <v>182558.54531128536</v>
          </cell>
          <cell r="O79">
            <v>212357.41124702978</v>
          </cell>
          <cell r="P79">
            <v>242882.63696779404</v>
          </cell>
          <cell r="Q79">
            <v>324635.56009323115</v>
          </cell>
          <cell r="R79">
            <v>356278.15410204057</v>
          </cell>
          <cell r="S79">
            <v>386818.46607324504</v>
          </cell>
          <cell r="T79">
            <v>419091.35990805121</v>
          </cell>
          <cell r="U79">
            <v>839814.41504693264</v>
          </cell>
          <cell r="V79">
            <v>938309.03711051075</v>
          </cell>
          <cell r="W79">
            <v>1040189.1913913316</v>
          </cell>
          <cell r="X79">
            <v>1144282.148274238</v>
          </cell>
          <cell r="Y79">
            <v>1276442.3470578778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12245.635084928328</v>
          </cell>
          <cell r="EK79">
            <v>0</v>
          </cell>
          <cell r="EL79">
            <v>0</v>
          </cell>
          <cell r="EM79">
            <v>0</v>
          </cell>
          <cell r="EN79">
            <v>3617.9006488740283</v>
          </cell>
          <cell r="EO79">
            <v>8.4333810497908086</v>
          </cell>
          <cell r="EP79">
            <v>0.41919174035569584</v>
          </cell>
          <cell r="EQ79">
            <v>0.4193416807854034</v>
          </cell>
          <cell r="ER79">
            <v>2645.8168313508777</v>
          </cell>
          <cell r="ES79">
            <v>8.277128939122294</v>
          </cell>
          <cell r="ET79">
            <v>0.69981723839589371</v>
          </cell>
          <cell r="EU79">
            <v>0.69492082626322327</v>
          </cell>
          <cell r="EV79">
            <v>2375.2160278741389</v>
          </cell>
          <cell r="EW79">
            <v>34.482342571492694</v>
          </cell>
          <cell r="EX79">
            <v>2.2222249907576357</v>
          </cell>
          <cell r="EY79">
            <v>2.2146989777291286</v>
          </cell>
          <cell r="EZ79">
            <v>2824.0262038381452</v>
          </cell>
        </row>
        <row r="80">
          <cell r="F80">
            <v>0</v>
          </cell>
          <cell r="G80">
            <v>0</v>
          </cell>
          <cell r="H80">
            <v>1616.3752467677921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53736.591041278138</v>
          </cell>
          <cell r="N80">
            <v>63212.015059880025</v>
          </cell>
          <cell r="O80">
            <v>73530.055002002497</v>
          </cell>
          <cell r="P80">
            <v>84099.601470928639</v>
          </cell>
          <cell r="Q80">
            <v>112621.09157299194</v>
          </cell>
          <cell r="R80">
            <v>123615.27544264901</v>
          </cell>
          <cell r="S80">
            <v>134231.14364508091</v>
          </cell>
          <cell r="T80">
            <v>145447.93071684806</v>
          </cell>
          <cell r="U80">
            <v>291234.11261510995</v>
          </cell>
          <cell r="V80">
            <v>325381.32536129636</v>
          </cell>
          <cell r="W80">
            <v>360699.20847794507</v>
          </cell>
          <cell r="X80">
            <v>396785.6565088206</v>
          </cell>
          <cell r="Y80">
            <v>443124.90949169721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1316.6929193106391</v>
          </cell>
          <cell r="EK80">
            <v>0</v>
          </cell>
          <cell r="EL80">
            <v>0</v>
          </cell>
          <cell r="EM80">
            <v>0</v>
          </cell>
          <cell r="EN80">
            <v>802.67487138331308</v>
          </cell>
          <cell r="EO80">
            <v>0.8892809263478878</v>
          </cell>
          <cell r="EP80">
            <v>0.88928092557281968</v>
          </cell>
          <cell r="EQ80">
            <v>0.88928092557281979</v>
          </cell>
          <cell r="ER80">
            <v>784.44236909713982</v>
          </cell>
          <cell r="ES80">
            <v>2.2358449343268223</v>
          </cell>
          <cell r="ET80">
            <v>2.2358452127631576</v>
          </cell>
          <cell r="EU80">
            <v>2.2358452127631576</v>
          </cell>
          <cell r="EV80">
            <v>762.95052523684899</v>
          </cell>
          <cell r="EW80">
            <v>3.6979332056639898</v>
          </cell>
          <cell r="EX80">
            <v>3.6979089083948136</v>
          </cell>
          <cell r="EY80">
            <v>3.6979089083948145</v>
          </cell>
          <cell r="EZ80">
            <v>761.47889463670731</v>
          </cell>
        </row>
        <row r="81">
          <cell r="F81">
            <v>0</v>
          </cell>
          <cell r="G81">
            <v>0</v>
          </cell>
          <cell r="H81">
            <v>1937.7839711125393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37246.364183860482</v>
          </cell>
          <cell r="N81">
            <v>43814.050874708497</v>
          </cell>
          <cell r="O81">
            <v>50965.778699287141</v>
          </cell>
          <cell r="P81">
            <v>58291.832872270577</v>
          </cell>
          <cell r="Q81">
            <v>77945.207926097268</v>
          </cell>
          <cell r="R81">
            <v>85545.191838083876</v>
          </cell>
          <cell r="S81">
            <v>92881.14039749949</v>
          </cell>
          <cell r="T81">
            <v>100633.06152790019</v>
          </cell>
          <cell r="U81">
            <v>201623.11867411062</v>
          </cell>
          <cell r="V81">
            <v>225268.36852764426</v>
          </cell>
          <cell r="W81">
            <v>249725.9032585852</v>
          </cell>
          <cell r="X81">
            <v>274714.87216253742</v>
          </cell>
          <cell r="Y81">
            <v>306521.54866090539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504.63535825566032</v>
          </cell>
          <cell r="EK81">
            <v>0</v>
          </cell>
          <cell r="EL81">
            <v>0</v>
          </cell>
          <cell r="EM81">
            <v>0</v>
          </cell>
          <cell r="EN81">
            <v>161.88012878142911</v>
          </cell>
          <cell r="EO81">
            <v>0</v>
          </cell>
          <cell r="EP81">
            <v>0</v>
          </cell>
          <cell r="EQ81">
            <v>0</v>
          </cell>
          <cell r="ER81">
            <v>606.51766866578123</v>
          </cell>
          <cell r="ES81">
            <v>0</v>
          </cell>
          <cell r="ET81">
            <v>0</v>
          </cell>
          <cell r="EU81">
            <v>0</v>
          </cell>
          <cell r="EV81">
            <v>99.251239058208455</v>
          </cell>
          <cell r="EW81">
            <v>-1.7385233735995018</v>
          </cell>
          <cell r="EX81">
            <v>2.3721052363581613E-5</v>
          </cell>
          <cell r="EY81">
            <v>-2.6718317550513033E-10</v>
          </cell>
          <cell r="EZ81">
            <v>288.70653994068442</v>
          </cell>
        </row>
        <row r="82">
          <cell r="F82">
            <v>0</v>
          </cell>
          <cell r="G82">
            <v>0</v>
          </cell>
          <cell r="H82">
            <v>42.425000643962697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1155.040522545524</v>
          </cell>
          <cell r="N82">
            <v>1762.2984257726839</v>
          </cell>
          <cell r="O82">
            <v>1910.7619287195321</v>
          </cell>
          <cell r="P82">
            <v>2011.9713667358315</v>
          </cell>
          <cell r="Q82">
            <v>2936.1872711942056</v>
          </cell>
          <cell r="R82">
            <v>3420.5302974199813</v>
          </cell>
          <cell r="S82">
            <v>3507.5171865184116</v>
          </cell>
          <cell r="T82">
            <v>3562.4696961130849</v>
          </cell>
          <cell r="U82">
            <v>7107.6468581549543</v>
          </cell>
          <cell r="V82">
            <v>8993.9108140948047</v>
          </cell>
          <cell r="W82">
            <v>9416.7421467738368</v>
          </cell>
          <cell r="X82">
            <v>9682.0703505259098</v>
          </cell>
          <cell r="Y82">
            <v>11858.708889670421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1724.2348234614124</v>
          </cell>
          <cell r="EK82">
            <v>0</v>
          </cell>
          <cell r="EL82">
            <v>0</v>
          </cell>
          <cell r="EM82">
            <v>0</v>
          </cell>
          <cell r="EN82">
            <v>1400.791281985054</v>
          </cell>
          <cell r="EO82">
            <v>-2.6726992799431204</v>
          </cell>
          <cell r="EP82">
            <v>7.6786457107139419E-5</v>
          </cell>
          <cell r="EQ82">
            <v>-1.697537779857575E-9</v>
          </cell>
          <cell r="ER82">
            <v>587.77410895282435</v>
          </cell>
          <cell r="ES82">
            <v>-3.6447210441238389</v>
          </cell>
          <cell r="ET82">
            <v>-2.0397415069064815E-3</v>
          </cell>
          <cell r="EU82">
            <v>1.0201808028982534E-7</v>
          </cell>
          <cell r="EV82">
            <v>143.07023684202287</v>
          </cell>
          <cell r="EW82">
            <v>-10.404319162922439</v>
          </cell>
          <cell r="EX82">
            <v>-6.3695282762060452E-3</v>
          </cell>
          <cell r="EY82">
            <v>-1.2312033125441548E-6</v>
          </cell>
          <cell r="EZ82">
            <v>-131.42982317855569</v>
          </cell>
        </row>
        <row r="83">
          <cell r="F83">
            <v>0</v>
          </cell>
          <cell r="G83">
            <v>0</v>
          </cell>
          <cell r="H83">
            <v>44.12200066972121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1184.6095599226896</v>
          </cell>
          <cell r="N83">
            <v>1807.4132654724644</v>
          </cell>
          <cell r="O83">
            <v>1959.677434094752</v>
          </cell>
          <cell r="P83">
            <v>2063.4778337242692</v>
          </cell>
          <cell r="Q83">
            <v>3011.3536653367778</v>
          </cell>
          <cell r="R83">
            <v>3508.095873033933</v>
          </cell>
          <cell r="S83">
            <v>3597.3096264932828</v>
          </cell>
          <cell r="T83">
            <v>3653.66892033358</v>
          </cell>
          <cell r="U83">
            <v>7253.2114658099681</v>
          </cell>
          <cell r="V83">
            <v>9178.1061075674679</v>
          </cell>
          <cell r="W83">
            <v>9609.5970259397654</v>
          </cell>
          <cell r="X83">
            <v>9880.3591513046813</v>
          </cell>
          <cell r="Y83">
            <v>12053.00197611878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277.03894131494053</v>
          </cell>
          <cell r="EK83">
            <v>0</v>
          </cell>
          <cell r="EL83">
            <v>0</v>
          </cell>
          <cell r="EM83">
            <v>0</v>
          </cell>
          <cell r="EN83">
            <v>148.5812570651704</v>
          </cell>
          <cell r="EO83">
            <v>8.0499077225703323E-6</v>
          </cell>
          <cell r="EP83">
            <v>-2.0120575885407279E-19</v>
          </cell>
          <cell r="EQ83">
            <v>0</v>
          </cell>
          <cell r="ER83">
            <v>90.150187078682421</v>
          </cell>
          <cell r="ES83">
            <v>-2.1337623020437513E-4</v>
          </cell>
          <cell r="ET83">
            <v>2.1386924703891768E-17</v>
          </cell>
          <cell r="EU83">
            <v>0</v>
          </cell>
          <cell r="EV83">
            <v>36.473506437945183</v>
          </cell>
          <cell r="EW83">
            <v>-5.7774554384616423E-4</v>
          </cell>
          <cell r="EX83">
            <v>-8.4628664107520667E-16</v>
          </cell>
          <cell r="EY83">
            <v>-1.7992913825537471E-18</v>
          </cell>
          <cell r="EZ83">
            <v>-6.718324904164346</v>
          </cell>
        </row>
        <row r="84">
          <cell r="F84">
            <v>0</v>
          </cell>
          <cell r="G84">
            <v>0</v>
          </cell>
          <cell r="H84">
            <v>36553.358473904998</v>
          </cell>
          <cell r="I84">
            <v>64123.766029936465</v>
          </cell>
          <cell r="J84">
            <v>60340.37986332782</v>
          </cell>
          <cell r="K84">
            <v>53220.844420973022</v>
          </cell>
          <cell r="L84">
            <v>46101.973743826078</v>
          </cell>
          <cell r="M84">
            <v>100896.44443117012</v>
          </cell>
          <cell r="N84">
            <v>106137.41395557563</v>
          </cell>
          <cell r="O84">
            <v>107228.2558608472</v>
          </cell>
          <cell r="P84">
            <v>106892.12748849092</v>
          </cell>
          <cell r="Q84">
            <v>119936.58919920377</v>
          </cell>
          <cell r="R84">
            <v>119704.32315938853</v>
          </cell>
          <cell r="S84">
            <v>117704.562548602</v>
          </cell>
          <cell r="T84">
            <v>114923.65379626698</v>
          </cell>
          <cell r="U84">
            <v>264960.73389609734</v>
          </cell>
          <cell r="V84">
            <v>258885.06093340117</v>
          </cell>
          <cell r="W84">
            <v>241181.31374537654</v>
          </cell>
          <cell r="X84">
            <v>222957.68287813989</v>
          </cell>
          <cell r="Y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0.40264671264873075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</row>
        <row r="85">
          <cell r="F85">
            <v>0</v>
          </cell>
          <cell r="G85">
            <v>0</v>
          </cell>
          <cell r="H85">
            <v>16161.756384014312</v>
          </cell>
          <cell r="I85">
            <v>46623.178190075501</v>
          </cell>
          <cell r="J85">
            <v>54403.732959994282</v>
          </cell>
          <cell r="K85">
            <v>54464.940648368261</v>
          </cell>
          <cell r="L85">
            <v>54526.300822145924</v>
          </cell>
          <cell r="M85">
            <v>75872.992472807528</v>
          </cell>
          <cell r="N85">
            <v>89298.881188724961</v>
          </cell>
          <cell r="O85">
            <v>100170.31101109694</v>
          </cell>
          <cell r="P85">
            <v>111032.19060005329</v>
          </cell>
          <cell r="Q85">
            <v>102278.2207573293</v>
          </cell>
          <cell r="R85">
            <v>105157.87231783371</v>
          </cell>
          <cell r="S85">
            <v>110434.93598402002</v>
          </cell>
          <cell r="T85">
            <v>115695.52127436711</v>
          </cell>
          <cell r="U85">
            <v>210657.50861829642</v>
          </cell>
          <cell r="V85">
            <v>231921.61811171903</v>
          </cell>
          <cell r="W85">
            <v>235718.97419725894</v>
          </cell>
          <cell r="X85">
            <v>239479.25759736911</v>
          </cell>
          <cell r="Y85">
            <v>250132.81633606239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</row>
        <row r="86">
          <cell r="F86">
            <v>0</v>
          </cell>
          <cell r="G86">
            <v>0</v>
          </cell>
          <cell r="H86">
            <v>1394.030207932002</v>
          </cell>
          <cell r="I86">
            <v>6182.4798286501546</v>
          </cell>
          <cell r="J86">
            <v>7214.2225108976327</v>
          </cell>
          <cell r="K86">
            <v>7222.3389738549131</v>
          </cell>
          <cell r="L86">
            <v>7230.4756571825983</v>
          </cell>
          <cell r="M86">
            <v>10442.598114171866</v>
          </cell>
          <cell r="N86">
            <v>12286.59698573935</v>
          </cell>
          <cell r="O86">
            <v>13728.706793646783</v>
          </cell>
          <cell r="P86">
            <v>15169.551437660135</v>
          </cell>
          <cell r="Q86">
            <v>14157.780765499065</v>
          </cell>
          <cell r="R86">
            <v>14645.208244683963</v>
          </cell>
          <cell r="S86">
            <v>15433.883635387072</v>
          </cell>
          <cell r="T86">
            <v>16220.295689317205</v>
          </cell>
          <cell r="U86">
            <v>28731.137893667994</v>
          </cell>
          <cell r="V86">
            <v>31567.347478952433</v>
          </cell>
          <cell r="W86">
            <v>32108.10507847687</v>
          </cell>
          <cell r="X86">
            <v>32643.8170772054</v>
          </cell>
          <cell r="Y86">
            <v>34838.924078174576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36306.493288479134</v>
          </cell>
          <cell r="EK86">
            <v>1349.9807347953188</v>
          </cell>
          <cell r="EL86">
            <v>1487.9819042255085</v>
          </cell>
          <cell r="EM86">
            <v>1621.3618380907305</v>
          </cell>
          <cell r="EN86">
            <v>27645.256347263326</v>
          </cell>
          <cell r="EO86">
            <v>2493.61164593182</v>
          </cell>
          <cell r="EP86">
            <v>2504.1164694209592</v>
          </cell>
          <cell r="EQ86">
            <v>2607.168250827066</v>
          </cell>
          <cell r="ER86">
            <v>26787.644757575406</v>
          </cell>
          <cell r="ES86">
            <v>3913.5006883394544</v>
          </cell>
          <cell r="ET86">
            <v>3845.9667083141994</v>
          </cell>
          <cell r="EU86">
            <v>3969.4817640881784</v>
          </cell>
          <cell r="EV86">
            <v>44736.703126943328</v>
          </cell>
          <cell r="EW86">
            <v>8717.8603269806881</v>
          </cell>
          <cell r="EX86">
            <v>8096.5120991636732</v>
          </cell>
          <cell r="EY86">
            <v>8252.078361548065</v>
          </cell>
          <cell r="EZ86">
            <v>53762.34111672813</v>
          </cell>
        </row>
        <row r="87">
          <cell r="F87">
            <v>0</v>
          </cell>
          <cell r="G87">
            <v>0</v>
          </cell>
          <cell r="H87">
            <v>5090.9532609645094</v>
          </cell>
          <cell r="I87">
            <v>14686.301129873784</v>
          </cell>
          <cell r="J87">
            <v>17137.175882398202</v>
          </cell>
          <cell r="K87">
            <v>17156.456304236002</v>
          </cell>
          <cell r="L87">
            <v>17175.784758975969</v>
          </cell>
          <cell r="M87">
            <v>23665.386799668719</v>
          </cell>
          <cell r="N87">
            <v>27855.390327909055</v>
          </cell>
          <cell r="O87">
            <v>31279.582727498404</v>
          </cell>
          <cell r="P87">
            <v>34700.766036261841</v>
          </cell>
          <cell r="Q87">
            <v>31851.590253372</v>
          </cell>
          <cell r="R87">
            <v>32693.748776478213</v>
          </cell>
          <cell r="S87">
            <v>34301.339927801826</v>
          </cell>
          <cell r="T87">
            <v>35903.788498580536</v>
          </cell>
          <cell r="U87">
            <v>65867.014859769944</v>
          </cell>
          <cell r="V87">
            <v>72555.075515512261</v>
          </cell>
          <cell r="W87">
            <v>73728.357618880371</v>
          </cell>
          <cell r="X87">
            <v>74890.041517129168</v>
          </cell>
          <cell r="Y87">
            <v>77764.699800086208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211964.99667875996</v>
          </cell>
          <cell r="EK87">
            <v>532.3670185387507</v>
          </cell>
          <cell r="EL87">
            <v>536.60701391693067</v>
          </cell>
          <cell r="EM87">
            <v>536.60693461218887</v>
          </cell>
          <cell r="EN87">
            <v>64882.097654851488</v>
          </cell>
          <cell r="EO87">
            <v>705.31177593796235</v>
          </cell>
          <cell r="EP87">
            <v>559.90600102422184</v>
          </cell>
          <cell r="EQ87">
            <v>559.91146347356687</v>
          </cell>
          <cell r="ER87">
            <v>48979.505158956381</v>
          </cell>
          <cell r="ES87">
            <v>722.67771333656822</v>
          </cell>
          <cell r="ET87">
            <v>581.03413321343078</v>
          </cell>
          <cell r="EU87">
            <v>580.94468334484941</v>
          </cell>
          <cell r="EV87">
            <v>45272.789291639703</v>
          </cell>
          <cell r="EW87">
            <v>1260.4694603420846</v>
          </cell>
          <cell r="EX87">
            <v>632.05215445444219</v>
          </cell>
          <cell r="EY87">
            <v>631.91715211918415</v>
          </cell>
          <cell r="EZ87">
            <v>55691.648711636291</v>
          </cell>
        </row>
        <row r="88">
          <cell r="F88">
            <v>0</v>
          </cell>
          <cell r="G88">
            <v>0</v>
          </cell>
          <cell r="H88">
            <v>3070.7337129627194</v>
          </cell>
          <cell r="I88">
            <v>8858.4038561143461</v>
          </cell>
          <cell r="J88">
            <v>10336.709262398914</v>
          </cell>
          <cell r="K88">
            <v>10348.338723189972</v>
          </cell>
          <cell r="L88">
            <v>10359.997156207726</v>
          </cell>
          <cell r="M88">
            <v>14447.149347068847</v>
          </cell>
          <cell r="N88">
            <v>17003.288392062987</v>
          </cell>
          <cell r="O88">
            <v>19068.901124241365</v>
          </cell>
          <cell r="P88">
            <v>21132.699414377454</v>
          </cell>
          <cell r="Q88">
            <v>19481.668515250796</v>
          </cell>
          <cell r="R88">
            <v>20037.459874206994</v>
          </cell>
          <cell r="S88">
            <v>21047.393157919076</v>
          </cell>
          <cell r="T88">
            <v>22054.189135842433</v>
          </cell>
          <cell r="U88">
            <v>40090.273351475436</v>
          </cell>
          <cell r="V88">
            <v>44131.805333183846</v>
          </cell>
          <cell r="W88">
            <v>44856.354331246679</v>
          </cell>
          <cell r="X88">
            <v>45573.848893639079</v>
          </cell>
          <cell r="Y88">
            <v>47662.18674995497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22860.357534621256</v>
          </cell>
          <cell r="EK88">
            <v>127.11097856696571</v>
          </cell>
          <cell r="EL88">
            <v>127.11097856704204</v>
          </cell>
          <cell r="EM88">
            <v>127.11097856704205</v>
          </cell>
          <cell r="EN88">
            <v>14404.968465517433</v>
          </cell>
          <cell r="EO88">
            <v>147.09236261393551</v>
          </cell>
          <cell r="EP88">
            <v>147.09236257141237</v>
          </cell>
          <cell r="EQ88">
            <v>147.09236257141237</v>
          </cell>
          <cell r="ER88">
            <v>14490.767619097942</v>
          </cell>
          <cell r="ES88">
            <v>176.60311503859694</v>
          </cell>
          <cell r="ET88">
            <v>176.60312285577504</v>
          </cell>
          <cell r="EU88">
            <v>176.60312285577504</v>
          </cell>
          <cell r="EV88">
            <v>14496.320549723452</v>
          </cell>
          <cell r="EW88">
            <v>211.61634854646948</v>
          </cell>
          <cell r="EX88">
            <v>211.61588403112768</v>
          </cell>
          <cell r="EY88">
            <v>211.61588403112773</v>
          </cell>
          <cell r="EZ88">
            <v>14999.577025682482</v>
          </cell>
        </row>
        <row r="89">
          <cell r="F89">
            <v>0</v>
          </cell>
          <cell r="G89">
            <v>0</v>
          </cell>
          <cell r="H89">
            <v>13.486302160542738</v>
          </cell>
          <cell r="I89">
            <v>46.962351435760453</v>
          </cell>
          <cell r="J89">
            <v>79.34952742221931</v>
          </cell>
          <cell r="K89">
            <v>71.897630779142816</v>
          </cell>
          <cell r="L89">
            <v>63.067405502791587</v>
          </cell>
          <cell r="M89">
            <v>94.580067978615944</v>
          </cell>
          <cell r="N89">
            <v>128.55673426706576</v>
          </cell>
          <cell r="O89">
            <v>132.22683414924813</v>
          </cell>
          <cell r="P89">
            <v>132.98885418516176</v>
          </cell>
          <cell r="Q89">
            <v>141.7942031375544</v>
          </cell>
          <cell r="R89">
            <v>149.12756550037921</v>
          </cell>
          <cell r="S89">
            <v>147.71733528491666</v>
          </cell>
          <cell r="T89">
            <v>144.91261191387261</v>
          </cell>
          <cell r="U89">
            <v>252.06003601030702</v>
          </cell>
          <cell r="V89">
            <v>330.71867150290188</v>
          </cell>
          <cell r="W89">
            <v>313.83075401013565</v>
          </cell>
          <cell r="X89">
            <v>291.65363848219596</v>
          </cell>
          <cell r="Y89">
            <v>361.0200525308822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8747.4608129352546</v>
          </cell>
          <cell r="EK89">
            <v>0.59798571536056599</v>
          </cell>
          <cell r="EL89">
            <v>-7.088874606228934E-6</v>
          </cell>
          <cell r="EM89">
            <v>7.4889265910815793E-11</v>
          </cell>
          <cell r="EN89">
            <v>2879.2732926628437</v>
          </cell>
          <cell r="EO89">
            <v>-2.3549799187145743E-2</v>
          </cell>
          <cell r="EP89">
            <v>1.8710784380180366E-7</v>
          </cell>
          <cell r="EQ89">
            <v>-1.48974661495771E-12</v>
          </cell>
          <cell r="ER89">
            <v>11102.005679554341</v>
          </cell>
          <cell r="ES89">
            <v>-9.0731430176440961E-2</v>
          </cell>
          <cell r="ET89">
            <v>7.2087931159918737E-7</v>
          </cell>
          <cell r="EU89">
            <v>-5.7326426827764013E-12</v>
          </cell>
          <cell r="EV89">
            <v>1868.1407261177699</v>
          </cell>
          <cell r="EW89">
            <v>-33.91773855340557</v>
          </cell>
          <cell r="EX89">
            <v>9.2536646115056397E-4</v>
          </cell>
          <cell r="EY89">
            <v>-1.5633260674320638E-8</v>
          </cell>
          <cell r="EZ89">
            <v>5633.6005976651159</v>
          </cell>
        </row>
        <row r="90">
          <cell r="F90">
            <v>0</v>
          </cell>
          <cell r="G90">
            <v>0</v>
          </cell>
          <cell r="H90">
            <v>16.183562592651285</v>
          </cell>
          <cell r="I90">
            <v>56.354821722912547</v>
          </cell>
          <cell r="J90">
            <v>95.219432906663172</v>
          </cell>
          <cell r="K90">
            <v>86.277156934971373</v>
          </cell>
          <cell r="L90">
            <v>75.680886603349904</v>
          </cell>
          <cell r="M90">
            <v>113.49608157433914</v>
          </cell>
          <cell r="N90">
            <v>154.26808112047891</v>
          </cell>
          <cell r="O90">
            <v>158.67220097909777</v>
          </cell>
          <cell r="P90">
            <v>159.58662502219408</v>
          </cell>
          <cell r="Q90">
            <v>170.15304376506529</v>
          </cell>
          <cell r="R90">
            <v>178.95307860045503</v>
          </cell>
          <cell r="S90">
            <v>177.26080234189996</v>
          </cell>
          <cell r="T90">
            <v>173.89513429664709</v>
          </cell>
          <cell r="U90">
            <v>302.47204321236842</v>
          </cell>
          <cell r="V90">
            <v>396.8624058034822</v>
          </cell>
          <cell r="W90">
            <v>376.59690481216273</v>
          </cell>
          <cell r="X90">
            <v>349.98436617863513</v>
          </cell>
          <cell r="Y90">
            <v>433.22406303705861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863.68263135043685</v>
          </cell>
          <cell r="EK90">
            <v>5.4440521357803716E-2</v>
          </cell>
          <cell r="EL90">
            <v>-1.3320709379915919E-6</v>
          </cell>
          <cell r="EM90">
            <v>2.76440303981218E-11</v>
          </cell>
          <cell r="EN90">
            <v>721.31508894794138</v>
          </cell>
          <cell r="EO90">
            <v>-1.4266255892121489</v>
          </cell>
          <cell r="EP90">
            <v>8.1511139675134725E-5</v>
          </cell>
          <cell r="EQ90">
            <v>-2.6998512757206715E-9</v>
          </cell>
          <cell r="ER90">
            <v>311.47946088741134</v>
          </cell>
          <cell r="ES90">
            <v>-1.9896463876774706</v>
          </cell>
          <cell r="ET90">
            <v>-1.0481596425476567E-3</v>
          </cell>
          <cell r="EU90">
            <v>8.1198273225986241E-8</v>
          </cell>
          <cell r="EV90">
            <v>77.959795242960524</v>
          </cell>
          <cell r="EW90">
            <v>-5.8752826031854006</v>
          </cell>
          <cell r="EX90">
            <v>-3.4156404270745378E-3</v>
          </cell>
          <cell r="EY90">
            <v>-6.0943972715028487E-7</v>
          </cell>
          <cell r="EZ90">
            <v>-74.256216650418864</v>
          </cell>
        </row>
        <row r="91">
          <cell r="F91">
            <v>0</v>
          </cell>
          <cell r="G91">
            <v>0</v>
          </cell>
          <cell r="H91">
            <v>45072.143972895705</v>
          </cell>
          <cell r="I91">
            <v>0</v>
          </cell>
          <cell r="J91">
            <v>269.30070298670876</v>
          </cell>
          <cell r="K91">
            <v>865.01673695352747</v>
          </cell>
          <cell r="L91">
            <v>1731.3094017695794</v>
          </cell>
          <cell r="M91">
            <v>78806.455298934568</v>
          </cell>
          <cell r="N91">
            <v>110604.02807920078</v>
          </cell>
          <cell r="O91">
            <v>136293.7808816951</v>
          </cell>
          <cell r="P91">
            <v>155979.23261209365</v>
          </cell>
          <cell r="Q91">
            <v>236075.02233491876</v>
          </cell>
          <cell r="R91">
            <v>272719.82554916141</v>
          </cell>
          <cell r="S91">
            <v>300722.93946711521</v>
          </cell>
          <cell r="T91">
            <v>320235.39333244401</v>
          </cell>
          <cell r="U91">
            <v>386925.34632355068</v>
          </cell>
          <cell r="V91">
            <v>418731.78770703141</v>
          </cell>
          <cell r="W91">
            <v>440987.23529063299</v>
          </cell>
          <cell r="X91">
            <v>453840.99161932705</v>
          </cell>
          <cell r="Y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138.82745273074386</v>
          </cell>
          <cell r="EK91">
            <v>-1.443777994797335E-7</v>
          </cell>
          <cell r="EL91">
            <v>0</v>
          </cell>
          <cell r="EM91">
            <v>0</v>
          </cell>
          <cell r="EN91">
            <v>74.288479304864225</v>
          </cell>
          <cell r="EO91">
            <v>8.0475428724646307E-6</v>
          </cell>
          <cell r="EP91">
            <v>-1.006028794270364E-19</v>
          </cell>
          <cell r="EQ91">
            <v>0</v>
          </cell>
          <cell r="ER91">
            <v>45.073786444695521</v>
          </cell>
          <cell r="ES91">
            <v>-1.0117201016450694E-4</v>
          </cell>
          <cell r="ET91">
            <v>1.0693462351945884E-17</v>
          </cell>
          <cell r="EU91">
            <v>-5.5511151231257827E-17</v>
          </cell>
          <cell r="EV91">
            <v>18.236209615104197</v>
          </cell>
          <cell r="EW91">
            <v>-2.7186230511244897E-4</v>
          </cell>
          <cell r="EX91">
            <v>-7.0416852364584604E-16</v>
          </cell>
          <cell r="EY91">
            <v>-8.9964569127687357E-19</v>
          </cell>
          <cell r="EZ91">
            <v>-3.3591002328638764</v>
          </cell>
        </row>
        <row r="92">
          <cell r="F92">
            <v>0</v>
          </cell>
          <cell r="G92">
            <v>0</v>
          </cell>
          <cell r="H92">
            <v>25743.292218086823</v>
          </cell>
          <cell r="I92">
            <v>0</v>
          </cell>
          <cell r="J92">
            <v>216.79823258185496</v>
          </cell>
          <cell r="K92">
            <v>945.96602122728871</v>
          </cell>
          <cell r="L92">
            <v>2178.4788682267726</v>
          </cell>
          <cell r="M92">
            <v>95420.39468187475</v>
          </cell>
          <cell r="N92">
            <v>155909.02423966822</v>
          </cell>
          <cell r="O92">
            <v>213990.03817338249</v>
          </cell>
          <cell r="P92">
            <v>269970.94994308264</v>
          </cell>
          <cell r="Q92">
            <v>358945.11491985864</v>
          </cell>
          <cell r="R92">
            <v>429605.34506853716</v>
          </cell>
          <cell r="S92">
            <v>496916.20505755371</v>
          </cell>
          <cell r="T92">
            <v>560930.63607489027</v>
          </cell>
          <cell r="U92">
            <v>624503.91725284723</v>
          </cell>
          <cell r="V92">
            <v>686483.47160511115</v>
          </cell>
          <cell r="W92">
            <v>744479.21133004082</v>
          </cell>
          <cell r="X92">
            <v>798361.43143776897</v>
          </cell>
          <cell r="Y92">
            <v>809001.55663260771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19978.042086366808</v>
          </cell>
          <cell r="EK92">
            <v>20345.084172733616</v>
          </cell>
          <cell r="EL92">
            <v>20712.126259100431</v>
          </cell>
          <cell r="EM92">
            <v>21298.872045477212</v>
          </cell>
          <cell r="EN92">
            <v>21885.617831853993</v>
          </cell>
          <cell r="EO92">
            <v>22472.363618230775</v>
          </cell>
          <cell r="EP92">
            <v>23059.10940460756</v>
          </cell>
          <cell r="EQ92">
            <v>23645.855190984341</v>
          </cell>
          <cell r="ER92">
            <v>24232.600977361122</v>
          </cell>
          <cell r="ES92">
            <v>24819.346763737904</v>
          </cell>
          <cell r="ET92">
            <v>25406.092550114688</v>
          </cell>
          <cell r="EU92">
            <v>25992.83833649147</v>
          </cell>
          <cell r="EV92">
            <v>26579.584122868251</v>
          </cell>
          <cell r="EW92">
            <v>27166.329909245032</v>
          </cell>
          <cell r="EX92">
            <v>27753.075695621817</v>
          </cell>
          <cell r="EY92">
            <v>28339.821481998599</v>
          </cell>
          <cell r="EZ92">
            <v>28926.56726837538</v>
          </cell>
        </row>
        <row r="93">
          <cell r="F93">
            <v>0</v>
          </cell>
          <cell r="G93">
            <v>0</v>
          </cell>
          <cell r="H93">
            <v>1893.0744716788538</v>
          </cell>
          <cell r="I93">
            <v>0</v>
          </cell>
          <cell r="J93">
            <v>17.865627965257467</v>
          </cell>
          <cell r="K93">
            <v>77.953942713258371</v>
          </cell>
          <cell r="L93">
            <v>179.52126512479734</v>
          </cell>
          <cell r="M93">
            <v>7863.2803016083526</v>
          </cell>
          <cell r="N93">
            <v>12848.881609739909</v>
          </cell>
          <cell r="O93">
            <v>17638.283459530274</v>
          </cell>
          <cell r="P93">
            <v>22256.788198568396</v>
          </cell>
          <cell r="Q93">
            <v>29989.982302793811</v>
          </cell>
          <cell r="R93">
            <v>36073.045877550801</v>
          </cell>
          <cell r="S93">
            <v>41869.65862400741</v>
          </cell>
          <cell r="T93">
            <v>47385.507629620144</v>
          </cell>
          <cell r="U93">
            <v>52992.085719980518</v>
          </cell>
          <cell r="V93">
            <v>58393.832583542113</v>
          </cell>
          <cell r="W93">
            <v>63453.269224873489</v>
          </cell>
          <cell r="X93">
            <v>68159.885136100318</v>
          </cell>
          <cell r="Y93">
            <v>69296.395645315628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4584.2225989827475</v>
          </cell>
          <cell r="EK93">
            <v>4668.445197965495</v>
          </cell>
          <cell r="EL93">
            <v>4752.6677969482398</v>
          </cell>
          <cell r="EM93">
            <v>4887.3042784481895</v>
          </cell>
          <cell r="EN93">
            <v>5021.9407599481392</v>
          </cell>
          <cell r="EO93">
            <v>5156.5772414480889</v>
          </cell>
          <cell r="EP93">
            <v>5291.2137229480404</v>
          </cell>
          <cell r="EQ93">
            <v>5425.8502044479901</v>
          </cell>
          <cell r="ER93">
            <v>5560.4866859479398</v>
          </cell>
          <cell r="ES93">
            <v>5695.1231674478895</v>
          </cell>
          <cell r="ET93">
            <v>5829.759648947841</v>
          </cell>
          <cell r="EU93">
            <v>5964.3961304477907</v>
          </cell>
          <cell r="EV93">
            <v>6099.0326119477404</v>
          </cell>
          <cell r="EW93">
            <v>6233.6690934476901</v>
          </cell>
          <cell r="EX93">
            <v>6368.3055749476416</v>
          </cell>
          <cell r="EY93">
            <v>6502.9420564475913</v>
          </cell>
          <cell r="EZ93">
            <v>6637.578537947541</v>
          </cell>
        </row>
        <row r="94">
          <cell r="F94">
            <v>0</v>
          </cell>
          <cell r="G94">
            <v>0</v>
          </cell>
          <cell r="H94">
            <v>9730.9644584368179</v>
          </cell>
          <cell r="I94">
            <v>0</v>
          </cell>
          <cell r="J94">
            <v>81.949731915941186</v>
          </cell>
          <cell r="K94">
            <v>357.57515602391516</v>
          </cell>
          <cell r="L94">
            <v>823.46501218972003</v>
          </cell>
          <cell r="M94">
            <v>36068.909189748651</v>
          </cell>
          <cell r="N94">
            <v>58933.009115780384</v>
          </cell>
          <cell r="O94">
            <v>80885.607490090624</v>
          </cell>
          <cell r="P94">
            <v>102042.96946153595</v>
          </cell>
          <cell r="Q94">
            <v>135416.27183011011</v>
          </cell>
          <cell r="R94">
            <v>161957.88501887667</v>
          </cell>
          <cell r="S94">
            <v>187240.17561003371</v>
          </cell>
          <cell r="T94">
            <v>211282.30046996311</v>
          </cell>
          <cell r="U94">
            <v>235075.63718727545</v>
          </cell>
          <cell r="V94">
            <v>258313.98867270944</v>
          </cell>
          <cell r="W94">
            <v>280055.50649497751</v>
          </cell>
          <cell r="X94">
            <v>300251.04723254539</v>
          </cell>
          <cell r="Y94">
            <v>304105.37962621957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2706.7287656660351</v>
          </cell>
          <cell r="EK94">
            <v>2756.4575313320702</v>
          </cell>
          <cell r="EL94">
            <v>2806.1862969981053</v>
          </cell>
          <cell r="EM94">
            <v>2885.6816595192977</v>
          </cell>
          <cell r="EN94">
            <v>2965.1770220404901</v>
          </cell>
          <cell r="EO94">
            <v>3044.6723845616825</v>
          </cell>
          <cell r="EP94">
            <v>3124.1677470828763</v>
          </cell>
          <cell r="EQ94">
            <v>3203.6631096040687</v>
          </cell>
          <cell r="ER94">
            <v>3283.1584721252611</v>
          </cell>
          <cell r="ES94">
            <v>3362.6538346464536</v>
          </cell>
          <cell r="ET94">
            <v>3442.1491971676473</v>
          </cell>
          <cell r="EU94">
            <v>3521.6445596888398</v>
          </cell>
          <cell r="EV94">
            <v>3601.1399222100322</v>
          </cell>
          <cell r="EW94">
            <v>3680.6352847312246</v>
          </cell>
          <cell r="EX94">
            <v>3760.1306472524184</v>
          </cell>
          <cell r="EY94">
            <v>3839.6260097736108</v>
          </cell>
          <cell r="EZ94">
            <v>3919.1213722948032</v>
          </cell>
        </row>
        <row r="95">
          <cell r="F95">
            <v>0</v>
          </cell>
          <cell r="G95">
            <v>0</v>
          </cell>
          <cell r="H95">
            <v>5148.6584436173653</v>
          </cell>
          <cell r="I95">
            <v>0</v>
          </cell>
          <cell r="J95">
            <v>43.359646516370994</v>
          </cell>
          <cell r="K95">
            <v>189.19320424545776</v>
          </cell>
          <cell r="L95">
            <v>435.69577364535462</v>
          </cell>
          <cell r="M95">
            <v>19084.07893637495</v>
          </cell>
          <cell r="N95">
            <v>31181.804847933643</v>
          </cell>
          <cell r="O95">
            <v>42798.007634676498</v>
          </cell>
          <cell r="P95">
            <v>53994.189988616519</v>
          </cell>
          <cell r="Q95">
            <v>71789.022983971721</v>
          </cell>
          <cell r="R95">
            <v>85921.069013707442</v>
          </cell>
          <cell r="S95">
            <v>99383.241011510749</v>
          </cell>
          <cell r="T95">
            <v>112186.12721497806</v>
          </cell>
          <cell r="U95">
            <v>124900.78345056943</v>
          </cell>
          <cell r="V95">
            <v>137296.69432102225</v>
          </cell>
          <cell r="W95">
            <v>148895.84226600817</v>
          </cell>
          <cell r="X95">
            <v>159672.28628755378</v>
          </cell>
          <cell r="Y95">
            <v>161800.31132652151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F96">
            <v>0</v>
          </cell>
          <cell r="G96">
            <v>0</v>
          </cell>
          <cell r="H96">
            <v>24.394127587714372</v>
          </cell>
          <cell r="I96">
            <v>0</v>
          </cell>
          <cell r="J96">
            <v>0.13113200816930981</v>
          </cell>
          <cell r="K96">
            <v>0.92066902245269655</v>
          </cell>
          <cell r="L96">
            <v>2.3457254365157523</v>
          </cell>
          <cell r="M96">
            <v>83.864389054896634</v>
          </cell>
          <cell r="N96">
            <v>185.59179860306318</v>
          </cell>
          <cell r="O96">
            <v>247.04303988751013</v>
          </cell>
          <cell r="P96">
            <v>295.95042230770753</v>
          </cell>
          <cell r="Q96">
            <v>401.92217453041076</v>
          </cell>
          <cell r="R96">
            <v>514.12714789241079</v>
          </cell>
          <cell r="S96">
            <v>583.83776844131455</v>
          </cell>
          <cell r="T96">
            <v>635.8039263527096</v>
          </cell>
          <cell r="U96">
            <v>725.64741364087547</v>
          </cell>
          <cell r="V96">
            <v>822.48674918180109</v>
          </cell>
          <cell r="W96">
            <v>881.57891846689131</v>
          </cell>
          <cell r="X96">
            <v>921.04752101973304</v>
          </cell>
          <cell r="Y96">
            <v>989.05538452845008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1848.969781589708</v>
          </cell>
          <cell r="EK96">
            <v>1882.9395631794159</v>
          </cell>
          <cell r="EL96">
            <v>1916.9093447691234</v>
          </cell>
          <cell r="EM96">
            <v>1971.2127256407698</v>
          </cell>
          <cell r="EN96">
            <v>2025.5161065124162</v>
          </cell>
          <cell r="EO96">
            <v>2079.8194873840625</v>
          </cell>
          <cell r="EP96">
            <v>2134.1228682557094</v>
          </cell>
          <cell r="EQ96">
            <v>2188.4262491273557</v>
          </cell>
          <cell r="ER96">
            <v>2242.7296299990021</v>
          </cell>
          <cell r="ES96">
            <v>2297.0330108706485</v>
          </cell>
          <cell r="ET96">
            <v>2351.3363917422953</v>
          </cell>
          <cell r="EU96">
            <v>2405.6397726139417</v>
          </cell>
          <cell r="EV96">
            <v>2459.943153485588</v>
          </cell>
          <cell r="EW96">
            <v>2514.2465343572344</v>
          </cell>
          <cell r="EX96">
            <v>2568.5499152288817</v>
          </cell>
          <cell r="EY96">
            <v>2622.853296100528</v>
          </cell>
          <cell r="EZ96">
            <v>2677.1566769721744</v>
          </cell>
        </row>
        <row r="97">
          <cell r="F97">
            <v>0</v>
          </cell>
          <cell r="G97">
            <v>0</v>
          </cell>
          <cell r="H97">
            <v>41.713958174991575</v>
          </cell>
          <cell r="I97">
            <v>0</v>
          </cell>
          <cell r="J97">
            <v>0.22423573396951973</v>
          </cell>
          <cell r="K97">
            <v>1.574344028394111</v>
          </cell>
          <cell r="L97">
            <v>4.0111904964419356</v>
          </cell>
          <cell r="M97">
            <v>121.97236744144165</v>
          </cell>
          <cell r="N97">
            <v>269.92471188829506</v>
          </cell>
          <cell r="O97">
            <v>359.29939721239469</v>
          </cell>
          <cell r="P97">
            <v>430.43029420432981</v>
          </cell>
          <cell r="Q97">
            <v>584.5556106370293</v>
          </cell>
          <cell r="R97">
            <v>747.74652389472226</v>
          </cell>
          <cell r="S97">
            <v>849.13365042104783</v>
          </cell>
          <cell r="T97">
            <v>924.71323048738066</v>
          </cell>
          <cell r="U97">
            <v>989.43476144760666</v>
          </cell>
          <cell r="V97">
            <v>1121.4771322443696</v>
          </cell>
          <cell r="W97">
            <v>1202.0504869079757</v>
          </cell>
          <cell r="X97">
            <v>1255.8667158608264</v>
          </cell>
          <cell r="Y97">
            <v>1276.6885152354757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1062.5209268308899</v>
          </cell>
          <cell r="EK97">
            <v>1082.0418536617799</v>
          </cell>
          <cell r="EL97">
            <v>1101.5627804926698</v>
          </cell>
          <cell r="EM97">
            <v>1132.7685249825474</v>
          </cell>
          <cell r="EN97">
            <v>1163.974269472425</v>
          </cell>
          <cell r="EO97">
            <v>1195.1800139623026</v>
          </cell>
          <cell r="EP97">
            <v>1226.3857584521791</v>
          </cell>
          <cell r="EQ97">
            <v>1257.5915029420566</v>
          </cell>
          <cell r="ER97">
            <v>1288.7972474319342</v>
          </cell>
          <cell r="ES97">
            <v>1320.0029919218118</v>
          </cell>
          <cell r="ET97">
            <v>1351.2087364116883</v>
          </cell>
          <cell r="EU97">
            <v>1382.4144809015659</v>
          </cell>
          <cell r="EV97">
            <v>1413.6202253914435</v>
          </cell>
          <cell r="EW97">
            <v>1444.825969881321</v>
          </cell>
          <cell r="EX97">
            <v>1476.0317143711975</v>
          </cell>
          <cell r="EY97">
            <v>1507.2374588610751</v>
          </cell>
          <cell r="EZ97">
            <v>1538.4432033509527</v>
          </cell>
        </row>
        <row r="98">
          <cell r="F98">
            <v>0</v>
          </cell>
          <cell r="G98">
            <v>0</v>
          </cell>
          <cell r="H98">
            <v>670.42363559769706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-3920.0266128790136</v>
          </cell>
          <cell r="V98">
            <v>-3542.4556357432311</v>
          </cell>
          <cell r="W98">
            <v>-3110.325081244649</v>
          </cell>
          <cell r="X98">
            <v>-2679.2913989880826</v>
          </cell>
          <cell r="Y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</row>
        <row r="99">
          <cell r="F99">
            <v>0</v>
          </cell>
          <cell r="G99">
            <v>0</v>
          </cell>
          <cell r="H99">
            <v>714.53063984488062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-4509.7891618666254</v>
          </cell>
          <cell r="V99">
            <v>-6173.3479246104216</v>
          </cell>
          <cell r="W99">
            <v>-6177.5332535846337</v>
          </cell>
          <cell r="X99">
            <v>-6169.6571975189081</v>
          </cell>
          <cell r="Y99">
            <v>-5025.7374870572994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</row>
        <row r="100">
          <cell r="F100">
            <v>0</v>
          </cell>
          <cell r="G100">
            <v>0</v>
          </cell>
          <cell r="H100">
            <v>25.329950792539172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-312.3037258929985</v>
          </cell>
          <cell r="V100">
            <v>-427.5054750656351</v>
          </cell>
          <cell r="W100">
            <v>-427.79530986407457</v>
          </cell>
          <cell r="X100">
            <v>-427.24989153820991</v>
          </cell>
          <cell r="Y100">
            <v>-380.75806408407652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</row>
        <row r="101">
          <cell r="F101">
            <v>0</v>
          </cell>
          <cell r="G101">
            <v>0</v>
          </cell>
          <cell r="H101">
            <v>205.78482427532566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-1298.8192786175882</v>
          </cell>
          <cell r="V101">
            <v>-1777.9242022878016</v>
          </cell>
          <cell r="W101">
            <v>-1779.1295770323748</v>
          </cell>
          <cell r="X101">
            <v>-1776.8612728854462</v>
          </cell>
          <cell r="Y101">
            <v>-1252.5822270535218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</row>
        <row r="102">
          <cell r="F102">
            <v>0</v>
          </cell>
          <cell r="G102">
            <v>0</v>
          </cell>
          <cell r="H102">
            <v>142.90612796897614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-901.95783237332512</v>
          </cell>
          <cell r="V102">
            <v>-1234.6695849220841</v>
          </cell>
          <cell r="W102">
            <v>-1235.5066507169265</v>
          </cell>
          <cell r="X102">
            <v>-1233.9314395037818</v>
          </cell>
          <cell r="Y102">
            <v>-1005.1474974114601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</row>
        <row r="103">
          <cell r="F103">
            <v>0</v>
          </cell>
          <cell r="G103">
            <v>0</v>
          </cell>
          <cell r="H103">
            <v>0.15656744393572614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-2.0920995797044597</v>
          </cell>
          <cell r="V103">
            <v>-4.8522773265133159</v>
          </cell>
          <cell r="W103">
            <v>-4.3344971035938489</v>
          </cell>
          <cell r="X103">
            <v>-3.7837907267759148</v>
          </cell>
          <cell r="Y103">
            <v>-3.0975844321747896</v>
          </cell>
        </row>
        <row r="104">
          <cell r="F104">
            <v>0</v>
          </cell>
          <cell r="G104">
            <v>0</v>
          </cell>
          <cell r="H104">
            <v>0.27869005020559251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-2.9276004678552328</v>
          </cell>
          <cell r="V104">
            <v>-6.7900827996296744</v>
          </cell>
          <cell r="W104">
            <v>-6.0655218668850885</v>
          </cell>
          <cell r="X104">
            <v>-5.2948853914211442</v>
          </cell>
          <cell r="Y104">
            <v>-4.0872254872414491</v>
          </cell>
        </row>
        <row r="105">
          <cell r="F105">
            <v>0</v>
          </cell>
          <cell r="G105">
            <v>0</v>
          </cell>
          <cell r="H105">
            <v>33792.533373138656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-119231.73434770806</v>
          </cell>
          <cell r="N105">
            <v>-85170.387956772669</v>
          </cell>
          <cell r="O105">
            <v>-51199.444117692634</v>
          </cell>
          <cell r="P105">
            <v>-17318.722597121672</v>
          </cell>
          <cell r="Q105">
            <v>-41896.410731203534</v>
          </cell>
          <cell r="R105">
            <v>-29855.467542471448</v>
          </cell>
          <cell r="S105">
            <v>-17846.482786021643</v>
          </cell>
          <cell r="T105">
            <v>-5869.3927468258553</v>
          </cell>
          <cell r="U105">
            <v>-146253.73805505817</v>
          </cell>
          <cell r="V105">
            <v>-104450.49706964135</v>
          </cell>
          <cell r="W105">
            <v>-62758.206612913425</v>
          </cell>
          <cell r="X105">
            <v>-21176.645485484441</v>
          </cell>
          <cell r="Y105">
            <v>-121872.43352364353</v>
          </cell>
        </row>
        <row r="106">
          <cell r="F106">
            <v>0</v>
          </cell>
          <cell r="G106">
            <v>0</v>
          </cell>
          <cell r="H106">
            <v>34423.874759447135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-111918.45062204186</v>
          </cell>
          <cell r="N106">
            <v>-93204.410910520033</v>
          </cell>
          <cell r="O106">
            <v>-74539.958201130226</v>
          </cell>
          <cell r="P106">
            <v>-55924.993688223753</v>
          </cell>
          <cell r="Q106">
            <v>-38603.956157754103</v>
          </cell>
          <cell r="R106">
            <v>-32054.559621011595</v>
          </cell>
          <cell r="S106">
            <v>-25522.518162747408</v>
          </cell>
          <cell r="T106">
            <v>-19007.797201069163</v>
          </cell>
          <cell r="U106">
            <v>-137058.71549688393</v>
          </cell>
          <cell r="V106">
            <v>-114111.64536489939</v>
          </cell>
          <cell r="W106">
            <v>-91225.37889865016</v>
          </cell>
          <cell r="X106">
            <v>-68399.794942311972</v>
          </cell>
          <cell r="Y106">
            <v>-113519.92964083973</v>
          </cell>
        </row>
        <row r="107">
          <cell r="F107">
            <v>0</v>
          </cell>
          <cell r="G107">
            <v>0</v>
          </cell>
          <cell r="H107">
            <v>-631.34138630847292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-7313.2837256661996</v>
          </cell>
          <cell r="N107">
            <v>8034.022953747366</v>
          </cell>
          <cell r="O107">
            <v>23340.514083437592</v>
          </cell>
          <cell r="P107">
            <v>38606.271091102091</v>
          </cell>
          <cell r="Q107">
            <v>-3292.4545734494272</v>
          </cell>
          <cell r="R107">
            <v>2199.0920785401463</v>
          </cell>
          <cell r="S107">
            <v>7676.0353767257657</v>
          </cell>
          <cell r="T107">
            <v>13138.404454243308</v>
          </cell>
          <cell r="U107">
            <v>-9195.0225581742088</v>
          </cell>
          <cell r="V107">
            <v>9661.1482952580427</v>
          </cell>
          <cell r="W107">
            <v>28467.172285736728</v>
          </cell>
          <cell r="X107">
            <v>47223.149456827523</v>
          </cell>
          <cell r="Y107">
            <v>-8352.5038828037941</v>
          </cell>
        </row>
        <row r="108">
          <cell r="F108">
            <v>0</v>
          </cell>
          <cell r="G108">
            <v>0</v>
          </cell>
          <cell r="H108">
            <v>3863.4121287593898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-22455.069889645223</v>
          </cell>
          <cell r="N108">
            <v>-33917.797610134214</v>
          </cell>
          <cell r="O108">
            <v>-33872.681797297679</v>
          </cell>
          <cell r="P108">
            <v>-33827.625995331866</v>
          </cell>
          <cell r="Q108">
            <v>-19385.056262218699</v>
          </cell>
          <cell r="R108">
            <v>-11990.534165678091</v>
          </cell>
          <cell r="S108">
            <v>-11974.584937445952</v>
          </cell>
          <cell r="T108">
            <v>-11958.656924104907</v>
          </cell>
          <cell r="U108">
            <v>-31605.654636849562</v>
          </cell>
          <cell r="V108">
            <v>-41627.169076410217</v>
          </cell>
          <cell r="W108">
            <v>-41571.798630766665</v>
          </cell>
          <cell r="X108">
            <v>-41516.501836208772</v>
          </cell>
          <cell r="Y108">
            <v>-37059.090570208158</v>
          </cell>
        </row>
        <row r="109">
          <cell r="F109">
            <v>0</v>
          </cell>
          <cell r="G109">
            <v>0</v>
          </cell>
          <cell r="H109">
            <v>2115.6073586021967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-12296.412992759098</v>
          </cell>
          <cell r="N109">
            <v>-18573.411228230085</v>
          </cell>
          <cell r="O109">
            <v>-18548.705775525261</v>
          </cell>
          <cell r="P109">
            <v>-18524.033184817938</v>
          </cell>
          <cell r="Q109">
            <v>-10572.176225849129</v>
          </cell>
          <cell r="R109">
            <v>-6500.9315361222853</v>
          </cell>
          <cell r="S109">
            <v>-6492.284311623489</v>
          </cell>
          <cell r="T109">
            <v>-6483.6485892439996</v>
          </cell>
          <cell r="U109">
            <v>-17271.9360757705</v>
          </cell>
          <cell r="V109">
            <v>-22774.865244189958</v>
          </cell>
          <cell r="W109">
            <v>-22744.571220694681</v>
          </cell>
          <cell r="X109">
            <v>-22714.317492842565</v>
          </cell>
          <cell r="Y109">
            <v>-20234.453892083315</v>
          </cell>
        </row>
        <row r="110">
          <cell r="F110">
            <v>0</v>
          </cell>
          <cell r="G110">
            <v>0</v>
          </cell>
          <cell r="H110">
            <v>173.85354579417259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-1010.4781450340354</v>
          </cell>
          <cell r="N110">
            <v>-1526.3008924560402</v>
          </cell>
          <cell r="O110">
            <v>-1524.2706808783958</v>
          </cell>
          <cell r="P110">
            <v>-1522.2431697899344</v>
          </cell>
          <cell r="Q110">
            <v>-867.48372985503522</v>
          </cell>
          <cell r="R110">
            <v>-532.25760090755739</v>
          </cell>
          <cell r="S110">
            <v>-531.54961760690833</v>
          </cell>
          <cell r="T110">
            <v>-530.84257603136325</v>
          </cell>
          <cell r="U110">
            <v>-1418.2818640412725</v>
          </cell>
          <cell r="V110">
            <v>-1870.9517671965682</v>
          </cell>
          <cell r="W110">
            <v>-1868.4631177057245</v>
          </cell>
          <cell r="X110">
            <v>-1865.9777784959285</v>
          </cell>
          <cell r="Y110">
            <v>-1661.0127797527409</v>
          </cell>
        </row>
        <row r="111">
          <cell r="F111">
            <v>0</v>
          </cell>
          <cell r="G111">
            <v>0</v>
          </cell>
          <cell r="H111">
            <v>772.6824257518781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-4491.0139779290448</v>
          </cell>
          <cell r="N111">
            <v>-6783.5595220268442</v>
          </cell>
          <cell r="O111">
            <v>-6774.5363594595347</v>
          </cell>
          <cell r="P111">
            <v>-6765.5251990663746</v>
          </cell>
          <cell r="Q111">
            <v>-3877.0112524437409</v>
          </cell>
          <cell r="R111">
            <v>-2398.1068331356187</v>
          </cell>
          <cell r="S111">
            <v>-2394.9169874891904</v>
          </cell>
          <cell r="T111">
            <v>-2391.7313848209815</v>
          </cell>
          <cell r="U111">
            <v>-6321.1309273699126</v>
          </cell>
          <cell r="V111">
            <v>-8325.4338152820437</v>
          </cell>
          <cell r="W111">
            <v>-8314.3597261533341</v>
          </cell>
          <cell r="X111">
            <v>-8303.3003672417544</v>
          </cell>
          <cell r="Y111">
            <v>-7411.8181140416309</v>
          </cell>
        </row>
        <row r="112">
          <cell r="F112">
            <v>0</v>
          </cell>
          <cell r="G112">
            <v>0</v>
          </cell>
          <cell r="H112">
            <v>12.952031694201578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-51.191305378369883</v>
          </cell>
          <cell r="N112">
            <v>-140.62848329174517</v>
          </cell>
          <cell r="O112">
            <v>-115.74693386451358</v>
          </cell>
          <cell r="P112">
            <v>-90.931328088519649</v>
          </cell>
          <cell r="Q112">
            <v>-65.227763168796173</v>
          </cell>
          <cell r="R112">
            <v>-48.465000629742192</v>
          </cell>
          <cell r="S112">
            <v>-39.757146640699006</v>
          </cell>
          <cell r="T112">
            <v>-31.072372434236463</v>
          </cell>
          <cell r="U112">
            <v>-78.833545201331518</v>
          </cell>
          <cell r="V112">
            <v>-172.20488782988474</v>
          </cell>
          <cell r="W112">
            <v>-141.6952455545383</v>
          </cell>
          <cell r="X112">
            <v>-111.26646349560892</v>
          </cell>
          <cell r="Y112">
            <v>-110.09760363791608</v>
          </cell>
        </row>
        <row r="113">
          <cell r="F113">
            <v>0</v>
          </cell>
          <cell r="G113">
            <v>0</v>
          </cell>
          <cell r="H113">
            <v>13.470112961969642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-52.501802796056154</v>
          </cell>
          <cell r="N113">
            <v>-144.22857246401384</v>
          </cell>
          <cell r="O113">
            <v>-118.71005537144514</v>
          </cell>
          <cell r="P113">
            <v>-93.259170087585744</v>
          </cell>
          <cell r="Q113">
            <v>-66.897593905917375</v>
          </cell>
          <cell r="R113">
            <v>-49.705704645863598</v>
          </cell>
          <cell r="S113">
            <v>-40.7749295947009</v>
          </cell>
          <cell r="T113">
            <v>-31.867825168552923</v>
          </cell>
          <cell r="U113">
            <v>-80.44805620705479</v>
          </cell>
          <cell r="V113">
            <v>-175.73164393264079</v>
          </cell>
          <cell r="W113">
            <v>-144.59716418349527</v>
          </cell>
          <cell r="X113">
            <v>-113.545200667999</v>
          </cell>
          <cell r="Y113">
            <v>-111.90144277591969</v>
          </cell>
        </row>
        <row r="114">
          <cell r="F114">
            <v>0</v>
          </cell>
          <cell r="G114">
            <v>0</v>
          </cell>
          <cell r="H114">
            <v>442376.79800134327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-478.26769326335113</v>
          </cell>
          <cell r="R114">
            <v>-397.5445326099819</v>
          </cell>
          <cell r="S114">
            <v>-317.10180562405839</v>
          </cell>
          <cell r="T114">
            <v>-236.93814219024645</v>
          </cell>
          <cell r="U114">
            <v>-14904.44363546324</v>
          </cell>
          <cell r="V114">
            <v>-12389.834765341824</v>
          </cell>
          <cell r="W114">
            <v>-9883.9438766121093</v>
          </cell>
          <cell r="X114">
            <v>-7386.7461465545684</v>
          </cell>
          <cell r="Y114">
            <v>-3159.823415393133</v>
          </cell>
        </row>
        <row r="115">
          <cell r="F115">
            <v>0</v>
          </cell>
          <cell r="G115">
            <v>0</v>
          </cell>
          <cell r="H115">
            <v>24796.717115282103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-46.660530157305516</v>
          </cell>
          <cell r="R115">
            <v>-66.038808950610914</v>
          </cell>
          <cell r="S115">
            <v>-65.923766255148706</v>
          </cell>
          <cell r="T115">
            <v>-65.808923968686059</v>
          </cell>
          <cell r="U115">
            <v>-1466.352941951382</v>
          </cell>
          <cell r="V115">
            <v>-2057.6932894269253</v>
          </cell>
          <cell r="W115">
            <v>-2054.1086913846093</v>
          </cell>
          <cell r="X115">
            <v>-2050.5303378990338</v>
          </cell>
          <cell r="Y115">
            <v>-689.18968824259252</v>
          </cell>
        </row>
        <row r="116">
          <cell r="F116">
            <v>0</v>
          </cell>
          <cell r="G116">
            <v>0</v>
          </cell>
          <cell r="H116">
            <v>2466.5210143345239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-4.6413070584272988</v>
          </cell>
          <cell r="R116">
            <v>-6.5688578565070896</v>
          </cell>
          <cell r="S116">
            <v>-6.5574145987329242</v>
          </cell>
          <cell r="T116">
            <v>-6.5459912755737566</v>
          </cell>
          <cell r="U116">
            <v>-145.81575956600449</v>
          </cell>
          <cell r="V116">
            <v>-204.61879453418072</v>
          </cell>
          <cell r="W116">
            <v>-204.26233901475055</v>
          </cell>
          <cell r="X116">
            <v>-203.9065044594268</v>
          </cell>
          <cell r="Y116">
            <v>-67.239681316934991</v>
          </cell>
        </row>
        <row r="117">
          <cell r="F117">
            <v>0</v>
          </cell>
          <cell r="G117">
            <v>0</v>
          </cell>
          <cell r="H117">
            <v>4138.274146272367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-7.7870818424724666</v>
          </cell>
          <cell r="R117">
            <v>-11.021083737028562</v>
          </cell>
          <cell r="S117">
            <v>-11.001884493429683</v>
          </cell>
          <cell r="T117">
            <v>-10.982718695684856</v>
          </cell>
          <cell r="U117">
            <v>-244.69170369571071</v>
          </cell>
          <cell r="V117">
            <v>-343.36892676393097</v>
          </cell>
          <cell r="W117">
            <v>-342.77076201848712</v>
          </cell>
          <cell r="X117">
            <v>-342.17363930722706</v>
          </cell>
          <cell r="Y117">
            <v>-114.23352495616182</v>
          </cell>
        </row>
        <row r="118">
          <cell r="F118">
            <v>0</v>
          </cell>
          <cell r="G118">
            <v>0</v>
          </cell>
          <cell r="H118">
            <v>253.15098383082437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-0.32734122025305135</v>
          </cell>
          <cell r="R118">
            <v>-0.78671068183220028</v>
          </cell>
          <cell r="S118">
            <v>-0.64616882478509274</v>
          </cell>
          <cell r="T118">
            <v>-0.50611461197011332</v>
          </cell>
          <cell r="U118">
            <v>-10.355560314951576</v>
          </cell>
          <cell r="V118">
            <v>-24.517164465554622</v>
          </cell>
          <cell r="W118">
            <v>-20.139121403335924</v>
          </cell>
          <cell r="X118">
            <v>-15.776258658639842</v>
          </cell>
          <cell r="Y118">
            <v>-6.923828342358636</v>
          </cell>
        </row>
        <row r="119">
          <cell r="F119">
            <v>0</v>
          </cell>
          <cell r="G119">
            <v>0</v>
          </cell>
          <cell r="H119">
            <v>263.27702318405738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-0.33572115549152948</v>
          </cell>
          <cell r="R119">
            <v>-0.80685047528710463</v>
          </cell>
          <cell r="S119">
            <v>-0.66271074669959118</v>
          </cell>
          <cell r="T119">
            <v>-0.51907114603654825</v>
          </cell>
          <cell r="U119">
            <v>-10.567642190201784</v>
          </cell>
          <cell r="V119">
            <v>-25.019275993809185</v>
          </cell>
          <cell r="W119">
            <v>-20.551570609676247</v>
          </cell>
          <cell r="X119">
            <v>-16.099356435968787</v>
          </cell>
          <cell r="Y119">
            <v>-7.0372683459198395</v>
          </cell>
        </row>
        <row r="120">
          <cell r="F120">
            <v>0</v>
          </cell>
          <cell r="G120">
            <v>0</v>
          </cell>
          <cell r="H120">
            <v>2357765.2585264393</v>
          </cell>
          <cell r="I120">
            <v>48372576.110521801</v>
          </cell>
          <cell r="J120">
            <v>7998765.1290614754</v>
          </cell>
          <cell r="K120">
            <v>6809138.0159095097</v>
          </cell>
          <cell r="L120">
            <v>6786680.4118570145</v>
          </cell>
          <cell r="M120">
            <v>9365915.1159879435</v>
          </cell>
          <cell r="N120">
            <v>5347289.6183532281</v>
          </cell>
          <cell r="O120">
            <v>5292255.9814865533</v>
          </cell>
          <cell r="P120">
            <v>5620927.595621991</v>
          </cell>
          <cell r="Q120">
            <v>9020462.9728323743</v>
          </cell>
          <cell r="R120">
            <v>5733030.9421764631</v>
          </cell>
          <cell r="S120">
            <v>5319196.9877944738</v>
          </cell>
          <cell r="T120">
            <v>5555805.2313560825</v>
          </cell>
          <cell r="U120">
            <v>11477143.89053604</v>
          </cell>
          <cell r="V120">
            <v>6170218.0721354168</v>
          </cell>
          <cell r="W120">
            <v>5849027.8267154107</v>
          </cell>
          <cell r="X120">
            <v>5855243.2930785324</v>
          </cell>
          <cell r="Y120">
            <v>-100577231.85302183</v>
          </cell>
        </row>
        <row r="121">
          <cell r="F121">
            <v>0</v>
          </cell>
          <cell r="G121">
            <v>0</v>
          </cell>
          <cell r="H121">
            <v>6887773.2191460542</v>
          </cell>
          <cell r="I121">
            <v>0</v>
          </cell>
          <cell r="J121">
            <v>3893812.7517860336</v>
          </cell>
          <cell r="K121">
            <v>7061210.6394162206</v>
          </cell>
          <cell r="L121">
            <v>10078111.75123035</v>
          </cell>
          <cell r="M121">
            <v>14189980.817295929</v>
          </cell>
          <cell r="N121">
            <v>16059580.804397015</v>
          </cell>
          <cell r="O121">
            <v>17810611.089233503</v>
          </cell>
          <cell r="P121">
            <v>19609070.631041031</v>
          </cell>
          <cell r="Q121">
            <v>22895378.363116473</v>
          </cell>
          <cell r="R121">
            <v>24377788.750425421</v>
          </cell>
          <cell r="S121">
            <v>25555063.182510745</v>
          </cell>
          <cell r="T121">
            <v>26730840.402981784</v>
          </cell>
          <cell r="U121">
            <v>30578099.114443399</v>
          </cell>
          <cell r="V121">
            <v>31401105.52311065</v>
          </cell>
          <cell r="W121">
            <v>32045281.164700884</v>
          </cell>
          <cell r="X121">
            <v>32607688.859100867</v>
          </cell>
          <cell r="Y121">
            <v>-19799182.378406651</v>
          </cell>
        </row>
        <row r="122">
          <cell r="F122">
            <v>0</v>
          </cell>
          <cell r="G122">
            <v>0</v>
          </cell>
          <cell r="H122">
            <v>173051.53057482775</v>
          </cell>
          <cell r="I122">
            <v>0</v>
          </cell>
          <cell r="J122">
            <v>209752.58063670143</v>
          </cell>
          <cell r="K122">
            <v>451194.09844649438</v>
          </cell>
          <cell r="L122">
            <v>698162.75133669691</v>
          </cell>
          <cell r="M122">
            <v>1042430.3041659785</v>
          </cell>
          <cell r="N122">
            <v>1214033.2509749988</v>
          </cell>
          <cell r="O122">
            <v>1367770.5297690763</v>
          </cell>
          <cell r="P122">
            <v>1533183.3255323826</v>
          </cell>
          <cell r="Q122">
            <v>1803921.4269561064</v>
          </cell>
          <cell r="R122">
            <v>1967172.5083752605</v>
          </cell>
          <cell r="S122">
            <v>2112546.2551287115</v>
          </cell>
          <cell r="T122">
            <v>2256189.66144518</v>
          </cell>
          <cell r="U122">
            <v>2580718.7258541635</v>
          </cell>
          <cell r="V122">
            <v>2700890.7878477518</v>
          </cell>
          <cell r="W122">
            <v>2793271.3122501769</v>
          </cell>
          <cell r="X122">
            <v>2881372.4681653939</v>
          </cell>
          <cell r="Y122">
            <v>1757535.992856463</v>
          </cell>
        </row>
        <row r="123">
          <cell r="F123">
            <v>0</v>
          </cell>
          <cell r="G123">
            <v>0</v>
          </cell>
          <cell r="H123">
            <v>84666.874195567623</v>
          </cell>
          <cell r="I123">
            <v>0</v>
          </cell>
          <cell r="J123">
            <v>100331.73008241161</v>
          </cell>
          <cell r="K123">
            <v>220398.95329155517</v>
          </cell>
          <cell r="L123">
            <v>348943.19176063064</v>
          </cell>
          <cell r="M123">
            <v>530267.0356093013</v>
          </cell>
          <cell r="N123">
            <v>637522.30575244257</v>
          </cell>
          <cell r="O123">
            <v>739758.89916539774</v>
          </cell>
          <cell r="P123">
            <v>850872.6879148318</v>
          </cell>
          <cell r="Q123">
            <v>1015945.8538597866</v>
          </cell>
          <cell r="R123">
            <v>1130276.8330644267</v>
          </cell>
          <cell r="S123">
            <v>1239021.4996876633</v>
          </cell>
          <cell r="T123">
            <v>1350375.6627418743</v>
          </cell>
          <cell r="U123">
            <v>1549364.2019323106</v>
          </cell>
          <cell r="V123">
            <v>1640371.1211780356</v>
          </cell>
          <cell r="W123">
            <v>1717651.4898211008</v>
          </cell>
          <cell r="X123">
            <v>1794090.4591901372</v>
          </cell>
          <cell r="Y123">
            <v>1293216.0723887293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116295.26226801137</v>
          </cell>
          <cell r="O124">
            <v>98996.314687661885</v>
          </cell>
          <cell r="P124">
            <v>98671.878261136255</v>
          </cell>
          <cell r="Q124">
            <v>136171.65407848038</v>
          </cell>
          <cell r="R124">
            <v>174529.1642529839</v>
          </cell>
          <cell r="S124">
            <v>159328.49121985721</v>
          </cell>
          <cell r="T124">
            <v>163835.18780884391</v>
          </cell>
          <cell r="U124">
            <v>244468.65109379735</v>
          </cell>
          <cell r="V124">
            <v>517434.933889159</v>
          </cell>
          <cell r="W124">
            <v>455794.43206180673</v>
          </cell>
          <cell r="X124">
            <v>462181.82194952399</v>
          </cell>
          <cell r="Y124">
            <v>708508.77101253311</v>
          </cell>
        </row>
        <row r="125">
          <cell r="F125">
            <v>0</v>
          </cell>
          <cell r="G125">
            <v>0</v>
          </cell>
          <cell r="H125">
            <v>56950.700661948002</v>
          </cell>
          <cell r="I125">
            <v>0</v>
          </cell>
          <cell r="J125">
            <v>192951.22304693758</v>
          </cell>
          <cell r="K125">
            <v>164378.58417818372</v>
          </cell>
          <cell r="L125">
            <v>163743.85743312378</v>
          </cell>
          <cell r="M125">
            <v>225966.66317590454</v>
          </cell>
          <cell r="N125">
            <v>150675.08682754956</v>
          </cell>
          <cell r="O125">
            <v>174297.48492416035</v>
          </cell>
          <cell r="P125">
            <v>207750.6022440588</v>
          </cell>
          <cell r="Q125">
            <v>325259.53690996149</v>
          </cell>
          <cell r="R125">
            <v>260974.22706527784</v>
          </cell>
          <cell r="S125">
            <v>263989.12463631568</v>
          </cell>
          <cell r="T125">
            <v>283820.70819608931</v>
          </cell>
          <cell r="U125">
            <v>450717.33255410549</v>
          </cell>
          <cell r="V125">
            <v>332668.50016407436</v>
          </cell>
          <cell r="W125">
            <v>332836.00670296903</v>
          </cell>
          <cell r="X125">
            <v>340391.90199446888</v>
          </cell>
          <cell r="Y125">
            <v>-2217638.181723028</v>
          </cell>
        </row>
        <row r="126">
          <cell r="F126">
            <v>0</v>
          </cell>
          <cell r="G126">
            <v>0</v>
          </cell>
          <cell r="H126">
            <v>1178882.6292632197</v>
          </cell>
          <cell r="I126">
            <v>24186288.0552609</v>
          </cell>
          <cell r="J126">
            <v>3999382.5645307377</v>
          </cell>
          <cell r="K126">
            <v>3404569.0079547549</v>
          </cell>
          <cell r="L126">
            <v>3393340.2059285073</v>
          </cell>
          <cell r="M126">
            <v>4682957.5579939717</v>
          </cell>
          <cell r="N126">
            <v>2673644.809176614</v>
          </cell>
          <cell r="O126">
            <v>2646127.9907432767</v>
          </cell>
          <cell r="P126">
            <v>2810463.7978109955</v>
          </cell>
          <cell r="Q126">
            <v>4510231.4864161871</v>
          </cell>
          <cell r="R126">
            <v>2866515.4710882315</v>
          </cell>
          <cell r="S126">
            <v>2659598.4938972369</v>
          </cell>
          <cell r="T126">
            <v>2777902.6156780412</v>
          </cell>
          <cell r="U126">
            <v>5738571.94526802</v>
          </cell>
          <cell r="V126">
            <v>3085109.0360677084</v>
          </cell>
          <cell r="W126">
            <v>2924513.9133577053</v>
          </cell>
          <cell r="X126">
            <v>2927621.6465392662</v>
          </cell>
          <cell r="Y126">
            <v>-50288615.926510915</v>
          </cell>
        </row>
        <row r="127">
          <cell r="F127">
            <v>0</v>
          </cell>
          <cell r="G127">
            <v>0</v>
          </cell>
          <cell r="H127">
            <v>24224609.790634044</v>
          </cell>
          <cell r="I127">
            <v>22772014.668876395</v>
          </cell>
          <cell r="J127">
            <v>25155021.92689158</v>
          </cell>
          <cell r="K127">
            <v>26751832.607294917</v>
          </cell>
          <cell r="L127">
            <v>28142499.894469988</v>
          </cell>
          <cell r="M127">
            <v>30311178.738174271</v>
          </cell>
          <cell r="N127">
            <v>30658890.782412395</v>
          </cell>
          <cell r="O127">
            <v>30867570.723315746</v>
          </cell>
          <cell r="P127">
            <v>31110567.05355398</v>
          </cell>
          <cell r="Q127">
            <v>32616468.445572391</v>
          </cell>
          <cell r="R127">
            <v>32647269.396987427</v>
          </cell>
          <cell r="S127">
            <v>32367205.707848869</v>
          </cell>
          <cell r="T127">
            <v>32092707.813023161</v>
          </cell>
          <cell r="U127">
            <v>33672802.485100523</v>
          </cell>
          <cell r="V127">
            <v>33561493.811258651</v>
          </cell>
          <cell r="W127">
            <v>33251373.881769191</v>
          </cell>
          <cell r="X127">
            <v>32873411.61217076</v>
          </cell>
          <cell r="Y127">
            <v>-20478465.354193799</v>
          </cell>
        </row>
        <row r="128">
          <cell r="F128">
            <v>0</v>
          </cell>
          <cell r="G128">
            <v>0</v>
          </cell>
          <cell r="H128">
            <v>669735.2530304332</v>
          </cell>
          <cell r="I128">
            <v>1725210.4746445054</v>
          </cell>
          <cell r="J128">
            <v>1945896.9404988461</v>
          </cell>
          <cell r="K128">
            <v>2181449.0716485037</v>
          </cell>
          <cell r="L128">
            <v>2422548.3159840996</v>
          </cell>
          <cell r="M128">
            <v>2537404.8632785347</v>
          </cell>
          <cell r="N128">
            <v>2701765.2534887036</v>
          </cell>
          <cell r="O128">
            <v>2850455.8154244223</v>
          </cell>
          <cell r="P128">
            <v>3010839.0139120677</v>
          </cell>
          <cell r="Q128">
            <v>3132939.6636649761</v>
          </cell>
          <cell r="R128">
            <v>3290286.3375083646</v>
          </cell>
          <cell r="S128">
            <v>3431171.7887517847</v>
          </cell>
          <cell r="T128">
            <v>3570342.1248518741</v>
          </cell>
          <cell r="U128">
            <v>3388691.6867143274</v>
          </cell>
          <cell r="V128">
            <v>3501242.9875757126</v>
          </cell>
          <cell r="W128">
            <v>3590908.5398378819</v>
          </cell>
          <cell r="X128">
            <v>3676303.9334003916</v>
          </cell>
          <cell r="Y128">
            <v>2283371.0155846137</v>
          </cell>
        </row>
        <row r="129">
          <cell r="F129">
            <v>0</v>
          </cell>
          <cell r="G129">
            <v>0</v>
          </cell>
          <cell r="H129">
            <v>528155.03031812212</v>
          </cell>
          <cell r="I129">
            <v>1361874.3701417465</v>
          </cell>
          <cell r="J129">
            <v>1535498.6370534298</v>
          </cell>
          <cell r="K129">
            <v>1720545.1388549327</v>
          </cell>
          <cell r="L129">
            <v>1910134.8882011785</v>
          </cell>
          <cell r="M129">
            <v>2025766.0427273191</v>
          </cell>
          <cell r="N129">
            <v>2158216.0385895278</v>
          </cell>
          <cell r="O129">
            <v>2278405.011650125</v>
          </cell>
          <cell r="P129">
            <v>2407739.3455237201</v>
          </cell>
          <cell r="Q129">
            <v>2503752.8079296211</v>
          </cell>
          <cell r="R129">
            <v>2629490.7700338736</v>
          </cell>
          <cell r="S129">
            <v>2741958.6141986148</v>
          </cell>
          <cell r="T129">
            <v>2853193.6120752268</v>
          </cell>
          <cell r="U129">
            <v>2712055.7627829267</v>
          </cell>
          <cell r="V129">
            <v>2802448.1025985498</v>
          </cell>
          <cell r="W129">
            <v>2874584.8273453573</v>
          </cell>
          <cell r="X129">
            <v>2943201.1849836279</v>
          </cell>
          <cell r="Y129">
            <v>1850854.4456404627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389402.83456980926</v>
          </cell>
          <cell r="N130">
            <v>64390.654059815068</v>
          </cell>
          <cell r="O130">
            <v>54814.067340843292</v>
          </cell>
          <cell r="P130">
            <v>54633.281958321852</v>
          </cell>
          <cell r="Q130">
            <v>392336.70725329587</v>
          </cell>
          <cell r="R130">
            <v>95454.52978861297</v>
          </cell>
          <cell r="S130">
            <v>87216.987520765993</v>
          </cell>
          <cell r="T130">
            <v>89715.674711437154</v>
          </cell>
          <cell r="U130">
            <v>1335811.2347707781</v>
          </cell>
          <cell r="V130">
            <v>279918.61048976611</v>
          </cell>
          <cell r="W130">
            <v>246670.02512466098</v>
          </cell>
          <cell r="X130">
            <v>250170.25250797468</v>
          </cell>
          <cell r="Y130">
            <v>1097620.1696608912</v>
          </cell>
        </row>
        <row r="131">
          <cell r="F131">
            <v>0</v>
          </cell>
          <cell r="G131">
            <v>0</v>
          </cell>
          <cell r="H131">
            <v>56950.700661948002</v>
          </cell>
          <cell r="I131">
            <v>1162646.7488072559</v>
          </cell>
          <cell r="J131">
            <v>192951.22304693758</v>
          </cell>
          <cell r="K131">
            <v>164378.58417818372</v>
          </cell>
          <cell r="L131">
            <v>163743.85743312378</v>
          </cell>
          <cell r="M131">
            <v>403369.69828644884</v>
          </cell>
          <cell r="N131">
            <v>329202.92712919414</v>
          </cell>
          <cell r="O131">
            <v>352219.71920280193</v>
          </cell>
          <cell r="P131">
            <v>385069.28484962101</v>
          </cell>
          <cell r="Q131">
            <v>458446.20794368914</v>
          </cell>
          <cell r="R131">
            <v>393285.6099785883</v>
          </cell>
          <cell r="S131">
            <v>395851.67799862288</v>
          </cell>
          <cell r="T131">
            <v>415235.95453675871</v>
          </cell>
          <cell r="U131">
            <v>531514.6286401219</v>
          </cell>
          <cell r="V131">
            <v>412703.72013687051</v>
          </cell>
          <cell r="W131">
            <v>412599.72946173965</v>
          </cell>
          <cell r="X131">
            <v>419885.04851796856</v>
          </cell>
          <cell r="Y131">
            <v>-2165054.679450213</v>
          </cell>
        </row>
        <row r="132">
          <cell r="F132">
            <v>0</v>
          </cell>
          <cell r="G132">
            <v>0</v>
          </cell>
          <cell r="H132">
            <v>442902.44966002146</v>
          </cell>
          <cell r="I132">
            <v>17058396.604379818</v>
          </cell>
          <cell r="J132">
            <v>849353.43836796307</v>
          </cell>
          <cell r="K132">
            <v>42218.173696229744</v>
          </cell>
          <cell r="L132">
            <v>42233.274688200894</v>
          </cell>
          <cell r="M132">
            <v>4872602.9442876698</v>
          </cell>
          <cell r="N132">
            <v>287250.68979231914</v>
          </cell>
          <cell r="O132">
            <v>43323.078231387299</v>
          </cell>
          <cell r="P132">
            <v>42820.230462348321</v>
          </cell>
          <cell r="Q132">
            <v>3573826.3821245241</v>
          </cell>
          <cell r="R132">
            <v>225179.7789099199</v>
          </cell>
          <cell r="S132">
            <v>43695.249832359841</v>
          </cell>
          <cell r="T132">
            <v>43206.292795359128</v>
          </cell>
          <cell r="U132">
            <v>3198212.9312698031</v>
          </cell>
          <cell r="V132">
            <v>256885.94385205896</v>
          </cell>
          <cell r="W132">
            <v>47392.611523489119</v>
          </cell>
          <cell r="X132">
            <v>45333.750162883967</v>
          </cell>
          <cell r="Y132">
            <v>-20197391.059327561</v>
          </cell>
        </row>
        <row r="133">
          <cell r="F133">
            <v>0</v>
          </cell>
          <cell r="G133">
            <v>0</v>
          </cell>
          <cell r="H133">
            <v>1074274.6612051793</v>
          </cell>
          <cell r="I133">
            <v>0</v>
          </cell>
          <cell r="J133">
            <v>413980.48266502476</v>
          </cell>
          <cell r="K133">
            <v>422590.94113369868</v>
          </cell>
          <cell r="L133">
            <v>429080.42943363701</v>
          </cell>
          <cell r="M133">
            <v>2792739.7586624851</v>
          </cell>
          <cell r="N133">
            <v>2846033.9638437135</v>
          </cell>
          <cell r="O133">
            <v>2770121.0526351924</v>
          </cell>
          <cell r="P133">
            <v>2679281.1099485266</v>
          </cell>
          <cell r="Q133">
            <v>4305636.6086210767</v>
          </cell>
          <cell r="R133">
            <v>4259364.6506618829</v>
          </cell>
          <cell r="S133">
            <v>4111577.9371048296</v>
          </cell>
          <cell r="T133">
            <v>3946538.065691418</v>
          </cell>
          <cell r="U133">
            <v>5304834.537768878</v>
          </cell>
          <cell r="V133">
            <v>5181847.0112186475</v>
          </cell>
          <cell r="W133">
            <v>4952924.2707411163</v>
          </cell>
          <cell r="X133">
            <v>4702034.5442021675</v>
          </cell>
          <cell r="Y133">
            <v>-5714308.8263790812</v>
          </cell>
        </row>
        <row r="134">
          <cell r="F134">
            <v>0</v>
          </cell>
          <cell r="G134">
            <v>0</v>
          </cell>
          <cell r="H134">
            <v>36857.19280459822</v>
          </cell>
          <cell r="I134">
            <v>0</v>
          </cell>
          <cell r="J134">
            <v>41790.377705985607</v>
          </cell>
          <cell r="K134">
            <v>43848.964980072189</v>
          </cell>
          <cell r="L134">
            <v>45908.83127854082</v>
          </cell>
          <cell r="M134">
            <v>264378.99771469663</v>
          </cell>
          <cell r="N134">
            <v>296363.61000238429</v>
          </cell>
          <cell r="O134">
            <v>297909.45181327459</v>
          </cell>
          <cell r="P134">
            <v>299314.80610717763</v>
          </cell>
          <cell r="Q134">
            <v>420818.21508876642</v>
          </cell>
          <cell r="R134">
            <v>442200.69026225177</v>
          </cell>
          <cell r="S134">
            <v>443496.22179605195</v>
          </cell>
          <cell r="T134">
            <v>444681.9629153423</v>
          </cell>
          <cell r="U134">
            <v>550849.40055384615</v>
          </cell>
          <cell r="V134">
            <v>572315.24932243931</v>
          </cell>
          <cell r="W134">
            <v>573797.21797831298</v>
          </cell>
          <cell r="X134">
            <v>574737.73534444964</v>
          </cell>
          <cell r="Y134">
            <v>285099.50542650191</v>
          </cell>
        </row>
        <row r="135">
          <cell r="F135">
            <v>0</v>
          </cell>
          <cell r="G135">
            <v>0</v>
          </cell>
          <cell r="H135">
            <v>9491.2764581838219</v>
          </cell>
          <cell r="I135">
            <v>0</v>
          </cell>
          <cell r="J135">
            <v>10357.973444685606</v>
          </cell>
          <cell r="K135">
            <v>11981.43603658085</v>
          </cell>
          <cell r="L135">
            <v>14100.093267673732</v>
          </cell>
          <cell r="M135">
            <v>70445.931204618682</v>
          </cell>
          <cell r="N135">
            <v>83498.855695791965</v>
          </cell>
          <cell r="O135">
            <v>93910.742387185033</v>
          </cell>
          <cell r="P135">
            <v>108686.19611311714</v>
          </cell>
          <cell r="Q135">
            <v>137151.13887459872</v>
          </cell>
          <cell r="R135">
            <v>150611.60745805126</v>
          </cell>
          <cell r="S135">
            <v>164154.49332800298</v>
          </cell>
          <cell r="T135">
            <v>181355.20904733677</v>
          </cell>
          <cell r="U135">
            <v>210880.91956116856</v>
          </cell>
          <cell r="V135">
            <v>227494.87389816152</v>
          </cell>
          <cell r="W135">
            <v>245233.94981283427</v>
          </cell>
          <cell r="X135">
            <v>266467.18403892691</v>
          </cell>
          <cell r="Y135">
            <v>199717.52798690274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3299.0724706225501</v>
          </cell>
          <cell r="O136">
            <v>163.96712192246656</v>
          </cell>
          <cell r="P136">
            <v>164.03288995309151</v>
          </cell>
          <cell r="Q136">
            <v>18924.969479991076</v>
          </cell>
          <cell r="R136">
            <v>2893.897543491194</v>
          </cell>
          <cell r="S136">
            <v>256.62794414241512</v>
          </cell>
          <cell r="T136">
            <v>254.7013451300281</v>
          </cell>
          <cell r="U136">
            <v>24079.608883519337</v>
          </cell>
          <cell r="V136">
            <v>17381.204668962302</v>
          </cell>
          <cell r="W136">
            <v>1050.8913053338886</v>
          </cell>
          <cell r="X136">
            <v>1048.24409665652</v>
          </cell>
          <cell r="Y136">
            <v>111141.75611041444</v>
          </cell>
        </row>
        <row r="137">
          <cell r="F137">
            <v>0</v>
          </cell>
          <cell r="G137">
            <v>0</v>
          </cell>
          <cell r="H137">
            <v>22202.405595667158</v>
          </cell>
          <cell r="I137">
            <v>0</v>
          </cell>
          <cell r="J137">
            <v>42508.261124319353</v>
          </cell>
          <cell r="K137">
            <v>2115.4849145575567</v>
          </cell>
          <cell r="L137">
            <v>2115.1943152307454</v>
          </cell>
          <cell r="M137">
            <v>244050.38564317324</v>
          </cell>
          <cell r="N137">
            <v>21231.411324306431</v>
          </cell>
          <cell r="O137">
            <v>9352.6242796410406</v>
          </cell>
          <cell r="P137">
            <v>9666.082261016636</v>
          </cell>
          <cell r="Q137">
            <v>222555.80608792035</v>
          </cell>
          <cell r="R137">
            <v>60156.992711338207</v>
          </cell>
          <cell r="S137">
            <v>51328.004125184256</v>
          </cell>
          <cell r="T137">
            <v>51550.527159130237</v>
          </cell>
          <cell r="U137">
            <v>231488.40520614013</v>
          </cell>
          <cell r="V137">
            <v>87229.26033666989</v>
          </cell>
          <cell r="W137">
            <v>76914.300226259613</v>
          </cell>
          <cell r="X137">
            <v>76995.085001439991</v>
          </cell>
          <cell r="Y137">
            <v>-924775.61015095457</v>
          </cell>
        </row>
        <row r="138">
          <cell r="F138">
            <v>0</v>
          </cell>
          <cell r="G138">
            <v>0</v>
          </cell>
          <cell r="H138">
            <v>6302.579969586297</v>
          </cell>
          <cell r="I138">
            <v>0</v>
          </cell>
          <cell r="J138">
            <v>7146.1545877235385</v>
          </cell>
          <cell r="K138">
            <v>7498.1730115923456</v>
          </cell>
          <cell r="L138">
            <v>7850.4101486304808</v>
          </cell>
          <cell r="M138">
            <v>45208.808609213127</v>
          </cell>
          <cell r="N138">
            <v>51396.692022395015</v>
          </cell>
          <cell r="O138">
            <v>51696.434713389361</v>
          </cell>
          <cell r="P138">
            <v>51972.170991640858</v>
          </cell>
          <cell r="Q138">
            <v>76506.050222874532</v>
          </cell>
          <cell r="R138">
            <v>80025.311110206647</v>
          </cell>
          <cell r="S138">
            <v>80239.569217368262</v>
          </cell>
          <cell r="T138">
            <v>80432.629820009694</v>
          </cell>
          <cell r="U138">
            <v>97084.045090044325</v>
          </cell>
          <cell r="V138">
            <v>99808.012584329481</v>
          </cell>
          <cell r="W138">
            <v>100019.43493515573</v>
          </cell>
          <cell r="X138">
            <v>100138.66461309243</v>
          </cell>
          <cell r="Y138">
            <v>46314.827737977794</v>
          </cell>
        </row>
        <row r="139">
          <cell r="F139">
            <v>0</v>
          </cell>
          <cell r="G139">
            <v>0</v>
          </cell>
          <cell r="H139">
            <v>221451.22483001073</v>
          </cell>
          <cell r="I139">
            <v>8529198.3021899089</v>
          </cell>
          <cell r="J139">
            <v>424676.71918398154</v>
          </cell>
          <cell r="K139">
            <v>21109.086848114872</v>
          </cell>
          <cell r="L139">
            <v>21116.637344100447</v>
          </cell>
          <cell r="M139">
            <v>2436301.4721438349</v>
          </cell>
          <cell r="N139">
            <v>143625.34489615957</v>
          </cell>
          <cell r="O139">
            <v>21661.539115693649</v>
          </cell>
          <cell r="P139">
            <v>21410.115231174161</v>
          </cell>
          <cell r="Q139">
            <v>1786913.191062262</v>
          </cell>
          <cell r="R139">
            <v>112589.88945495995</v>
          </cell>
          <cell r="S139">
            <v>21847.624916179921</v>
          </cell>
          <cell r="T139">
            <v>21603.146397679564</v>
          </cell>
          <cell r="U139">
            <v>1599106.4656349015</v>
          </cell>
          <cell r="V139">
            <v>128442.97192602948</v>
          </cell>
          <cell r="W139">
            <v>23696.305761744559</v>
          </cell>
          <cell r="X139">
            <v>22666.875081441984</v>
          </cell>
          <cell r="Y139">
            <v>-10098695.529663781</v>
          </cell>
        </row>
        <row r="140">
          <cell r="F140">
            <v>0</v>
          </cell>
          <cell r="G140">
            <v>0</v>
          </cell>
          <cell r="H140">
            <v>904516.43742887711</v>
          </cell>
          <cell r="I140">
            <v>5797357.0133912759</v>
          </cell>
          <cell r="J140">
            <v>5763482.5928039467</v>
          </cell>
          <cell r="K140">
            <v>5441646.5516481092</v>
          </cell>
          <cell r="L140">
            <v>5119845.4310817355</v>
          </cell>
          <cell r="M140">
            <v>6417184.8593604611</v>
          </cell>
          <cell r="N140">
            <v>6125670.2401512368</v>
          </cell>
          <cell r="O140">
            <v>5750071.4758655122</v>
          </cell>
          <cell r="P140">
            <v>5374542.7238167282</v>
          </cell>
          <cell r="Q140">
            <v>6193121.7668791274</v>
          </cell>
          <cell r="R140">
            <v>5824131.7628865624</v>
          </cell>
          <cell r="S140">
            <v>5391560.131084471</v>
          </cell>
          <cell r="T140">
            <v>4959201.2626265045</v>
          </cell>
          <cell r="U140">
            <v>5464664.0175446272</v>
          </cell>
          <cell r="V140">
            <v>5093224.300618113</v>
          </cell>
          <cell r="W140">
            <v>4656081.7395408899</v>
          </cell>
          <cell r="X140">
            <v>4218680.0645011663</v>
          </cell>
          <cell r="Y140">
            <v>-3442884.0720369848</v>
          </cell>
        </row>
        <row r="141">
          <cell r="F141">
            <v>0</v>
          </cell>
          <cell r="G141">
            <v>0</v>
          </cell>
          <cell r="H141">
            <v>37901.213063584408</v>
          </cell>
          <cell r="I141">
            <v>638429.05242015922</v>
          </cell>
          <cell r="J141">
            <v>744936.97181674861</v>
          </cell>
          <cell r="K141">
            <v>745773.84746719303</v>
          </cell>
          <cell r="L141">
            <v>746613.08414455247</v>
          </cell>
          <cell r="M141">
            <v>792879.11827009486</v>
          </cell>
          <cell r="N141">
            <v>802316.4582931631</v>
          </cell>
          <cell r="O141">
            <v>802856.01239533606</v>
          </cell>
          <cell r="P141">
            <v>803278.99760177953</v>
          </cell>
          <cell r="Q141">
            <v>897546.61830411036</v>
          </cell>
          <cell r="R141">
            <v>914446.28380330792</v>
          </cell>
          <cell r="S141">
            <v>914829.03502082429</v>
          </cell>
          <cell r="T141">
            <v>915125.16799045983</v>
          </cell>
          <cell r="U141">
            <v>934333.40331036877</v>
          </cell>
          <cell r="V141">
            <v>943209.14124969929</v>
          </cell>
          <cell r="W141">
            <v>943817.67788152979</v>
          </cell>
          <cell r="X141">
            <v>943976.18200229527</v>
          </cell>
          <cell r="Y141">
            <v>621861.54684421816</v>
          </cell>
        </row>
        <row r="142">
          <cell r="F142">
            <v>0</v>
          </cell>
          <cell r="G142">
            <v>0</v>
          </cell>
          <cell r="H142">
            <v>16730.830019404413</v>
          </cell>
          <cell r="I142">
            <v>282449.40109342645</v>
          </cell>
          <cell r="J142">
            <v>329510.27886494598</v>
          </cell>
          <cell r="K142">
            <v>329878.31756064505</v>
          </cell>
          <cell r="L142">
            <v>330247.87732181349</v>
          </cell>
          <cell r="M142">
            <v>374978.34535184078</v>
          </cell>
          <cell r="N142">
            <v>383195.87180533819</v>
          </cell>
          <cell r="O142">
            <v>383464.11941595655</v>
          </cell>
          <cell r="P142">
            <v>383680.69887841097</v>
          </cell>
          <cell r="Q142">
            <v>432109.94723963598</v>
          </cell>
          <cell r="R142">
            <v>440769.80540131719</v>
          </cell>
          <cell r="S142">
            <v>440963.64956111129</v>
          </cell>
          <cell r="T142">
            <v>441114.74727555574</v>
          </cell>
          <cell r="U142">
            <v>444017.4616243752</v>
          </cell>
          <cell r="V142">
            <v>447062.02719871642</v>
          </cell>
          <cell r="W142">
            <v>447333.75853818818</v>
          </cell>
          <cell r="X142">
            <v>447402.68732714234</v>
          </cell>
          <cell r="Y142">
            <v>580098.35211711016</v>
          </cell>
        </row>
        <row r="143">
          <cell r="F143">
            <v>0</v>
          </cell>
          <cell r="G143">
            <v>0</v>
          </cell>
          <cell r="H143">
            <v>4074.5853145069741</v>
          </cell>
          <cell r="I143">
            <v>156340.46268893863</v>
          </cell>
          <cell r="J143">
            <v>7800.4130482471191</v>
          </cell>
          <cell r="K143">
            <v>388.2248050650004</v>
          </cell>
          <cell r="L143">
            <v>388.16085675214322</v>
          </cell>
          <cell r="M143">
            <v>130944.59439837921</v>
          </cell>
          <cell r="N143">
            <v>38131.629556475818</v>
          </cell>
          <cell r="O143">
            <v>33171.439045322193</v>
          </cell>
          <cell r="P143">
            <v>33203.880586736406</v>
          </cell>
          <cell r="Q143">
            <v>87357.438111179945</v>
          </cell>
          <cell r="R143">
            <v>41814.134409759572</v>
          </cell>
          <cell r="S143">
            <v>39339.471944834033</v>
          </cell>
          <cell r="T143">
            <v>39356.004625387824</v>
          </cell>
          <cell r="U143">
            <v>257982.3039649725</v>
          </cell>
          <cell r="V143">
            <v>56448.904961803506</v>
          </cell>
          <cell r="W143">
            <v>45757.106421075136</v>
          </cell>
          <cell r="X143">
            <v>45752.629491978856</v>
          </cell>
          <cell r="Y143">
            <v>-101720.90839943709</v>
          </cell>
        </row>
        <row r="144">
          <cell r="F144">
            <v>0</v>
          </cell>
          <cell r="G144">
            <v>0</v>
          </cell>
          <cell r="H144">
            <v>17699.840231523169</v>
          </cell>
          <cell r="I144">
            <v>648654.24904855608</v>
          </cell>
          <cell r="J144">
            <v>59165.217267773827</v>
          </cell>
          <cell r="K144">
            <v>29586.93055318472</v>
          </cell>
          <cell r="L144">
            <v>29618.334804429694</v>
          </cell>
          <cell r="M144">
            <v>301292.37219492596</v>
          </cell>
          <cell r="N144">
            <v>148754.16419676261</v>
          </cell>
          <cell r="O144">
            <v>139941.52820057175</v>
          </cell>
          <cell r="P144">
            <v>140061.86342724942</v>
          </cell>
          <cell r="Q144">
            <v>288006.47669728275</v>
          </cell>
          <cell r="R144">
            <v>168202.92127007173</v>
          </cell>
          <cell r="S144">
            <v>161636.92299902195</v>
          </cell>
          <cell r="T144">
            <v>161702.33915393247</v>
          </cell>
          <cell r="U144">
            <v>281271.43794010498</v>
          </cell>
          <cell r="V144">
            <v>174097.73719239928</v>
          </cell>
          <cell r="W144">
            <v>166459.01401029411</v>
          </cell>
          <cell r="X144">
            <v>166422.86613239069</v>
          </cell>
          <cell r="Y144">
            <v>-597949.57469837531</v>
          </cell>
        </row>
        <row r="145">
          <cell r="F145">
            <v>0</v>
          </cell>
          <cell r="G145">
            <v>0</v>
          </cell>
          <cell r="H145">
            <v>6179.970630955756</v>
          </cell>
          <cell r="I145">
            <v>103752.45637632557</v>
          </cell>
          <cell r="J145">
            <v>121716.82912793697</v>
          </cell>
          <cell r="K145">
            <v>121773.53035084455</v>
          </cell>
          <cell r="L145">
            <v>121798.74032264878</v>
          </cell>
          <cell r="M145">
            <v>147201.12926487392</v>
          </cell>
          <cell r="N145">
            <v>151813.58329729602</v>
          </cell>
          <cell r="O145">
            <v>151791.52086266113</v>
          </cell>
          <cell r="P145">
            <v>151740.91853175723</v>
          </cell>
          <cell r="Q145">
            <v>170388.43457373625</v>
          </cell>
          <cell r="R145">
            <v>173754.72731624666</v>
          </cell>
          <cell r="S145">
            <v>173676.04298996716</v>
          </cell>
          <cell r="T145">
            <v>173572.88778844295</v>
          </cell>
          <cell r="U145">
            <v>179431.01881145043</v>
          </cell>
          <cell r="V145">
            <v>181356.13217486395</v>
          </cell>
          <cell r="W145">
            <v>181289.80735067005</v>
          </cell>
          <cell r="X145">
            <v>181138.91821983876</v>
          </cell>
          <cell r="Y145">
            <v>144103.80824800889</v>
          </cell>
        </row>
        <row r="146">
          <cell r="F146">
            <v>0</v>
          </cell>
          <cell r="G146">
            <v>0</v>
          </cell>
          <cell r="H146">
            <v>40893.068320631181</v>
          </cell>
          <cell r="I146">
            <v>1042757.8581387469</v>
          </cell>
          <cell r="J146">
            <v>5002.0904466738684</v>
          </cell>
          <cell r="K146">
            <v>5002.090442314211</v>
          </cell>
          <cell r="L146">
            <v>5002.090442314211</v>
          </cell>
          <cell r="M146">
            <v>566862.20287842723</v>
          </cell>
          <cell r="N146">
            <v>5624.5766471730785</v>
          </cell>
          <cell r="O146">
            <v>5624.5782194004569</v>
          </cell>
          <cell r="P146">
            <v>5624.5782194004578</v>
          </cell>
          <cell r="Q146">
            <v>554097.2854093893</v>
          </cell>
          <cell r="R146">
            <v>6567.2986365433753</v>
          </cell>
          <cell r="S146">
            <v>6567.1597880953086</v>
          </cell>
          <cell r="T146">
            <v>6567.1597880953086</v>
          </cell>
          <cell r="U146">
            <v>539052.28865030746</v>
          </cell>
          <cell r="V146">
            <v>7591.108815366113</v>
          </cell>
          <cell r="W146">
            <v>7590.5897905616366</v>
          </cell>
          <cell r="X146">
            <v>7590.5897905616384</v>
          </cell>
          <cell r="Y146">
            <v>-1833843.4264469505</v>
          </cell>
        </row>
        <row r="147">
          <cell r="F147">
            <v>0</v>
          </cell>
          <cell r="G147">
            <v>0</v>
          </cell>
          <cell r="H147">
            <v>38919.887055490028</v>
          </cell>
          <cell r="I147">
            <v>1095.060540989964</v>
          </cell>
          <cell r="J147">
            <v>788.37009568872759</v>
          </cell>
          <cell r="K147">
            <v>1396.5106457844042</v>
          </cell>
          <cell r="L147">
            <v>1807.4377090952878</v>
          </cell>
          <cell r="M147">
            <v>84853.709685282345</v>
          </cell>
          <cell r="N147">
            <v>65781.373068449961</v>
          </cell>
          <cell r="O147">
            <v>42140.46668585595</v>
          </cell>
          <cell r="P147">
            <v>12454.173635471272</v>
          </cell>
          <cell r="Q147">
            <v>91858.888383978745</v>
          </cell>
          <cell r="R147">
            <v>73353.730144154077</v>
          </cell>
          <cell r="S147">
            <v>50375.715893689536</v>
          </cell>
          <cell r="T147">
            <v>21492.018024056921</v>
          </cell>
          <cell r="U147">
            <v>91870.119364209531</v>
          </cell>
          <cell r="V147">
            <v>74011.239541836709</v>
          </cell>
          <cell r="W147">
            <v>51869.664318115552</v>
          </cell>
          <cell r="X147">
            <v>24008.88424922213</v>
          </cell>
          <cell r="Y147">
            <v>-331416.38189172663</v>
          </cell>
        </row>
        <row r="148">
          <cell r="F148">
            <v>0</v>
          </cell>
          <cell r="G148">
            <v>0</v>
          </cell>
          <cell r="H148">
            <v>6996.7522847266382</v>
          </cell>
          <cell r="I148">
            <v>4009.3407237405818</v>
          </cell>
          <cell r="J148">
            <v>4921.5610449696724</v>
          </cell>
          <cell r="K148">
            <v>5288.7953091868394</v>
          </cell>
          <cell r="L148">
            <v>5665.4432496762211</v>
          </cell>
          <cell r="M148">
            <v>47974.991860615824</v>
          </cell>
          <cell r="N148">
            <v>49150.985416248892</v>
          </cell>
          <cell r="O148">
            <v>50440.497194968717</v>
          </cell>
          <cell r="P148">
            <v>52007.59834596391</v>
          </cell>
          <cell r="Q148">
            <v>59355.421659761312</v>
          </cell>
          <cell r="R148">
            <v>62131.800255316775</v>
          </cell>
          <cell r="S148">
            <v>65922.354098800482</v>
          </cell>
          <cell r="T148">
            <v>70516.324693574308</v>
          </cell>
          <cell r="U148">
            <v>59175.159212509461</v>
          </cell>
          <cell r="V148">
            <v>61658.961560110736</v>
          </cell>
          <cell r="W148">
            <v>65369.585312931536</v>
          </cell>
          <cell r="X148">
            <v>69863.408184623229</v>
          </cell>
          <cell r="Y148">
            <v>-957.25572889929754</v>
          </cell>
        </row>
        <row r="149">
          <cell r="F149">
            <v>0</v>
          </cell>
          <cell r="G149">
            <v>0</v>
          </cell>
          <cell r="H149">
            <v>6665.1100832973725</v>
          </cell>
          <cell r="I149">
            <v>295.73159258160479</v>
          </cell>
          <cell r="J149">
            <v>761.28944029209515</v>
          </cell>
          <cell r="K149">
            <v>1107.4146228603609</v>
          </cell>
          <cell r="L149">
            <v>1479.1972927364427</v>
          </cell>
          <cell r="M149">
            <v>40813.970795347224</v>
          </cell>
          <cell r="N149">
            <v>43370.890841039123</v>
          </cell>
          <cell r="O149">
            <v>47723.92481376107</v>
          </cell>
          <cell r="P149">
            <v>53291.555038529441</v>
          </cell>
          <cell r="Q149">
            <v>61364.183679769143</v>
          </cell>
          <cell r="R149">
            <v>62807.757533759926</v>
          </cell>
          <cell r="S149">
            <v>66298.530307595385</v>
          </cell>
          <cell r="T149">
            <v>70953.556760146166</v>
          </cell>
          <cell r="U149">
            <v>77725.846279585719</v>
          </cell>
          <cell r="V149">
            <v>78281.032536539657</v>
          </cell>
          <cell r="W149">
            <v>80797.407801976151</v>
          </cell>
          <cell r="X149">
            <v>84414.610749433778</v>
          </cell>
          <cell r="Y149">
            <v>33383.911144429541</v>
          </cell>
        </row>
        <row r="150">
          <cell r="F150">
            <v>0</v>
          </cell>
          <cell r="G150">
            <v>0</v>
          </cell>
          <cell r="H150">
            <v>12374.788651772818</v>
          </cell>
          <cell r="I150">
            <v>0</v>
          </cell>
          <cell r="J150">
            <v>478.82910493355928</v>
          </cell>
          <cell r="K150">
            <v>1124.3177428375498</v>
          </cell>
          <cell r="L150">
            <v>1746.9327589622753</v>
          </cell>
          <cell r="M150">
            <v>80021.363543914806</v>
          </cell>
          <cell r="N150">
            <v>74666.993117488382</v>
          </cell>
          <cell r="O150">
            <v>72699.926204400967</v>
          </cell>
          <cell r="P150">
            <v>70595.124352974439</v>
          </cell>
          <cell r="Q150">
            <v>144626.34575661377</v>
          </cell>
          <cell r="R150">
            <v>136618.62087532558</v>
          </cell>
          <cell r="S150">
            <v>131646.43499208678</v>
          </cell>
          <cell r="T150">
            <v>126399.63617957926</v>
          </cell>
          <cell r="U150">
            <v>194590.48148285423</v>
          </cell>
          <cell r="V150">
            <v>183438.67818764626</v>
          </cell>
          <cell r="W150">
            <v>174949.13548843397</v>
          </cell>
          <cell r="X150">
            <v>166023.57299210134</v>
          </cell>
          <cell r="Y150">
            <v>105353.96085406182</v>
          </cell>
        </row>
        <row r="151">
          <cell r="F151">
            <v>0</v>
          </cell>
          <cell r="G151">
            <v>0</v>
          </cell>
          <cell r="H151">
            <v>17742.019948924109</v>
          </cell>
          <cell r="I151">
            <v>23446.436980939077</v>
          </cell>
          <cell r="J151">
            <v>28007.861634217203</v>
          </cell>
          <cell r="K151">
            <v>28884.591173331744</v>
          </cell>
          <cell r="L151">
            <v>29723.757384253862</v>
          </cell>
          <cell r="M151">
            <v>141033.54165054328</v>
          </cell>
          <cell r="N151">
            <v>132827.32999807195</v>
          </cell>
          <cell r="O151">
            <v>129370.79531787895</v>
          </cell>
          <cell r="P151">
            <v>125642.41098174428</v>
          </cell>
          <cell r="Q151">
            <v>229592.96117169369</v>
          </cell>
          <cell r="R151">
            <v>216474.13864607271</v>
          </cell>
          <cell r="S151">
            <v>207776.55867086269</v>
          </cell>
          <cell r="T151">
            <v>198524.42756105063</v>
          </cell>
          <cell r="U151">
            <v>287374.12745642709</v>
          </cell>
          <cell r="V151">
            <v>268643.22349340771</v>
          </cell>
          <cell r="W151">
            <v>253685.76676507431</v>
          </cell>
          <cell r="X151">
            <v>237814.88963285682</v>
          </cell>
          <cell r="Y151">
            <v>138540.9537838882</v>
          </cell>
        </row>
        <row r="152">
          <cell r="F152">
            <v>0</v>
          </cell>
          <cell r="G152">
            <v>0</v>
          </cell>
          <cell r="H152">
            <v>24488.057159867592</v>
          </cell>
          <cell r="I152">
            <v>12793.681865297185</v>
          </cell>
          <cell r="J152">
            <v>15803.53636362806</v>
          </cell>
          <cell r="K152">
            <v>17085.798270095987</v>
          </cell>
          <cell r="L152">
            <v>18296.833751847877</v>
          </cell>
          <cell r="M152">
            <v>168921.30850752728</v>
          </cell>
          <cell r="N152">
            <v>164434.40714079083</v>
          </cell>
          <cell r="O152">
            <v>157271.33011394704</v>
          </cell>
          <cell r="P152">
            <v>149292.45211278534</v>
          </cell>
          <cell r="Q152">
            <v>279006.83230216615</v>
          </cell>
          <cell r="R152">
            <v>263967.90319883631</v>
          </cell>
          <cell r="S152">
            <v>245305.23940806955</v>
          </cell>
          <cell r="T152">
            <v>224786.42237040086</v>
          </cell>
          <cell r="U152">
            <v>336274.32530207746</v>
          </cell>
          <cell r="V152">
            <v>306843.58551918261</v>
          </cell>
          <cell r="W152">
            <v>272414.76007215766</v>
          </cell>
          <cell r="X152">
            <v>234862.30697489367</v>
          </cell>
          <cell r="Y152">
            <v>123310.11881328351</v>
          </cell>
        </row>
        <row r="153">
          <cell r="F153">
            <v>0</v>
          </cell>
          <cell r="G153">
            <v>0</v>
          </cell>
          <cell r="H153">
            <v>20446.53416031559</v>
          </cell>
          <cell r="I153">
            <v>521378.92906937347</v>
          </cell>
          <cell r="J153">
            <v>2501.0452233369342</v>
          </cell>
          <cell r="K153">
            <v>2501.0452211571055</v>
          </cell>
          <cell r="L153">
            <v>2501.0452211571055</v>
          </cell>
          <cell r="M153">
            <v>283431.10143921361</v>
          </cell>
          <cell r="N153">
            <v>2812.2883235865393</v>
          </cell>
          <cell r="O153">
            <v>2812.2891097002284</v>
          </cell>
          <cell r="P153">
            <v>2812.2891097002289</v>
          </cell>
          <cell r="Q153">
            <v>277048.64270469465</v>
          </cell>
          <cell r="R153">
            <v>3283.6493182716877</v>
          </cell>
          <cell r="S153">
            <v>3283.5798940476543</v>
          </cell>
          <cell r="T153">
            <v>3283.5798940476543</v>
          </cell>
          <cell r="U153">
            <v>269526.14432515373</v>
          </cell>
          <cell r="V153">
            <v>3795.5544076830565</v>
          </cell>
          <cell r="W153">
            <v>3795.2948952808183</v>
          </cell>
          <cell r="X153">
            <v>3795.2948952808192</v>
          </cell>
          <cell r="Y153">
            <v>-916921.71322347526</v>
          </cell>
        </row>
        <row r="154">
          <cell r="F154">
            <v>0</v>
          </cell>
          <cell r="G154">
            <v>0</v>
          </cell>
          <cell r="H154">
            <v>144278.3327952913</v>
          </cell>
          <cell r="I154">
            <v>460329.5899427798</v>
          </cell>
          <cell r="J154">
            <v>400953.60511829681</v>
          </cell>
          <cell r="K154">
            <v>341533.98688333482</v>
          </cell>
          <cell r="L154">
            <v>282071.16826650145</v>
          </cell>
          <cell r="M154">
            <v>472360.72383001994</v>
          </cell>
          <cell r="N154">
            <v>412553.61216593161</v>
          </cell>
          <cell r="O154">
            <v>352825.95762660546</v>
          </cell>
          <cell r="P154">
            <v>293177.6862030272</v>
          </cell>
          <cell r="Q154">
            <v>466730.08457589278</v>
          </cell>
          <cell r="R154">
            <v>408257.13155963022</v>
          </cell>
          <cell r="S154">
            <v>349897.58453103644</v>
          </cell>
          <cell r="T154">
            <v>291651.29368051712</v>
          </cell>
          <cell r="U154">
            <v>456453.9091854553</v>
          </cell>
          <cell r="V154">
            <v>398878.063496446</v>
          </cell>
          <cell r="W154">
            <v>341420.46073282615</v>
          </cell>
          <cell r="X154">
            <v>284081.11264186841</v>
          </cell>
          <cell r="Y154">
            <v>-690256.44860502717</v>
          </cell>
        </row>
        <row r="155">
          <cell r="F155">
            <v>0</v>
          </cell>
          <cell r="G155">
            <v>0</v>
          </cell>
          <cell r="H155">
            <v>13262.530685311649</v>
          </cell>
          <cell r="I155">
            <v>118344.84661098609</v>
          </cell>
          <cell r="J155">
            <v>119492.64748002736</v>
          </cell>
          <cell r="K155">
            <v>119819.45660319904</v>
          </cell>
          <cell r="L155">
            <v>120145.41638430451</v>
          </cell>
          <cell r="M155">
            <v>124396.96322713461</v>
          </cell>
          <cell r="N155">
            <v>124625.75603276963</v>
          </cell>
          <cell r="O155">
            <v>124723.40859428163</v>
          </cell>
          <cell r="P155">
            <v>124821.06154735803</v>
          </cell>
          <cell r="Q155">
            <v>118361.67885391765</v>
          </cell>
          <cell r="R155">
            <v>118481.87025353496</v>
          </cell>
          <cell r="S155">
            <v>118487.65853006201</v>
          </cell>
          <cell r="T155">
            <v>118493.52593144259</v>
          </cell>
          <cell r="U155">
            <v>116614.79115987851</v>
          </cell>
          <cell r="V155">
            <v>116767.67028693054</v>
          </cell>
          <cell r="W155">
            <v>116764.49863905059</v>
          </cell>
          <cell r="X155">
            <v>116761.47854593098</v>
          </cell>
          <cell r="Y155">
            <v>25232.635301965383</v>
          </cell>
        </row>
        <row r="156">
          <cell r="F156">
            <v>0</v>
          </cell>
          <cell r="G156">
            <v>0</v>
          </cell>
          <cell r="H156">
            <v>6759.2629262096852</v>
          </cell>
          <cell r="I156">
            <v>60382.067677950632</v>
          </cell>
          <cell r="J156">
            <v>60967.180112198359</v>
          </cell>
          <cell r="K156">
            <v>61133.472972693155</v>
          </cell>
          <cell r="L156">
            <v>61299.422624576262</v>
          </cell>
          <cell r="M156">
            <v>61440.252228729114</v>
          </cell>
          <cell r="N156">
            <v>61537.174844433815</v>
          </cell>
          <cell r="O156">
            <v>61581.183547457724</v>
          </cell>
          <cell r="P156">
            <v>61625.101421771804</v>
          </cell>
          <cell r="Q156">
            <v>60466.329615007715</v>
          </cell>
          <cell r="R156">
            <v>60544.870493488772</v>
          </cell>
          <cell r="S156">
            <v>60552.081290560454</v>
          </cell>
          <cell r="T156">
            <v>60559.277205525083</v>
          </cell>
          <cell r="U156">
            <v>59989.831137353933</v>
          </cell>
          <cell r="V156">
            <v>60071.591048983377</v>
          </cell>
          <cell r="W156">
            <v>60071.922928790766</v>
          </cell>
          <cell r="X156">
            <v>60072.254116884564</v>
          </cell>
          <cell r="Y156">
            <v>13486.119106893551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30841.227051232803</v>
          </cell>
          <cell r="N157">
            <v>147.94480424442355</v>
          </cell>
          <cell r="O157">
            <v>147.94480411547971</v>
          </cell>
          <cell r="P157">
            <v>147.94480411547971</v>
          </cell>
          <cell r="Q157">
            <v>42179.32002435629</v>
          </cell>
          <cell r="R157">
            <v>288.26376056439335</v>
          </cell>
          <cell r="S157">
            <v>288.26380695927514</v>
          </cell>
          <cell r="T157">
            <v>288.26380695927514</v>
          </cell>
          <cell r="U157">
            <v>43900.723762067893</v>
          </cell>
          <cell r="V157">
            <v>397.02229019014749</v>
          </cell>
          <cell r="W157">
            <v>397.01822178591794</v>
          </cell>
          <cell r="X157">
            <v>397.018221785918</v>
          </cell>
          <cell r="Y157">
            <v>43112.30604396799</v>
          </cell>
        </row>
        <row r="158">
          <cell r="F158">
            <v>0</v>
          </cell>
          <cell r="G158">
            <v>0</v>
          </cell>
          <cell r="H158">
            <v>938.31157328233758</v>
          </cell>
          <cell r="I158">
            <v>23887.375710611541</v>
          </cell>
          <cell r="J158">
            <v>114.73165294523236</v>
          </cell>
          <cell r="K158">
            <v>114.75535716120055</v>
          </cell>
          <cell r="L158">
            <v>114.73157111196829</v>
          </cell>
          <cell r="M158">
            <v>24496.816937509946</v>
          </cell>
          <cell r="N158">
            <v>11735.054637970738</v>
          </cell>
          <cell r="O158">
            <v>11766.873328811729</v>
          </cell>
          <cell r="P158">
            <v>11798.598060847769</v>
          </cell>
          <cell r="Q158">
            <v>22912.846112971827</v>
          </cell>
          <cell r="R158">
            <v>10350.754314761856</v>
          </cell>
          <cell r="S158">
            <v>10355.067807888187</v>
          </cell>
          <cell r="T158">
            <v>10359.392485776463</v>
          </cell>
          <cell r="U158">
            <v>22488.310520059669</v>
          </cell>
          <cell r="V158">
            <v>10303.328961615625</v>
          </cell>
          <cell r="W158">
            <v>10304.050712380231</v>
          </cell>
          <cell r="X158">
            <v>10304.749645195965</v>
          </cell>
          <cell r="Y158">
            <v>-32180.41029823092</v>
          </cell>
        </row>
        <row r="159">
          <cell r="F159">
            <v>0</v>
          </cell>
          <cell r="G159">
            <v>0</v>
          </cell>
          <cell r="H159">
            <v>2387.255523356097</v>
          </cell>
          <cell r="I159">
            <v>21302.072389977497</v>
          </cell>
          <cell r="J159">
            <v>21508.676546404924</v>
          </cell>
          <cell r="K159">
            <v>21567.502188575832</v>
          </cell>
          <cell r="L159">
            <v>21626.174949174812</v>
          </cell>
          <cell r="M159">
            <v>27678.917866462696</v>
          </cell>
          <cell r="N159">
            <v>27771.403425263466</v>
          </cell>
          <cell r="O159">
            <v>27803.600374496382</v>
          </cell>
          <cell r="P159">
            <v>27835.755824705848</v>
          </cell>
          <cell r="Q159">
            <v>25486.618140989831</v>
          </cell>
          <cell r="R159">
            <v>25505.119991497326</v>
          </cell>
          <cell r="S159">
            <v>25506.723056312861</v>
          </cell>
          <cell r="T159">
            <v>25508.356391109861</v>
          </cell>
          <cell r="U159">
            <v>24808.942612681065</v>
          </cell>
          <cell r="V159">
            <v>24838.948397613291</v>
          </cell>
          <cell r="W159">
            <v>24837.434022266389</v>
          </cell>
          <cell r="X159">
            <v>24835.950928210026</v>
          </cell>
          <cell r="Y159">
            <v>8145.0682861354971</v>
          </cell>
        </row>
        <row r="160">
          <cell r="F160">
            <v>0</v>
          </cell>
          <cell r="G160">
            <v>0</v>
          </cell>
          <cell r="H160">
            <v>16112.547844697579</v>
          </cell>
          <cell r="I160">
            <v>-1466665.9341425197</v>
          </cell>
          <cell r="J160">
            <v>-37952.709789887653</v>
          </cell>
          <cell r="K160">
            <v>0.51784073193204938</v>
          </cell>
          <cell r="L160">
            <v>-5.8327231457877564E-6</v>
          </cell>
          <cell r="M160">
            <v>111187.11898535574</v>
          </cell>
          <cell r="N160">
            <v>2117.5951775539738</v>
          </cell>
          <cell r="O160">
            <v>-1.6826933654215906E-2</v>
          </cell>
          <cell r="P160">
            <v>1.3366904125122758E-7</v>
          </cell>
          <cell r="Q160">
            <v>416585.73353197833</v>
          </cell>
          <cell r="R160">
            <v>7934.0120367835998</v>
          </cell>
          <cell r="S160">
            <v>-6.3045616823752482E-2</v>
          </cell>
          <cell r="T160">
            <v>5.0081923738898309E-7</v>
          </cell>
          <cell r="U160">
            <v>69295.543285739011</v>
          </cell>
          <cell r="V160">
            <v>-1014.900938576304</v>
          </cell>
          <cell r="W160">
            <v>-28.58823500490022</v>
          </cell>
          <cell r="X160">
            <v>7.133168420412762E-4</v>
          </cell>
          <cell r="Y160">
            <v>199047.25372833334</v>
          </cell>
        </row>
        <row r="161">
          <cell r="F161">
            <v>0</v>
          </cell>
          <cell r="G161">
            <v>0</v>
          </cell>
          <cell r="H161">
            <v>-57954.327982987874</v>
          </cell>
          <cell r="I161">
            <v>0</v>
          </cell>
          <cell r="J161">
            <v>-18608.249338662063</v>
          </cell>
          <cell r="K161">
            <v>-18120.230424082431</v>
          </cell>
          <cell r="L161">
            <v>-17577.886815795522</v>
          </cell>
          <cell r="M161">
            <v>37418.934924211746</v>
          </cell>
          <cell r="N161">
            <v>37686.836531849971</v>
          </cell>
          <cell r="O161">
            <v>36811.904964621499</v>
          </cell>
          <cell r="P161">
            <v>35842.192454337819</v>
          </cell>
          <cell r="Q161">
            <v>238565.77631635638</v>
          </cell>
          <cell r="R161">
            <v>235848.78324334038</v>
          </cell>
          <cell r="S161">
            <v>228406.82519437998</v>
          </cell>
          <cell r="T161">
            <v>220103.14304484081</v>
          </cell>
          <cell r="U161">
            <v>244584.03158430583</v>
          </cell>
          <cell r="V161">
            <v>231727.23179149991</v>
          </cell>
          <cell r="W161">
            <v>217608.88025048445</v>
          </cell>
          <cell r="X161">
            <v>201676.20393551083</v>
          </cell>
          <cell r="Y161">
            <v>284309.67663209722</v>
          </cell>
        </row>
        <row r="162">
          <cell r="F162">
            <v>0</v>
          </cell>
          <cell r="G162">
            <v>0</v>
          </cell>
          <cell r="H162">
            <v>-2536.0355827705816</v>
          </cell>
          <cell r="I162">
            <v>0</v>
          </cell>
          <cell r="J162">
            <v>-1992.1446632365826</v>
          </cell>
          <cell r="K162">
            <v>-2348.0982721491205</v>
          </cell>
          <cell r="L162">
            <v>-2345.1017466424755</v>
          </cell>
          <cell r="M162">
            <v>4125.3833006819004</v>
          </cell>
          <cell r="N162">
            <v>4673.1047041635611</v>
          </cell>
          <cell r="O162">
            <v>4667.137490710089</v>
          </cell>
          <cell r="P162">
            <v>4661.1871886590679</v>
          </cell>
          <cell r="Q162">
            <v>28916.025482353638</v>
          </cell>
          <cell r="R162">
            <v>30953.873442962089</v>
          </cell>
          <cell r="S162">
            <v>30914.374342729134</v>
          </cell>
          <cell r="T162">
            <v>30874.960490655965</v>
          </cell>
          <cell r="U162">
            <v>35556.050115988881</v>
          </cell>
          <cell r="V162">
            <v>36045.512581894363</v>
          </cell>
          <cell r="W162">
            <v>36144.870284940349</v>
          </cell>
          <cell r="X162">
            <v>36098.571402572867</v>
          </cell>
          <cell r="Y162">
            <v>44913.816013623757</v>
          </cell>
        </row>
        <row r="163">
          <cell r="F163">
            <v>0</v>
          </cell>
          <cell r="G163">
            <v>0</v>
          </cell>
          <cell r="H163">
            <v>-553.20641054575935</v>
          </cell>
          <cell r="I163">
            <v>0</v>
          </cell>
          <cell r="J163">
            <v>-355.78475256466891</v>
          </cell>
          <cell r="K163">
            <v>-464.22831188583064</v>
          </cell>
          <cell r="L163">
            <v>-519.4567365744665</v>
          </cell>
          <cell r="M163">
            <v>576.43794143428045</v>
          </cell>
          <cell r="N163">
            <v>742.59719414895847</v>
          </cell>
          <cell r="O163">
            <v>827.21800076860495</v>
          </cell>
          <cell r="P163">
            <v>923.16247274037437</v>
          </cell>
          <cell r="Q163">
            <v>5364.8907387437785</v>
          </cell>
          <cell r="R163">
            <v>6379.1142265119743</v>
          </cell>
          <cell r="S163">
            <v>7144.1943754975146</v>
          </cell>
          <cell r="T163">
            <v>8015.7977198001936</v>
          </cell>
          <cell r="U163">
            <v>9856.5854789266596</v>
          </cell>
          <cell r="V163">
            <v>12042.54236958712</v>
          </cell>
          <cell r="W163">
            <v>13814.339832453974</v>
          </cell>
          <cell r="X163">
            <v>15661.710150414949</v>
          </cell>
          <cell r="Y163">
            <v>16558.464983058286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4.5873072472628528E-6</v>
          </cell>
          <cell r="W164">
            <v>-6.2104180598644859E-11</v>
          </cell>
          <cell r="X164">
            <v>7.0805937268143291E-16</v>
          </cell>
          <cell r="Y164">
            <v>-1.3208517657161724E-5</v>
          </cell>
        </row>
        <row r="165">
          <cell r="F165">
            <v>0</v>
          </cell>
          <cell r="G165">
            <v>0</v>
          </cell>
          <cell r="H165">
            <v>999.49520600608798</v>
          </cell>
          <cell r="I165">
            <v>0</v>
          </cell>
          <cell r="J165">
            <v>-2351.6670844183418</v>
          </cell>
          <cell r="K165">
            <v>3.2127508373708105E-2</v>
          </cell>
          <cell r="L165">
            <v>-3.6155760042818891E-7</v>
          </cell>
          <cell r="M165">
            <v>6892.1927782332587</v>
          </cell>
          <cell r="N165">
            <v>131.26082263276271</v>
          </cell>
          <cell r="O165">
            <v>-1.0441501540465799E-3</v>
          </cell>
          <cell r="P165">
            <v>8.3008103437714285E-9</v>
          </cell>
          <cell r="Q165">
            <v>25854.423544285801</v>
          </cell>
          <cell r="R165">
            <v>492.24048254952538</v>
          </cell>
          <cell r="S165">
            <v>-3.9158680591650811E-3</v>
          </cell>
          <cell r="T165">
            <v>3.1134949772380957E-8</v>
          </cell>
          <cell r="U165">
            <v>4301.2845200400425</v>
          </cell>
          <cell r="V165">
            <v>-63.068942067646574</v>
          </cell>
          <cell r="W165">
            <v>-1.77730107611316</v>
          </cell>
          <cell r="X165">
            <v>4.4362611070853118E-5</v>
          </cell>
          <cell r="Y165">
            <v>12379.149602864005</v>
          </cell>
        </row>
        <row r="166">
          <cell r="F166">
            <v>0</v>
          </cell>
          <cell r="G166">
            <v>0</v>
          </cell>
          <cell r="H166">
            <v>-319.54048342909334</v>
          </cell>
          <cell r="I166">
            <v>0</v>
          </cell>
          <cell r="J166">
            <v>-251.01022756780941</v>
          </cell>
          <cell r="K166">
            <v>-295.86038229078918</v>
          </cell>
          <cell r="L166">
            <v>-295.4828200769519</v>
          </cell>
          <cell r="M166">
            <v>519.79829588591963</v>
          </cell>
          <cell r="N166">
            <v>553.13510908039621</v>
          </cell>
          <cell r="O166">
            <v>546.00868769448152</v>
          </cell>
          <cell r="P166">
            <v>545.31261255350546</v>
          </cell>
          <cell r="Q166">
            <v>3717.2981425708235</v>
          </cell>
          <cell r="R166">
            <v>4019.3702810136356</v>
          </cell>
          <cell r="S166">
            <v>4020.6286372768168</v>
          </cell>
          <cell r="T166">
            <v>4015.5025418721498</v>
          </cell>
          <cell r="U166">
            <v>4924.3985990108376</v>
          </cell>
          <cell r="V166">
            <v>5036.1808349626108</v>
          </cell>
          <cell r="W166">
            <v>5052.276003913008</v>
          </cell>
          <cell r="X166">
            <v>5045.8073646034118</v>
          </cell>
          <cell r="Y166">
            <v>5732.2726436720595</v>
          </cell>
        </row>
        <row r="167">
          <cell r="F167">
            <v>0</v>
          </cell>
          <cell r="G167">
            <v>0</v>
          </cell>
          <cell r="H167">
            <v>8056.2739223487897</v>
          </cell>
          <cell r="I167">
            <v>-733332.96707125986</v>
          </cell>
          <cell r="J167">
            <v>-18976.354894943826</v>
          </cell>
          <cell r="K167">
            <v>0.25892036596602469</v>
          </cell>
          <cell r="L167">
            <v>-2.9163615728938782E-6</v>
          </cell>
          <cell r="M167">
            <v>55593.559492677872</v>
          </cell>
          <cell r="N167">
            <v>1058.7975887769869</v>
          </cell>
          <cell r="O167">
            <v>-8.413466827107953E-3</v>
          </cell>
          <cell r="P167">
            <v>6.6834520625613792E-8</v>
          </cell>
          <cell r="Q167">
            <v>208292.86676598917</v>
          </cell>
          <cell r="R167">
            <v>3967.0060183917999</v>
          </cell>
          <cell r="S167">
            <v>-3.1522808411876241E-2</v>
          </cell>
          <cell r="T167">
            <v>2.5040961869449155E-7</v>
          </cell>
          <cell r="U167">
            <v>34647.771642869506</v>
          </cell>
          <cell r="V167">
            <v>-507.45046928815202</v>
          </cell>
          <cell r="W167">
            <v>-14.29411750245011</v>
          </cell>
          <cell r="X167">
            <v>3.566584210206381E-4</v>
          </cell>
          <cell r="Y167">
            <v>99523.626864166668</v>
          </cell>
        </row>
        <row r="168">
          <cell r="F168">
            <v>0</v>
          </cell>
          <cell r="G168">
            <v>0</v>
          </cell>
          <cell r="H168">
            <v>-755203.01393075637</v>
          </cell>
          <cell r="I168">
            <v>-702323.16578523442</v>
          </cell>
          <cell r="J168">
            <v>-678011.04401742923</v>
          </cell>
          <cell r="K168">
            <v>-634656.09712789685</v>
          </cell>
          <cell r="L168">
            <v>-591410.85743576998</v>
          </cell>
          <cell r="M168">
            <v>-495678.43148096395</v>
          </cell>
          <cell r="N168">
            <v>-454863.58037803601</v>
          </cell>
          <cell r="O168">
            <v>-415208.54901373782</v>
          </cell>
          <cell r="P168">
            <v>-375653.88515408413</v>
          </cell>
          <cell r="Q168">
            <v>-139135.93042746029</v>
          </cell>
          <cell r="R168">
            <v>-108069.6147281976</v>
          </cell>
          <cell r="S168">
            <v>-81040.883413433679</v>
          </cell>
          <cell r="T168">
            <v>-54080.864791451386</v>
          </cell>
          <cell r="U168">
            <v>-6681.9267553822283</v>
          </cell>
          <cell r="V168">
            <v>-2065.3851974639838</v>
          </cell>
          <cell r="W168">
            <v>2909.4139893709253</v>
          </cell>
          <cell r="X168">
            <v>7885.8970770458691</v>
          </cell>
          <cell r="Y168">
            <v>107998.95049959239</v>
          </cell>
        </row>
        <row r="169">
          <cell r="F169">
            <v>0</v>
          </cell>
          <cell r="G169">
            <v>0</v>
          </cell>
          <cell r="H169">
            <v>-36179.521742802972</v>
          </cell>
          <cell r="I169">
            <v>-66814.82748155031</v>
          </cell>
          <cell r="J169">
            <v>-92471.3613742819</v>
          </cell>
          <cell r="K169">
            <v>-92711.402552748899</v>
          </cell>
          <cell r="L169">
            <v>-92593.19859097962</v>
          </cell>
          <cell r="M169">
            <v>-86017.704630197928</v>
          </cell>
          <cell r="N169">
            <v>-85355.916049157982</v>
          </cell>
          <cell r="O169">
            <v>-85247.10199764272</v>
          </cell>
          <cell r="P169">
            <v>-85138.417387935624</v>
          </cell>
          <cell r="Q169">
            <v>-60806.661655918724</v>
          </cell>
          <cell r="R169">
            <v>-58657.634502986752</v>
          </cell>
          <cell r="S169">
            <v>-58582.8846008732</v>
          </cell>
          <cell r="T169">
            <v>-58508.195164747216</v>
          </cell>
          <cell r="U169">
            <v>-20557.437740531957</v>
          </cell>
          <cell r="V169">
            <v>-8210.0282770483645</v>
          </cell>
          <cell r="W169">
            <v>-8054.4223320370056</v>
          </cell>
          <cell r="X169">
            <v>-8044.369606726561</v>
          </cell>
          <cell r="Y169">
            <v>812.63746502056438</v>
          </cell>
        </row>
        <row r="170">
          <cell r="F170">
            <v>0</v>
          </cell>
          <cell r="G170">
            <v>0</v>
          </cell>
          <cell r="H170">
            <v>-16591.853504924689</v>
          </cell>
          <cell r="I170">
            <v>-30640.585297368532</v>
          </cell>
          <cell r="J170">
            <v>-42398.576183494173</v>
          </cell>
          <cell r="K170">
            <v>-42508.342774321318</v>
          </cell>
          <cell r="L170">
            <v>-42454.146051161631</v>
          </cell>
          <cell r="M170">
            <v>-39444.626228380264</v>
          </cell>
          <cell r="N170">
            <v>-39141.639180812883</v>
          </cell>
          <cell r="O170">
            <v>-39091.740339573385</v>
          </cell>
          <cell r="P170">
            <v>-39041.900867708624</v>
          </cell>
          <cell r="Q170">
            <v>-27919.126737556442</v>
          </cell>
          <cell r="R170">
            <v>-26936.747108675667</v>
          </cell>
          <cell r="S170">
            <v>-26902.420394329987</v>
          </cell>
          <cell r="T170">
            <v>-26868.121526609437</v>
          </cell>
          <cell r="U170">
            <v>-10371.985274006151</v>
          </cell>
          <cell r="V170">
            <v>-5056.7277997106612</v>
          </cell>
          <cell r="W170">
            <v>-4988.5721521785317</v>
          </cell>
          <cell r="X170">
            <v>-4982.3106248705508</v>
          </cell>
          <cell r="Y170">
            <v>-859.4789596049277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-2352.456910195398</v>
          </cell>
          <cell r="V171">
            <v>-60.87419931660181</v>
          </cell>
          <cell r="W171">
            <v>8.3058996589186254E-4</v>
          </cell>
          <cell r="X171">
            <v>-9.3553886745089669E-9</v>
          </cell>
          <cell r="Y171">
            <v>178.33843433115513</v>
          </cell>
        </row>
        <row r="172">
          <cell r="F172">
            <v>0</v>
          </cell>
          <cell r="G172">
            <v>0</v>
          </cell>
          <cell r="H172">
            <v>997.94514954022418</v>
          </cell>
          <cell r="I172">
            <v>-90606.018285260623</v>
          </cell>
          <cell r="J172">
            <v>-2348.007882359384</v>
          </cell>
          <cell r="K172">
            <v>3.2077705813881134E-2</v>
          </cell>
          <cell r="L172">
            <v>-3.6099568461816711E-7</v>
          </cell>
          <cell r="M172">
            <v>234.00702226700378</v>
          </cell>
          <cell r="N172">
            <v>-9069.0114107800982</v>
          </cell>
          <cell r="O172">
            <v>-9223.9511939079548</v>
          </cell>
          <cell r="P172">
            <v>-9212.1899210068605</v>
          </cell>
          <cell r="Q172">
            <v>17917.76283796901</v>
          </cell>
          <cell r="R172">
            <v>-7085.3440034351461</v>
          </cell>
          <cell r="S172">
            <v>-7563.6233101553535</v>
          </cell>
          <cell r="T172">
            <v>-7553.9762968802934</v>
          </cell>
          <cell r="U172">
            <v>-1835.3828646172879</v>
          </cell>
          <cell r="V172">
            <v>-6344.1440120206307</v>
          </cell>
          <cell r="W172">
            <v>-6279.9600901630347</v>
          </cell>
          <cell r="X172">
            <v>-6270.1811574822896</v>
          </cell>
          <cell r="Y172">
            <v>10638.767711700029</v>
          </cell>
        </row>
        <row r="173">
          <cell r="F173">
            <v>0</v>
          </cell>
          <cell r="G173">
            <v>0</v>
          </cell>
          <cell r="H173">
            <v>-4558.6197395931749</v>
          </cell>
          <cell r="I173">
            <v>-8418.6682626753409</v>
          </cell>
          <cell r="J173">
            <v>-11651.39153315952</v>
          </cell>
          <cell r="K173">
            <v>-11681.636721646362</v>
          </cell>
          <cell r="L173">
            <v>-11666.743022463434</v>
          </cell>
          <cell r="M173">
            <v>-12034.776103578986</v>
          </cell>
          <cell r="N173">
            <v>-12410.857700801869</v>
          </cell>
          <cell r="O173">
            <v>-12401.445878950581</v>
          </cell>
          <cell r="P173">
            <v>-12385.634776662619</v>
          </cell>
          <cell r="Q173">
            <v>-8011.622205396744</v>
          </cell>
          <cell r="R173">
            <v>-7271.8649511229032</v>
          </cell>
          <cell r="S173">
            <v>-7256.2209120636635</v>
          </cell>
          <cell r="T173">
            <v>-7246.9697445628135</v>
          </cell>
          <cell r="U173">
            <v>-1363.3074395688727</v>
          </cell>
          <cell r="V173">
            <v>520.00948482929027</v>
          </cell>
          <cell r="W173">
            <v>541.83269186107668</v>
          </cell>
          <cell r="X173">
            <v>541.11462167061563</v>
          </cell>
          <cell r="Y173">
            <v>1784.1732013675219</v>
          </cell>
        </row>
        <row r="174">
          <cell r="F174">
            <v>0</v>
          </cell>
          <cell r="G174">
            <v>0</v>
          </cell>
          <cell r="H174">
            <v>92146.534108850406</v>
          </cell>
          <cell r="I174">
            <v>-7913040.8603855316</v>
          </cell>
          <cell r="J174">
            <v>-543320.54827631626</v>
          </cell>
          <cell r="K174">
            <v>15.609560076109538</v>
          </cell>
          <cell r="L174">
            <v>-3.4508452342292935E-4</v>
          </cell>
          <cell r="M174">
            <v>4472977.8334836988</v>
          </cell>
          <cell r="N174">
            <v>140598.88162601111</v>
          </cell>
          <cell r="O174">
            <v>-439.97544534513202</v>
          </cell>
          <cell r="P174">
            <v>2.1298665540952107E-2</v>
          </cell>
          <cell r="Q174">
            <v>1884112.5208873076</v>
          </cell>
          <cell r="R174">
            <v>43884.000608282993</v>
          </cell>
          <cell r="S174">
            <v>-649.56765284024095</v>
          </cell>
          <cell r="T174">
            <v>-0.28332574589597187</v>
          </cell>
          <cell r="U174">
            <v>484002.42115788348</v>
          </cell>
          <cell r="V174">
            <v>-44464.787658474917</v>
          </cell>
          <cell r="W174">
            <v>-1822.3458997379389</v>
          </cell>
          <cell r="X174">
            <v>-0.91430801845494658</v>
          </cell>
          <cell r="Y174">
            <v>-360607.75971784617</v>
          </cell>
        </row>
        <row r="175">
          <cell r="F175">
            <v>0</v>
          </cell>
          <cell r="G175">
            <v>0</v>
          </cell>
          <cell r="H175">
            <v>-87907.176396875831</v>
          </cell>
          <cell r="I175">
            <v>0</v>
          </cell>
          <cell r="J175">
            <v>-30052.970645628153</v>
          </cell>
          <cell r="K175">
            <v>-27873.013583192544</v>
          </cell>
          <cell r="L175">
            <v>-25699.723592779948</v>
          </cell>
          <cell r="M175">
            <v>222555.98253132199</v>
          </cell>
          <cell r="N175">
            <v>214192.41661741075</v>
          </cell>
          <cell r="O175">
            <v>197554.35502684143</v>
          </cell>
          <cell r="P175">
            <v>180986.18099880961</v>
          </cell>
          <cell r="Q175">
            <v>270515.04564432229</v>
          </cell>
          <cell r="R175">
            <v>251370.34861708275</v>
          </cell>
          <cell r="S175">
            <v>229666.62621508579</v>
          </cell>
          <cell r="T175">
            <v>208058.63547155718</v>
          </cell>
          <cell r="U175">
            <v>214557.79481885862</v>
          </cell>
          <cell r="V175">
            <v>190438.74584073722</v>
          </cell>
          <cell r="W175">
            <v>168897.44858793315</v>
          </cell>
          <cell r="X175">
            <v>147521.08938451757</v>
          </cell>
          <cell r="Y175">
            <v>108556.47316747493</v>
          </cell>
        </row>
        <row r="176">
          <cell r="F176">
            <v>0</v>
          </cell>
          <cell r="G176">
            <v>0</v>
          </cell>
          <cell r="H176">
            <v>-78963.214696823532</v>
          </cell>
          <cell r="I176">
            <v>0</v>
          </cell>
          <cell r="J176">
            <v>-69444.7505018581</v>
          </cell>
          <cell r="K176">
            <v>-76751.374297897521</v>
          </cell>
          <cell r="L176">
            <v>-71351.402475012481</v>
          </cell>
          <cell r="M176">
            <v>558997.85414677032</v>
          </cell>
          <cell r="N176">
            <v>589091.28727393516</v>
          </cell>
          <cell r="O176">
            <v>547316.89753334643</v>
          </cell>
          <cell r="P176">
            <v>505474.27234707313</v>
          </cell>
          <cell r="Q176">
            <v>736537.56775353034</v>
          </cell>
          <cell r="R176">
            <v>703901.63281325425</v>
          </cell>
          <cell r="S176">
            <v>647947.0610853245</v>
          </cell>
          <cell r="T176">
            <v>592146.04182090913</v>
          </cell>
          <cell r="U176">
            <v>628396.61158868938</v>
          </cell>
          <cell r="V176">
            <v>550083.27830075193</v>
          </cell>
          <cell r="W176">
            <v>490635.59064260032</v>
          </cell>
          <cell r="X176">
            <v>432979.18177433661</v>
          </cell>
          <cell r="Y176">
            <v>377668.80487685086</v>
          </cell>
        </row>
        <row r="177">
          <cell r="F177">
            <v>0</v>
          </cell>
          <cell r="G177">
            <v>0</v>
          </cell>
          <cell r="H177">
            <v>-2275.9211248939628</v>
          </cell>
          <cell r="I177">
            <v>0</v>
          </cell>
          <cell r="J177">
            <v>-1823.4877021410082</v>
          </cell>
          <cell r="K177">
            <v>-2140.0141307270915</v>
          </cell>
          <cell r="L177">
            <v>-2137.1628211329225</v>
          </cell>
          <cell r="M177">
            <v>14321.897102034272</v>
          </cell>
          <cell r="N177">
            <v>16325.390764096841</v>
          </cell>
          <cell r="O177">
            <v>16334.537297791754</v>
          </cell>
          <cell r="P177">
            <v>16312.635077633386</v>
          </cell>
          <cell r="Q177">
            <v>21007.308695499698</v>
          </cell>
          <cell r="R177">
            <v>21371.875735727946</v>
          </cell>
          <cell r="S177">
            <v>21340.595977858451</v>
          </cell>
          <cell r="T177">
            <v>21311.93758312759</v>
          </cell>
          <cell r="U177">
            <v>21680.993465073199</v>
          </cell>
          <cell r="V177">
            <v>21223.582389273564</v>
          </cell>
          <cell r="W177">
            <v>21189.980095191178</v>
          </cell>
          <cell r="X177">
            <v>21161.034089830006</v>
          </cell>
          <cell r="Y177">
            <v>17488.35983067724</v>
          </cell>
        </row>
        <row r="178">
          <cell r="F178">
            <v>0</v>
          </cell>
          <cell r="G178">
            <v>0</v>
          </cell>
          <cell r="H178">
            <v>-1876.9220964037315</v>
          </cell>
          <cell r="I178">
            <v>0</v>
          </cell>
          <cell r="J178">
            <v>-1463.6618344947867</v>
          </cell>
          <cell r="K178">
            <v>-1746.5340127124432</v>
          </cell>
          <cell r="L178">
            <v>-1776.8250528313415</v>
          </cell>
          <cell r="M178">
            <v>11395.918222622524</v>
          </cell>
          <cell r="N178">
            <v>13276.705902262238</v>
          </cell>
          <cell r="O178">
            <v>13547.458758158313</v>
          </cell>
          <cell r="P178">
            <v>13789.897435444771</v>
          </cell>
          <cell r="Q178">
            <v>17309.352546704064</v>
          </cell>
          <cell r="R178">
            <v>17858.035234406892</v>
          </cell>
          <cell r="S178">
            <v>18132.689308180641</v>
          </cell>
          <cell r="T178">
            <v>18410.177803945302</v>
          </cell>
          <cell r="U178">
            <v>18602.533675195871</v>
          </cell>
          <cell r="V178">
            <v>18550.03308508308</v>
          </cell>
          <cell r="W178">
            <v>18821.430527840013</v>
          </cell>
          <cell r="X178">
            <v>19088.552803154744</v>
          </cell>
          <cell r="Y178">
            <v>15711.237246758155</v>
          </cell>
        </row>
        <row r="179">
          <cell r="F179">
            <v>0</v>
          </cell>
          <cell r="G179">
            <v>0</v>
          </cell>
          <cell r="H179">
            <v>242.67826155798917</v>
          </cell>
          <cell r="I179">
            <v>0</v>
          </cell>
          <cell r="J179">
            <v>-1428.9647850893268</v>
          </cell>
          <cell r="K179">
            <v>4.1117217836869162E-2</v>
          </cell>
          <cell r="L179">
            <v>-9.0806103772573322E-7</v>
          </cell>
          <cell r="M179">
            <v>11769.727133049311</v>
          </cell>
          <cell r="N179">
            <v>369.93074413978218</v>
          </cell>
          <cell r="O179">
            <v>-1.1591603863164919</v>
          </cell>
          <cell r="P179">
            <v>5.615827654538433E-5</v>
          </cell>
          <cell r="Q179">
            <v>4964.7838584296551</v>
          </cell>
          <cell r="R179">
            <v>115.56598245252658</v>
          </cell>
          <cell r="S179">
            <v>-1.7132752180298809</v>
          </cell>
          <cell r="T179">
            <v>-7.4782272954160669E-4</v>
          </cell>
          <cell r="U179">
            <v>1275.5000741968377</v>
          </cell>
          <cell r="V179">
            <v>-117.33830687226553</v>
          </cell>
          <cell r="W179">
            <v>-4.8120827060041789</v>
          </cell>
          <cell r="X179">
            <v>-2.4154185253889514E-3</v>
          </cell>
          <cell r="Y179">
            <v>-952.65342274192597</v>
          </cell>
        </row>
        <row r="180">
          <cell r="F180">
            <v>0</v>
          </cell>
          <cell r="G180">
            <v>0</v>
          </cell>
          <cell r="H180">
            <v>-102.41645062022832</v>
          </cell>
          <cell r="I180">
            <v>0</v>
          </cell>
          <cell r="J180">
            <v>-82.056946596345369</v>
          </cell>
          <cell r="K180">
            <v>-96.300635882719121</v>
          </cell>
          <cell r="L180">
            <v>-96.172326950981528</v>
          </cell>
          <cell r="M180">
            <v>644.48536959154239</v>
          </cell>
          <cell r="N180">
            <v>742.39323858461785</v>
          </cell>
          <cell r="O180">
            <v>744.15030510088491</v>
          </cell>
          <cell r="P180">
            <v>743.15258570333003</v>
          </cell>
          <cell r="Q180">
            <v>884.44943838956794</v>
          </cell>
          <cell r="R180">
            <v>900.13263517431119</v>
          </cell>
          <cell r="S180">
            <v>900.03912809751546</v>
          </cell>
          <cell r="T180">
            <v>898.83041491346103</v>
          </cell>
          <cell r="U180">
            <v>825.12415834439969</v>
          </cell>
          <cell r="V180">
            <v>798.46228250300146</v>
          </cell>
          <cell r="W180">
            <v>797.74465499076291</v>
          </cell>
          <cell r="X180">
            <v>796.65122229051121</v>
          </cell>
          <cell r="Y180">
            <v>573.31039389136049</v>
          </cell>
        </row>
        <row r="181">
          <cell r="F181">
            <v>0</v>
          </cell>
          <cell r="G181">
            <v>0</v>
          </cell>
          <cell r="H181">
            <v>-38.001442837987305</v>
          </cell>
          <cell r="I181">
            <v>0</v>
          </cell>
          <cell r="J181">
            <v>-18.929657357300858</v>
          </cell>
          <cell r="K181">
            <v>-34.835962040542533</v>
          </cell>
          <cell r="L181">
            <v>-32.452658557694043</v>
          </cell>
          <cell r="M181">
            <v>149.90754662573465</v>
          </cell>
          <cell r="N181">
            <v>264.07281396322924</v>
          </cell>
          <cell r="O181">
            <v>248.909108658977</v>
          </cell>
          <cell r="P181">
            <v>230.43773028647536</v>
          </cell>
          <cell r="Q181">
            <v>291.0616802452991</v>
          </cell>
          <cell r="R181">
            <v>319.28798131110847</v>
          </cell>
          <cell r="S181">
            <v>295.60616492509752</v>
          </cell>
          <cell r="T181">
            <v>270.95109068796495</v>
          </cell>
          <cell r="U181">
            <v>275.95458606268556</v>
          </cell>
          <cell r="V181">
            <v>253.37273115441857</v>
          </cell>
          <cell r="W181">
            <v>226.12759257739566</v>
          </cell>
          <cell r="X181">
            <v>200.61748900091055</v>
          </cell>
          <cell r="Y181">
            <v>182.89473205959905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F185">
            <v>0</v>
          </cell>
          <cell r="G185">
            <v>0</v>
          </cell>
          <cell r="H185">
            <v>2218.7197473691626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280370.0408902627</v>
          </cell>
          <cell r="N185">
            <v>65046.92987801753</v>
          </cell>
          <cell r="O185">
            <v>55371.737530261868</v>
          </cell>
          <cell r="P185">
            <v>55189.857679004926</v>
          </cell>
          <cell r="Q185">
            <v>304361.55196998623</v>
          </cell>
          <cell r="R185">
            <v>97194.129854974875</v>
          </cell>
          <cell r="S185">
            <v>88756.372346624383</v>
          </cell>
          <cell r="T185">
            <v>91278.310507301198</v>
          </cell>
          <cell r="U185">
            <v>1001559.4606531621</v>
          </cell>
          <cell r="V185">
            <v>287047.2759764131</v>
          </cell>
          <cell r="W185">
            <v>252887.20458712842</v>
          </cell>
          <cell r="X185">
            <v>256446.74680469959</v>
          </cell>
          <cell r="Y185">
            <v>907040.11392947158</v>
          </cell>
        </row>
        <row r="186">
          <cell r="F186">
            <v>0</v>
          </cell>
          <cell r="G186">
            <v>0</v>
          </cell>
          <cell r="H186">
            <v>12430.638492343349</v>
          </cell>
          <cell r="I186">
            <v>189171.95985361573</v>
          </cell>
          <cell r="J186">
            <v>9438.4997883790165</v>
          </cell>
          <cell r="K186">
            <v>469.7520141286505</v>
          </cell>
          <cell r="L186">
            <v>469.67463667009343</v>
          </cell>
          <cell r="M186">
            <v>228898.56580014038</v>
          </cell>
          <cell r="N186">
            <v>50131.149452789032</v>
          </cell>
          <cell r="O186">
            <v>40335.841462366043</v>
          </cell>
          <cell r="P186">
            <v>40375.175306794292</v>
          </cell>
          <cell r="Q186">
            <v>154669.4400561433</v>
          </cell>
          <cell r="R186">
            <v>54096.718663433436</v>
          </cell>
          <cell r="S186">
            <v>47911.280865661509</v>
          </cell>
          <cell r="T186">
            <v>47928.954224326619</v>
          </cell>
          <cell r="U186">
            <v>550025.09184086276</v>
          </cell>
          <cell r="V186">
            <v>89334.432653226628</v>
          </cell>
          <cell r="W186">
            <v>56637.677248954918</v>
          </cell>
          <cell r="X186">
            <v>56629.057042248816</v>
          </cell>
          <cell r="Y186">
            <v>301233.65716869873</v>
          </cell>
        </row>
        <row r="187">
          <cell r="F187">
            <v>0</v>
          </cell>
          <cell r="G187">
            <v>0</v>
          </cell>
          <cell r="H187">
            <v>20137.951613195582</v>
          </cell>
          <cell r="I187">
            <v>0</v>
          </cell>
          <cell r="J187">
            <v>517.13543332824418</v>
          </cell>
          <cell r="K187">
            <v>1214.2631622645538</v>
          </cell>
          <cell r="L187">
            <v>1886.6873796792574</v>
          </cell>
          <cell r="M187">
            <v>153040.12305809086</v>
          </cell>
          <cell r="N187">
            <v>80800.132955471447</v>
          </cell>
          <cell r="O187">
            <v>78675.70068919778</v>
          </cell>
          <cell r="P187">
            <v>76402.514689657124</v>
          </cell>
          <cell r="Q187">
            <v>229196.66245453723</v>
          </cell>
          <cell r="R187">
            <v>147859.43540676119</v>
          </cell>
          <cell r="S187">
            <v>142489.47470296978</v>
          </cell>
          <cell r="T187">
            <v>136822.93198546165</v>
          </cell>
          <cell r="U187">
            <v>272363.46541226871</v>
          </cell>
          <cell r="V187">
            <v>198542.55651606334</v>
          </cell>
          <cell r="W187">
            <v>189373.8460070375</v>
          </cell>
          <cell r="X187">
            <v>179734.23851099826</v>
          </cell>
          <cell r="Y187">
            <v>167059.88073215741</v>
          </cell>
        </row>
        <row r="188">
          <cell r="F188">
            <v>0</v>
          </cell>
          <cell r="G188">
            <v>0</v>
          </cell>
          <cell r="H188">
            <v>45.843773947034769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-2352.4569101953971</v>
          </cell>
          <cell r="V188">
            <v>-30.437097364647272</v>
          </cell>
          <cell r="W188">
            <v>4.1529495189384096E-4</v>
          </cell>
          <cell r="X188">
            <v>-4.677693983224796E-9</v>
          </cell>
          <cell r="Y188">
            <v>89.169210561318707</v>
          </cell>
        </row>
        <row r="189">
          <cell r="F189">
            <v>0</v>
          </cell>
          <cell r="G189">
            <v>0</v>
          </cell>
          <cell r="H189">
            <v>6863.3699691149795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-115981.65125883406</v>
          </cell>
          <cell r="N189">
            <v>1.9885689046762657E-12</v>
          </cell>
          <cell r="O189">
            <v>-6.1413932259439323E-17</v>
          </cell>
          <cell r="P189">
            <v>1.2951517300306633E-21</v>
          </cell>
          <cell r="Q189">
            <v>-10645.055473185683</v>
          </cell>
          <cell r="R189">
            <v>-8.8820784019336967E-9</v>
          </cell>
          <cell r="S189">
            <v>2.4576386050162717E-13</v>
          </cell>
          <cell r="T189">
            <v>-5.8149358265519694E-18</v>
          </cell>
          <cell r="U189">
            <v>-132137.41219283125</v>
          </cell>
          <cell r="V189">
            <v>-3.4234327211525954E-8</v>
          </cell>
          <cell r="W189">
            <v>-6.648096841905541E-12</v>
          </cell>
          <cell r="X189">
            <v>3.2170265941339578E-16</v>
          </cell>
          <cell r="Y189">
            <v>-81757.018595464324</v>
          </cell>
        </row>
        <row r="190">
          <cell r="F190">
            <v>0</v>
          </cell>
          <cell r="G190">
            <v>0</v>
          </cell>
          <cell r="H190">
            <v>24629.11318421927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-356.71644078682579</v>
          </cell>
          <cell r="R190">
            <v>4.2659243805557158E-4</v>
          </cell>
          <cell r="S190">
            <v>-1.0662588712628614E-17</v>
          </cell>
          <cell r="T190">
            <v>0</v>
          </cell>
          <cell r="U190">
            <v>-11020.064474005227</v>
          </cell>
          <cell r="V190">
            <v>1.4524068891511783E-3</v>
          </cell>
          <cell r="W190">
            <v>8.1443476917693116E-16</v>
          </cell>
          <cell r="X190">
            <v>0</v>
          </cell>
          <cell r="Y190">
            <v>652.22647012240634</v>
          </cell>
        </row>
        <row r="191">
          <cell r="F191">
            <v>0</v>
          </cell>
          <cell r="G191">
            <v>0</v>
          </cell>
          <cell r="H191">
            <v>2324.2186457327825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233641.70074188558</v>
          </cell>
          <cell r="N191">
            <v>54205.774898347947</v>
          </cell>
          <cell r="O191">
            <v>46143.114608551557</v>
          </cell>
          <cell r="P191">
            <v>45991.548065837444</v>
          </cell>
          <cell r="Q191">
            <v>253634.62664165517</v>
          </cell>
          <cell r="R191">
            <v>80995.10821247907</v>
          </cell>
          <cell r="S191">
            <v>73963.643622186981</v>
          </cell>
          <cell r="T191">
            <v>76065.258756084339</v>
          </cell>
          <cell r="U191">
            <v>834632.88387763512</v>
          </cell>
          <cell r="V191">
            <v>239206.06331367756</v>
          </cell>
          <cell r="W191">
            <v>210739.33715594036</v>
          </cell>
          <cell r="X191">
            <v>213705.62233724963</v>
          </cell>
          <cell r="Y191">
            <v>755866.76160789304</v>
          </cell>
        </row>
        <row r="192">
          <cell r="F192">
            <v>0</v>
          </cell>
          <cell r="G192">
            <v>0</v>
          </cell>
          <cell r="H192">
            <v>6527.9503181949194</v>
          </cell>
          <cell r="I192">
            <v>85987.254478916235</v>
          </cell>
          <cell r="J192">
            <v>4290.2271765359164</v>
          </cell>
          <cell r="K192">
            <v>213.52364278575024</v>
          </cell>
          <cell r="L192">
            <v>213.48847121367882</v>
          </cell>
          <cell r="M192">
            <v>104044.80263642743</v>
          </cell>
          <cell r="N192">
            <v>22786.886114904104</v>
          </cell>
          <cell r="O192">
            <v>18334.473391984564</v>
          </cell>
          <cell r="P192">
            <v>18352.352412179222</v>
          </cell>
          <cell r="Q192">
            <v>70304.290934610573</v>
          </cell>
          <cell r="R192">
            <v>24589.41757428792</v>
          </cell>
          <cell r="S192">
            <v>21777.854938937049</v>
          </cell>
          <cell r="T192">
            <v>21785.888283784821</v>
          </cell>
          <cell r="U192">
            <v>250011.4053822103</v>
          </cell>
          <cell r="V192">
            <v>40606.560296921198</v>
          </cell>
          <cell r="W192">
            <v>25744.398749524964</v>
          </cell>
          <cell r="X192">
            <v>25740.480473749456</v>
          </cell>
          <cell r="Y192">
            <v>136924.38962213576</v>
          </cell>
        </row>
        <row r="193">
          <cell r="F193">
            <v>0</v>
          </cell>
          <cell r="G193">
            <v>0</v>
          </cell>
          <cell r="H193">
            <v>7703.5907816677009</v>
          </cell>
          <cell r="I193">
            <v>0</v>
          </cell>
          <cell r="J193">
            <v>191.53164197342375</v>
          </cell>
          <cell r="K193">
            <v>449.7270971350199</v>
          </cell>
          <cell r="L193">
            <v>698.77310358491013</v>
          </cell>
          <cell r="M193">
            <v>56681.527058552172</v>
          </cell>
          <cell r="N193">
            <v>29925.975168693127</v>
          </cell>
          <cell r="O193">
            <v>29139.148403406583</v>
          </cell>
          <cell r="P193">
            <v>28297.227662835969</v>
          </cell>
          <cell r="Q193">
            <v>84887.652760939702</v>
          </cell>
          <cell r="R193">
            <v>54762.753854355993</v>
          </cell>
          <cell r="S193">
            <v>52773.879519618436</v>
          </cell>
          <cell r="T193">
            <v>50675.159994615424</v>
          </cell>
          <cell r="U193">
            <v>100875.35756009951</v>
          </cell>
          <cell r="V193">
            <v>73534.280191134574</v>
          </cell>
          <cell r="W193">
            <v>70138.461484087951</v>
          </cell>
          <cell r="X193">
            <v>66568.236485554909</v>
          </cell>
          <cell r="Y193">
            <v>61874.029900799047</v>
          </cell>
        </row>
        <row r="194">
          <cell r="F194">
            <v>0</v>
          </cell>
          <cell r="G194">
            <v>0</v>
          </cell>
          <cell r="H194">
            <v>36.406035797012493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-470.49138203907944</v>
          </cell>
          <cell r="V194">
            <v>-6.0874194729294544</v>
          </cell>
          <cell r="W194">
            <v>8.3058990378768175E-5</v>
          </cell>
          <cell r="X194">
            <v>-9.3553879664495925E-10</v>
          </cell>
          <cell r="Y194">
            <v>17.833842112263738</v>
          </cell>
        </row>
        <row r="195">
          <cell r="F195">
            <v>0</v>
          </cell>
          <cell r="G195">
            <v>0</v>
          </cell>
          <cell r="H195">
            <v>4902.4071207964143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-82844.036613452903</v>
          </cell>
          <cell r="N195">
            <v>1.420406360483047E-12</v>
          </cell>
          <cell r="O195">
            <v>-4.3867094471028091E-17</v>
          </cell>
          <cell r="P195">
            <v>9.2510837859333078E-22</v>
          </cell>
          <cell r="Q195">
            <v>-7603.6110522754889</v>
          </cell>
          <cell r="R195">
            <v>-6.3443417156669275E-9</v>
          </cell>
          <cell r="S195">
            <v>1.7554561464401939E-13</v>
          </cell>
          <cell r="T195">
            <v>-4.1535255903942647E-18</v>
          </cell>
          <cell r="U195">
            <v>-94383.865852022325</v>
          </cell>
          <cell r="V195">
            <v>-2.4453090865375684E-8</v>
          </cell>
          <cell r="W195">
            <v>-4.7486406013611017E-12</v>
          </cell>
          <cell r="X195">
            <v>2.2978761386671135E-16</v>
          </cell>
          <cell r="Y195">
            <v>-58397.870425331668</v>
          </cell>
        </row>
        <row r="196">
          <cell r="F196">
            <v>0</v>
          </cell>
          <cell r="G196">
            <v>0</v>
          </cell>
          <cell r="H196">
            <v>24629.11318421927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-356.71644078682579</v>
          </cell>
          <cell r="R196">
            <v>4.2659243805557158E-4</v>
          </cell>
          <cell r="S196">
            <v>-1.0662588712628614E-17</v>
          </cell>
          <cell r="T196">
            <v>0</v>
          </cell>
          <cell r="U196">
            <v>-11020.064474005227</v>
          </cell>
          <cell r="V196">
            <v>1.4524068891511783E-3</v>
          </cell>
          <cell r="W196">
            <v>8.1443476917693116E-16</v>
          </cell>
          <cell r="X196">
            <v>0</v>
          </cell>
          <cell r="Y196">
            <v>652.22647012240634</v>
          </cell>
        </row>
        <row r="197">
          <cell r="F197">
            <v>0</v>
          </cell>
          <cell r="G197">
            <v>0</v>
          </cell>
          <cell r="H197">
            <v>2951.5293777719744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254106.84639587378</v>
          </cell>
          <cell r="R197">
            <v>58953.767551455327</v>
          </cell>
          <cell r="S197">
            <v>50184.882659349627</v>
          </cell>
          <cell r="T197">
            <v>50020.04009885672</v>
          </cell>
          <cell r="U197">
            <v>381938.31605780928</v>
          </cell>
          <cell r="V197">
            <v>112702.30015020762</v>
          </cell>
          <cell r="W197">
            <v>101394.00487349957</v>
          </cell>
          <cell r="X197">
            <v>103610.88440980738</v>
          </cell>
          <cell r="Y197">
            <v>1067141.1118346658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79243.235387610868</v>
          </cell>
          <cell r="N198">
            <v>3953.7427270680037</v>
          </cell>
          <cell r="O198">
            <v>196.77688732625066</v>
          </cell>
          <cell r="P198">
            <v>196.74447427641559</v>
          </cell>
          <cell r="Q198">
            <v>120801.43089081874</v>
          </cell>
          <cell r="R198">
            <v>22242.898576116371</v>
          </cell>
          <cell r="S198">
            <v>16958.366082484186</v>
          </cell>
          <cell r="T198">
            <v>16974.832651250748</v>
          </cell>
          <cell r="U198">
            <v>102214.86839751517</v>
          </cell>
          <cell r="V198">
            <v>29626.895327857172</v>
          </cell>
          <cell r="W198">
            <v>25400.735239236099</v>
          </cell>
          <cell r="X198">
            <v>25413.316432660376</v>
          </cell>
          <cell r="Y198">
            <v>261736.69546550521</v>
          </cell>
        </row>
        <row r="199">
          <cell r="F199">
            <v>0</v>
          </cell>
          <cell r="G199">
            <v>0</v>
          </cell>
          <cell r="H199">
            <v>17610.70637307275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342.08814939864124</v>
          </cell>
          <cell r="O199">
            <v>803.24226748230512</v>
          </cell>
          <cell r="P199">
            <v>1248.054866506473</v>
          </cell>
          <cell r="Q199">
            <v>101236.94704836092</v>
          </cell>
          <cell r="R199">
            <v>53565.117376307644</v>
          </cell>
          <cell r="S199">
            <v>52315.292885064395</v>
          </cell>
          <cell r="T199">
            <v>50961.556599296156</v>
          </cell>
          <cell r="U199">
            <v>185751.79594020348</v>
          </cell>
          <cell r="V199">
            <v>115871.3819315586</v>
          </cell>
          <cell r="W199">
            <v>111896.963190853</v>
          </cell>
          <cell r="X199">
            <v>107691.34041614302</v>
          </cell>
          <cell r="Y199">
            <v>242646.97514586698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-25352.785177094134</v>
          </cell>
          <cell r="R201">
            <v>4.3468738117544862E-13</v>
          </cell>
          <cell r="S201">
            <v>-1.3424659974700804E-17</v>
          </cell>
          <cell r="T201">
            <v>2.831111923896514E-22</v>
          </cell>
          <cell r="U201">
            <v>-8653.3513527532596</v>
          </cell>
          <cell r="V201">
            <v>-1.9414523132946557E-9</v>
          </cell>
          <cell r="W201">
            <v>5.3718926760260887E-14</v>
          </cell>
          <cell r="X201">
            <v>-1.271034026162867E-18</v>
          </cell>
          <cell r="Y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-77.857884390129698</v>
          </cell>
          <cell r="V202">
            <v>9.3109206434594197E-5</v>
          </cell>
          <cell r="W202">
            <v>-2.3272451290896598E-18</v>
          </cell>
          <cell r="X202">
            <v>0</v>
          </cell>
          <cell r="Y202">
            <v>-2424.667342987108</v>
          </cell>
        </row>
        <row r="203">
          <cell r="F203">
            <v>0</v>
          </cell>
          <cell r="G203">
            <v>0</v>
          </cell>
          <cell r="H203">
            <v>15210.965738577654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94113.646813286585</v>
          </cell>
          <cell r="R203">
            <v>21834.728722761232</v>
          </cell>
          <cell r="S203">
            <v>18586.993577536898</v>
          </cell>
          <cell r="T203">
            <v>18525.940777354339</v>
          </cell>
          <cell r="U203">
            <v>141458.63557696642</v>
          </cell>
          <cell r="V203">
            <v>41741.592648225036</v>
          </cell>
          <cell r="W203">
            <v>37553.335138333176</v>
          </cell>
          <cell r="X203">
            <v>38374.401633261987</v>
          </cell>
          <cell r="Y203">
            <v>395237.44882765395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19810.808846902717</v>
          </cell>
          <cell r="N204">
            <v>988.43568176700091</v>
          </cell>
          <cell r="O204">
            <v>49.194221831562665</v>
          </cell>
          <cell r="P204">
            <v>49.186118569103897</v>
          </cell>
          <cell r="Q204">
            <v>30200.357722704684</v>
          </cell>
          <cell r="R204">
            <v>5560.7246440290928</v>
          </cell>
          <cell r="S204">
            <v>4239.5915206210466</v>
          </cell>
          <cell r="T204">
            <v>4243.7081628126871</v>
          </cell>
          <cell r="U204">
            <v>25553.717099378791</v>
          </cell>
          <cell r="V204">
            <v>7406.7238319642929</v>
          </cell>
          <cell r="W204">
            <v>6350.1838098090248</v>
          </cell>
          <cell r="X204">
            <v>6353.3291081650941</v>
          </cell>
          <cell r="Y204">
            <v>65434.173866376303</v>
          </cell>
        </row>
        <row r="205">
          <cell r="F205">
            <v>0</v>
          </cell>
          <cell r="G205">
            <v>0</v>
          </cell>
          <cell r="H205">
            <v>757.58351285222807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57.014691566440206</v>
          </cell>
          <cell r="O205">
            <v>133.87371124705084</v>
          </cell>
          <cell r="P205">
            <v>208.00914441774552</v>
          </cell>
          <cell r="Q205">
            <v>16872.824508060155</v>
          </cell>
          <cell r="R205">
            <v>8927.5195627179419</v>
          </cell>
          <cell r="S205">
            <v>8719.2154808440664</v>
          </cell>
          <cell r="T205">
            <v>8493.5927665493618</v>
          </cell>
          <cell r="U205">
            <v>30958.632656700574</v>
          </cell>
          <cell r="V205">
            <v>19311.8969885931</v>
          </cell>
          <cell r="W205">
            <v>18649.493865142169</v>
          </cell>
          <cell r="X205">
            <v>17948.556736023835</v>
          </cell>
          <cell r="Y205">
            <v>40441.162524311156</v>
          </cell>
        </row>
        <row r="206">
          <cell r="F206">
            <v>0</v>
          </cell>
          <cell r="G206">
            <v>0</v>
          </cell>
          <cell r="H206">
            <v>932.40461274292568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-18109.132269352955</v>
          </cell>
          <cell r="R207">
            <v>3.1049098655389187E-13</v>
          </cell>
          <cell r="S207">
            <v>-9.5890428390720019E-18</v>
          </cell>
          <cell r="T207">
            <v>2.0222228027832242E-22</v>
          </cell>
          <cell r="U207">
            <v>-6180.9652519666151</v>
          </cell>
          <cell r="V207">
            <v>-1.3867516523533256E-9</v>
          </cell>
          <cell r="W207">
            <v>3.8370661971614928E-14</v>
          </cell>
          <cell r="X207">
            <v>-9.0788144725919076E-19</v>
          </cell>
          <cell r="Y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-77.857884390129698</v>
          </cell>
          <cell r="V208">
            <v>9.3109206434594197E-5</v>
          </cell>
          <cell r="W208">
            <v>-2.3272451290896598E-18</v>
          </cell>
          <cell r="X208">
            <v>0</v>
          </cell>
          <cell r="Y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</row>
        <row r="220">
          <cell r="F220">
            <v>0</v>
          </cell>
          <cell r="G220">
            <v>0</v>
          </cell>
          <cell r="H220">
            <v>52145606.235272989</v>
          </cell>
          <cell r="I220">
            <v>49688624.097547099</v>
          </cell>
          <cell r="J220">
            <v>29986383.271360945</v>
          </cell>
          <cell r="K220">
            <v>31324058.745826475</v>
          </cell>
          <cell r="L220">
            <v>32454053.749114066</v>
          </cell>
          <cell r="M220">
            <v>40010487.034473836</v>
          </cell>
          <cell r="N220">
            <v>40245132.033770308</v>
          </cell>
          <cell r="O220">
            <v>40064832.748420857</v>
          </cell>
          <cell r="P220">
            <v>39879759.236406468</v>
          </cell>
          <cell r="Q220">
            <v>45345824.672125302</v>
          </cell>
          <cell r="R220">
            <v>45001167.630315132</v>
          </cell>
          <cell r="S220">
            <v>44128247.282503515</v>
          </cell>
          <cell r="T220">
            <v>43221937.84504272</v>
          </cell>
          <cell r="U220">
            <v>48670849.267440625</v>
          </cell>
          <cell r="V220">
            <v>48212262.958926469</v>
          </cell>
          <cell r="W220">
            <v>47264352.160333499</v>
          </cell>
          <cell r="X220">
            <v>46179176.4667091</v>
          </cell>
          <cell r="Y220">
            <v>-25659461.236464854</v>
          </cell>
        </row>
        <row r="221">
          <cell r="F221">
            <v>0</v>
          </cell>
          <cell r="G221">
            <v>0</v>
          </cell>
          <cell r="H221">
            <v>1114721.0975141176</v>
          </cell>
          <cell r="I221">
            <v>62311235.29977984</v>
          </cell>
          <cell r="J221">
            <v>12000037.647369983</v>
          </cell>
          <cell r="K221">
            <v>1726050.669298681</v>
          </cell>
          <cell r="L221">
            <v>1518377.8131479488</v>
          </cell>
          <cell r="M221">
            <v>7806401.289126006</v>
          </cell>
          <cell r="N221">
            <v>659258.40965799964</v>
          </cell>
          <cell r="O221">
            <v>372093.94422452984</v>
          </cell>
          <cell r="P221">
            <v>388549.98274646571</v>
          </cell>
          <cell r="Q221">
            <v>5641362.1787066031</v>
          </cell>
          <cell r="R221">
            <v>246191.32727196312</v>
          </cell>
          <cell r="S221">
            <v>99984.689026895008</v>
          </cell>
          <cell r="T221">
            <v>85409.76760182358</v>
          </cell>
          <cell r="U221">
            <v>5899148.064698277</v>
          </cell>
          <cell r="V221">
            <v>332301.67494676082</v>
          </cell>
          <cell r="W221">
            <v>163596.02057230426</v>
          </cell>
          <cell r="X221">
            <v>124055.70347579881</v>
          </cell>
          <cell r="Y221">
            <v>6013530.1195139606</v>
          </cell>
        </row>
        <row r="222">
          <cell r="F222">
            <v>0</v>
          </cell>
          <cell r="G222">
            <v>0</v>
          </cell>
          <cell r="H222">
            <v>863970.08138312085</v>
          </cell>
          <cell r="I222">
            <v>475796357.20223278</v>
          </cell>
          <cell r="J222">
            <v>31702278.47355612</v>
          </cell>
          <cell r="K222">
            <v>388375.19483315427</v>
          </cell>
          <cell r="L222">
            <v>388382.809860354</v>
          </cell>
          <cell r="M222">
            <v>249968.00376624311</v>
          </cell>
          <cell r="N222">
            <v>424613.41036152025</v>
          </cell>
          <cell r="O222">
            <v>552393.22957396368</v>
          </cell>
          <cell r="P222">
            <v>573623.49476088129</v>
          </cell>
          <cell r="Q222">
            <v>175296.74298774081</v>
          </cell>
          <cell r="R222">
            <v>590848.36908214819</v>
          </cell>
          <cell r="S222">
            <v>972905.03683850472</v>
          </cell>
          <cell r="T222">
            <v>991719.20506264083</v>
          </cell>
          <cell r="U222">
            <v>450236.6423003595</v>
          </cell>
          <cell r="V222">
            <v>790887.98346090969</v>
          </cell>
          <cell r="W222">
            <v>1111506.8191652843</v>
          </cell>
          <cell r="X222">
            <v>1209231.3971002079</v>
          </cell>
          <cell r="Y222">
            <v>77852167.822687894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0</v>
          </cell>
          <cell r="J224">
            <v>0.91666666666666663</v>
          </cell>
          <cell r="K224">
            <v>8.8707804417301155</v>
          </cell>
          <cell r="L224">
            <v>7.4581217669204651</v>
          </cell>
          <cell r="M224">
            <v>6.0454630921108148</v>
          </cell>
          <cell r="N224">
            <v>4.7171377506344978</v>
          </cell>
          <cell r="O224">
            <v>4.1183274477035594</v>
          </cell>
          <cell r="P224">
            <v>3.6472138885300485</v>
          </cell>
          <cell r="Q224">
            <v>3.1761003293565375</v>
          </cell>
          <cell r="R224">
            <v>2.7059867701830269</v>
          </cell>
          <cell r="S224">
            <v>2.2707777890630365</v>
          </cell>
          <cell r="T224">
            <v>1.907377964050089</v>
          </cell>
          <cell r="U224">
            <v>1.5439781390371434</v>
          </cell>
          <cell r="V224">
            <v>1.1805783140241979</v>
          </cell>
          <cell r="W224">
            <v>0.68736911701427172</v>
          </cell>
          <cell r="X224">
            <v>0.60954117601037938</v>
          </cell>
          <cell r="Y224">
            <v>0.53171323500648704</v>
          </cell>
        </row>
        <row r="225">
          <cell r="F225">
            <v>0</v>
          </cell>
          <cell r="G225">
            <v>0</v>
          </cell>
          <cell r="H225">
            <v>0.4708862249365503</v>
          </cell>
          <cell r="I225">
            <v>0</v>
          </cell>
          <cell r="J225">
            <v>8.3333333333333329E-2</v>
          </cell>
          <cell r="K225">
            <v>1.0458862249365501</v>
          </cell>
          <cell r="L225">
            <v>1.4126586748096508</v>
          </cell>
          <cell r="M225">
            <v>1.4126586748096508</v>
          </cell>
          <cell r="N225">
            <v>1.3283253414763174</v>
          </cell>
          <cell r="O225">
            <v>0.59881030293093762</v>
          </cell>
          <cell r="P225">
            <v>0.47111355917351105</v>
          </cell>
          <cell r="Q225">
            <v>0.47111355917351105</v>
          </cell>
          <cell r="R225">
            <v>0.47011355917351105</v>
          </cell>
          <cell r="S225">
            <v>0.43520898111998929</v>
          </cell>
          <cell r="T225">
            <v>0.36339982501294565</v>
          </cell>
          <cell r="U225">
            <v>0.36339982501294565</v>
          </cell>
          <cell r="V225">
            <v>0.36339982501294565</v>
          </cell>
          <cell r="W225">
            <v>0.19320919700992786</v>
          </cell>
          <cell r="X225">
            <v>7.7827941003892287E-2</v>
          </cell>
          <cell r="Y225">
            <v>7.7827941003892287E-2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0.3</v>
          </cell>
          <cell r="X226">
            <v>0</v>
          </cell>
          <cell r="Y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0</v>
          </cell>
          <cell r="J228">
            <v>0</v>
          </cell>
          <cell r="K228">
            <v>4.916666666666667</v>
          </cell>
          <cell r="L228">
            <v>17.25</v>
          </cell>
          <cell r="M228">
            <v>24.25</v>
          </cell>
          <cell r="N228">
            <v>23.25</v>
          </cell>
          <cell r="O228">
            <v>22.25</v>
          </cell>
          <cell r="P228">
            <v>21.25</v>
          </cell>
          <cell r="Q228">
            <v>20.25</v>
          </cell>
          <cell r="R228">
            <v>19.25</v>
          </cell>
          <cell r="S228">
            <v>18.25</v>
          </cell>
          <cell r="T228">
            <v>17.25</v>
          </cell>
          <cell r="U228">
            <v>16.25</v>
          </cell>
          <cell r="V228">
            <v>15.25</v>
          </cell>
          <cell r="W228">
            <v>14.25</v>
          </cell>
          <cell r="X228">
            <v>13.25</v>
          </cell>
          <cell r="Y228">
            <v>12.25</v>
          </cell>
        </row>
        <row r="229">
          <cell r="F229">
            <v>0</v>
          </cell>
          <cell r="G229">
            <v>0</v>
          </cell>
          <cell r="H229">
            <v>8.3333333333333329E-2</v>
          </cell>
          <cell r="I229">
            <v>0</v>
          </cell>
          <cell r="J229">
            <v>0</v>
          </cell>
          <cell r="K229">
            <v>8.3333333333333329E-2</v>
          </cell>
          <cell r="L229">
            <v>0.66666666666666663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W229">
            <v>1</v>
          </cell>
          <cell r="X229">
            <v>1</v>
          </cell>
          <cell r="Y229">
            <v>1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F231">
            <v>0</v>
          </cell>
          <cell r="G231">
            <v>0</v>
          </cell>
          <cell r="H231">
            <v>2100</v>
          </cell>
          <cell r="I231">
            <v>2100</v>
          </cell>
          <cell r="J231">
            <v>4200</v>
          </cell>
          <cell r="K231">
            <v>6300</v>
          </cell>
          <cell r="L231">
            <v>8400</v>
          </cell>
          <cell r="M231">
            <v>10500</v>
          </cell>
          <cell r="N231">
            <v>12600</v>
          </cell>
          <cell r="O231">
            <v>14700</v>
          </cell>
          <cell r="P231">
            <v>16800</v>
          </cell>
          <cell r="Q231">
            <v>18900</v>
          </cell>
          <cell r="R231">
            <v>21000</v>
          </cell>
          <cell r="S231">
            <v>23100</v>
          </cell>
          <cell r="T231">
            <v>25200</v>
          </cell>
          <cell r="U231">
            <v>27300</v>
          </cell>
          <cell r="V231">
            <v>29400</v>
          </cell>
          <cell r="W231">
            <v>31500</v>
          </cell>
          <cell r="X231">
            <v>33600</v>
          </cell>
          <cell r="Y231">
            <v>35700</v>
          </cell>
        </row>
        <row r="232">
          <cell r="F232">
            <v>0</v>
          </cell>
          <cell r="G232">
            <v>0</v>
          </cell>
          <cell r="H232">
            <v>2100</v>
          </cell>
          <cell r="I232">
            <v>2100</v>
          </cell>
          <cell r="J232">
            <v>4200</v>
          </cell>
          <cell r="K232">
            <v>6300</v>
          </cell>
          <cell r="L232">
            <v>8400</v>
          </cell>
          <cell r="M232">
            <v>10500</v>
          </cell>
          <cell r="N232">
            <v>12600</v>
          </cell>
          <cell r="O232">
            <v>14700</v>
          </cell>
          <cell r="P232">
            <v>16800</v>
          </cell>
          <cell r="Q232">
            <v>18900</v>
          </cell>
          <cell r="R232">
            <v>21000</v>
          </cell>
          <cell r="S232">
            <v>23100</v>
          </cell>
          <cell r="T232">
            <v>25200</v>
          </cell>
          <cell r="U232">
            <v>27300</v>
          </cell>
          <cell r="V232">
            <v>29400</v>
          </cell>
          <cell r="W232">
            <v>31500</v>
          </cell>
          <cell r="X232">
            <v>33600</v>
          </cell>
          <cell r="Y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F236">
            <v>0</v>
          </cell>
          <cell r="G236">
            <v>0</v>
          </cell>
          <cell r="H236">
            <v>1308</v>
          </cell>
          <cell r="I236">
            <v>1308</v>
          </cell>
          <cell r="J236">
            <v>2617</v>
          </cell>
          <cell r="K236">
            <v>3926</v>
          </cell>
          <cell r="L236">
            <v>5235</v>
          </cell>
          <cell r="M236">
            <v>6544</v>
          </cell>
          <cell r="N236">
            <v>7853</v>
          </cell>
          <cell r="O236">
            <v>9162</v>
          </cell>
          <cell r="P236">
            <v>10471</v>
          </cell>
          <cell r="Q236">
            <v>11780</v>
          </cell>
          <cell r="R236">
            <v>13089</v>
          </cell>
          <cell r="S236">
            <v>14398</v>
          </cell>
          <cell r="T236">
            <v>15707</v>
          </cell>
          <cell r="U236">
            <v>17016</v>
          </cell>
          <cell r="V236">
            <v>18325</v>
          </cell>
          <cell r="W236">
            <v>19634</v>
          </cell>
          <cell r="X236">
            <v>20943</v>
          </cell>
          <cell r="Y236">
            <v>22252</v>
          </cell>
        </row>
        <row r="237">
          <cell r="F237">
            <v>0</v>
          </cell>
          <cell r="G237">
            <v>0</v>
          </cell>
          <cell r="H237">
            <v>72.666666666666671</v>
          </cell>
          <cell r="I237">
            <v>1308</v>
          </cell>
          <cell r="J237">
            <v>1309</v>
          </cell>
          <cell r="K237">
            <v>1309</v>
          </cell>
          <cell r="L237">
            <v>1309</v>
          </cell>
          <cell r="M237">
            <v>1309</v>
          </cell>
          <cell r="N237">
            <v>1309</v>
          </cell>
          <cell r="O237">
            <v>1309</v>
          </cell>
          <cell r="P237">
            <v>1309</v>
          </cell>
          <cell r="Q237">
            <v>1309</v>
          </cell>
          <cell r="R237">
            <v>1309</v>
          </cell>
          <cell r="S237">
            <v>1309</v>
          </cell>
          <cell r="T237">
            <v>1309</v>
          </cell>
          <cell r="U237">
            <v>1309</v>
          </cell>
          <cell r="V237">
            <v>1309</v>
          </cell>
          <cell r="W237">
            <v>1309</v>
          </cell>
          <cell r="X237">
            <v>1309</v>
          </cell>
          <cell r="Y237">
            <v>1309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</row>
        <row r="240">
          <cell r="F240">
            <v>0</v>
          </cell>
          <cell r="G240">
            <v>0</v>
          </cell>
          <cell r="H240">
            <v>1000000</v>
          </cell>
          <cell r="I240">
            <v>1006347.51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1000000</v>
          </cell>
          <cell r="P240">
            <v>1000000</v>
          </cell>
          <cell r="Q240">
            <v>1000000</v>
          </cell>
          <cell r="R240">
            <v>1000000</v>
          </cell>
          <cell r="S240">
            <v>1000000</v>
          </cell>
          <cell r="T240">
            <v>1000000</v>
          </cell>
          <cell r="U240">
            <v>1000000</v>
          </cell>
          <cell r="V240">
            <v>1000000</v>
          </cell>
          <cell r="W240">
            <v>1000000</v>
          </cell>
          <cell r="X240">
            <v>1000000</v>
          </cell>
          <cell r="Y240">
            <v>0</v>
          </cell>
        </row>
        <row r="241">
          <cell r="F241">
            <v>0</v>
          </cell>
          <cell r="G241">
            <v>0</v>
          </cell>
          <cell r="H241">
            <v>986.30136986301409</v>
          </cell>
          <cell r="I241">
            <v>1065.7637488584467</v>
          </cell>
          <cell r="J241">
            <v>3003.4988219178076</v>
          </cell>
          <cell r="K241">
            <v>3024.657534246574</v>
          </cell>
          <cell r="L241">
            <v>3024.657534246574</v>
          </cell>
          <cell r="M241">
            <v>2958.9041095890402</v>
          </cell>
          <cell r="N241">
            <v>2991.7808219178078</v>
          </cell>
          <cell r="O241">
            <v>3024.657534246574</v>
          </cell>
          <cell r="P241">
            <v>3024.657534246574</v>
          </cell>
          <cell r="Q241">
            <v>2958.9041095890402</v>
          </cell>
          <cell r="R241">
            <v>2991.7808219178078</v>
          </cell>
          <cell r="S241">
            <v>3024.657534246574</v>
          </cell>
          <cell r="T241">
            <v>3024.657534246574</v>
          </cell>
          <cell r="U241">
            <v>2958.9041095890402</v>
          </cell>
          <cell r="V241">
            <v>2991.7808219178078</v>
          </cell>
          <cell r="W241">
            <v>3024.657534246574</v>
          </cell>
          <cell r="X241">
            <v>3024.657534246574</v>
          </cell>
          <cell r="Y241">
            <v>1972.602739726027</v>
          </cell>
        </row>
        <row r="242">
          <cell r="F242">
            <v>0</v>
          </cell>
          <cell r="G242">
            <v>0</v>
          </cell>
          <cell r="H242">
            <v>7349735.784973992</v>
          </cell>
          <cell r="I242">
            <v>26619775.924645819</v>
          </cell>
          <cell r="J242">
            <v>5647565.8939863872</v>
          </cell>
          <cell r="K242">
            <v>5588665.0238639768</v>
          </cell>
          <cell r="L242">
            <v>5451267.1041151546</v>
          </cell>
          <cell r="M242">
            <v>12657567.887675533</v>
          </cell>
          <cell r="N242">
            <v>4715388.0731609147</v>
          </cell>
          <cell r="O242">
            <v>4306572.4525954053</v>
          </cell>
          <cell r="P242">
            <v>4511386.6314600073</v>
          </cell>
          <cell r="Q242">
            <v>9894804.2323669773</v>
          </cell>
          <cell r="R242">
            <v>4817684.8176504234</v>
          </cell>
          <cell r="S242">
            <v>4301618.2969659958</v>
          </cell>
          <cell r="T242">
            <v>4464729.1927087866</v>
          </cell>
          <cell r="U242">
            <v>9889363.4587998763</v>
          </cell>
          <cell r="V242">
            <v>5044829.3213148033</v>
          </cell>
          <cell r="W242">
            <v>4709055.6857590135</v>
          </cell>
          <cell r="X242">
            <v>4713616.9079370769</v>
          </cell>
          <cell r="Y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  <row r="247">
          <cell r="F247">
            <v>0</v>
          </cell>
          <cell r="G247">
            <v>0</v>
          </cell>
          <cell r="H247">
            <v>200000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  <cell r="P247">
            <v>100000</v>
          </cell>
          <cell r="Q247">
            <v>100000</v>
          </cell>
          <cell r="R247">
            <v>100000</v>
          </cell>
          <cell r="S247">
            <v>100000</v>
          </cell>
          <cell r="T247">
            <v>100000</v>
          </cell>
          <cell r="U247">
            <v>100000</v>
          </cell>
          <cell r="V247">
            <v>100000</v>
          </cell>
          <cell r="W247">
            <v>100000</v>
          </cell>
          <cell r="X247">
            <v>100000</v>
          </cell>
          <cell r="Y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</row>
        <row r="249">
          <cell r="F249">
            <v>0</v>
          </cell>
          <cell r="G249">
            <v>0</v>
          </cell>
          <cell r="H249">
            <v>4000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  <cell r="P249">
            <v>100</v>
          </cell>
          <cell r="Q249">
            <v>100</v>
          </cell>
          <cell r="R249">
            <v>100</v>
          </cell>
          <cell r="S249">
            <v>100</v>
          </cell>
          <cell r="T249">
            <v>100</v>
          </cell>
          <cell r="U249">
            <v>100</v>
          </cell>
          <cell r="V249">
            <v>100</v>
          </cell>
          <cell r="W249">
            <v>100</v>
          </cell>
          <cell r="X249">
            <v>100</v>
          </cell>
          <cell r="Y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</row>
        <row r="253">
          <cell r="F253">
            <v>0</v>
          </cell>
          <cell r="G253">
            <v>0</v>
          </cell>
          <cell r="H253">
            <v>260572992.89256671</v>
          </cell>
          <cell r="I253">
            <v>246135791.45545456</v>
          </cell>
          <cell r="J253">
            <v>261612711.6793685</v>
          </cell>
          <cell r="K253">
            <v>264546695.21504632</v>
          </cell>
          <cell r="L253">
            <v>267438961.24488705</v>
          </cell>
          <cell r="M253">
            <v>267365455.87959704</v>
          </cell>
          <cell r="N253">
            <v>271552032.63072127</v>
          </cell>
          <cell r="O253">
            <v>275786616.74008048</v>
          </cell>
          <cell r="P253">
            <v>279818117.89221984</v>
          </cell>
          <cell r="Q253">
            <v>281433342.13542593</v>
          </cell>
          <cell r="R253">
            <v>286203474.81046814</v>
          </cell>
          <cell r="S253">
            <v>291001634.92789745</v>
          </cell>
          <cell r="T253">
            <v>295521868.16512877</v>
          </cell>
          <cell r="U253">
            <v>297291959.34905744</v>
          </cell>
          <cell r="V253">
            <v>302094039.80645901</v>
          </cell>
          <cell r="W253">
            <v>306868949.81092668</v>
          </cell>
          <cell r="X253">
            <v>311407560.23830426</v>
          </cell>
          <cell r="Y253">
            <v>356314197.47993022</v>
          </cell>
        </row>
        <row r="254">
          <cell r="F254">
            <v>0</v>
          </cell>
          <cell r="G254">
            <v>0</v>
          </cell>
          <cell r="H254">
            <v>1202.1666666666667</v>
          </cell>
          <cell r="I254">
            <v>21639</v>
          </cell>
          <cell r="J254">
            <v>18827.5</v>
          </cell>
          <cell r="K254">
            <v>18827.5</v>
          </cell>
          <cell r="L254">
            <v>16379.5</v>
          </cell>
          <cell r="M254">
            <v>16379.5</v>
          </cell>
          <cell r="N254">
            <v>14250.5</v>
          </cell>
          <cell r="O254">
            <v>14250.5</v>
          </cell>
          <cell r="P254">
            <v>13253</v>
          </cell>
          <cell r="Q254">
            <v>13253</v>
          </cell>
          <cell r="R254">
            <v>12425</v>
          </cell>
          <cell r="S254">
            <v>12425</v>
          </cell>
          <cell r="T254">
            <v>11462.5</v>
          </cell>
          <cell r="U254">
            <v>11462.5</v>
          </cell>
          <cell r="V254">
            <v>10660</v>
          </cell>
          <cell r="W254">
            <v>10660</v>
          </cell>
          <cell r="X254">
            <v>9913.5</v>
          </cell>
          <cell r="Y254">
            <v>9913.5</v>
          </cell>
        </row>
        <row r="255">
          <cell r="F255">
            <v>0</v>
          </cell>
          <cell r="G255">
            <v>0</v>
          </cell>
          <cell r="H255">
            <v>2507.8333333333335</v>
          </cell>
          <cell r="I255">
            <v>45141</v>
          </cell>
          <cell r="J255">
            <v>50109</v>
          </cell>
          <cell r="K255">
            <v>50109</v>
          </cell>
          <cell r="L255">
            <v>55621</v>
          </cell>
          <cell r="M255">
            <v>55621</v>
          </cell>
          <cell r="N255">
            <v>61739.5</v>
          </cell>
          <cell r="O255">
            <v>61739.5</v>
          </cell>
          <cell r="P255">
            <v>65444</v>
          </cell>
          <cell r="Q255">
            <v>65444</v>
          </cell>
          <cell r="R255">
            <v>69370.5</v>
          </cell>
          <cell r="S255">
            <v>69370.5</v>
          </cell>
          <cell r="T255">
            <v>73832.5</v>
          </cell>
          <cell r="U255">
            <v>73832.5</v>
          </cell>
          <cell r="V255">
            <v>77944.5</v>
          </cell>
          <cell r="W255">
            <v>77944.5</v>
          </cell>
          <cell r="X255">
            <v>82621.5</v>
          </cell>
          <cell r="Y255">
            <v>82621.5</v>
          </cell>
        </row>
        <row r="256">
          <cell r="F256">
            <v>0</v>
          </cell>
          <cell r="G256">
            <v>0</v>
          </cell>
          <cell r="H256">
            <v>1188.8333333333333</v>
          </cell>
          <cell r="I256">
            <v>21399</v>
          </cell>
          <cell r="J256">
            <v>21399.5</v>
          </cell>
          <cell r="K256">
            <v>21399.5</v>
          </cell>
          <cell r="L256">
            <v>21399.5</v>
          </cell>
          <cell r="M256">
            <v>21399.5</v>
          </cell>
          <cell r="N256">
            <v>21399.5</v>
          </cell>
          <cell r="O256">
            <v>21399.5</v>
          </cell>
          <cell r="P256">
            <v>21399.5</v>
          </cell>
          <cell r="Q256">
            <v>21399.5</v>
          </cell>
          <cell r="R256">
            <v>21399.5</v>
          </cell>
          <cell r="S256">
            <v>21399.5</v>
          </cell>
          <cell r="T256">
            <v>21399.5</v>
          </cell>
          <cell r="U256">
            <v>21399.5</v>
          </cell>
          <cell r="V256">
            <v>21399.5</v>
          </cell>
          <cell r="W256">
            <v>21399.5</v>
          </cell>
          <cell r="X256">
            <v>21399.5</v>
          </cell>
          <cell r="Y256">
            <v>21399.5</v>
          </cell>
        </row>
        <row r="257">
          <cell r="F257">
            <v>0</v>
          </cell>
          <cell r="G257">
            <v>0</v>
          </cell>
          <cell r="H257">
            <v>344.33333333333331</v>
          </cell>
          <cell r="I257">
            <v>6198</v>
          </cell>
          <cell r="J257">
            <v>6198</v>
          </cell>
          <cell r="K257">
            <v>6198</v>
          </cell>
          <cell r="L257">
            <v>6198</v>
          </cell>
          <cell r="M257">
            <v>6198</v>
          </cell>
          <cell r="N257">
            <v>6198</v>
          </cell>
          <cell r="O257">
            <v>6198</v>
          </cell>
          <cell r="P257">
            <v>6198</v>
          </cell>
          <cell r="Q257">
            <v>6198</v>
          </cell>
          <cell r="R257">
            <v>6198</v>
          </cell>
          <cell r="S257">
            <v>6198</v>
          </cell>
          <cell r="T257">
            <v>6198</v>
          </cell>
          <cell r="U257">
            <v>6198</v>
          </cell>
          <cell r="V257">
            <v>6198</v>
          </cell>
          <cell r="W257">
            <v>6198</v>
          </cell>
          <cell r="X257">
            <v>6198</v>
          </cell>
          <cell r="Y257">
            <v>6198</v>
          </cell>
        </row>
        <row r="258">
          <cell r="F258">
            <v>0</v>
          </cell>
          <cell r="G258">
            <v>0</v>
          </cell>
          <cell r="H258">
            <v>1202.3333333333333</v>
          </cell>
          <cell r="I258">
            <v>21642</v>
          </cell>
          <cell r="J258">
            <v>27300</v>
          </cell>
          <cell r="K258">
            <v>27300</v>
          </cell>
          <cell r="L258">
            <v>34436</v>
          </cell>
          <cell r="M258">
            <v>34436</v>
          </cell>
          <cell r="N258">
            <v>43436.5</v>
          </cell>
          <cell r="O258">
            <v>43436.5</v>
          </cell>
          <cell r="P258">
            <v>47780</v>
          </cell>
          <cell r="Q258">
            <v>47780</v>
          </cell>
          <cell r="R258">
            <v>52558.5</v>
          </cell>
          <cell r="S258">
            <v>52558.5</v>
          </cell>
          <cell r="T258">
            <v>57814</v>
          </cell>
          <cell r="U258">
            <v>57814</v>
          </cell>
          <cell r="V258">
            <v>63595.5</v>
          </cell>
          <cell r="W258">
            <v>63595.5</v>
          </cell>
          <cell r="X258">
            <v>69955</v>
          </cell>
          <cell r="Y258">
            <v>69955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</row>
        <row r="261">
          <cell r="F261">
            <v>0</v>
          </cell>
          <cell r="G261">
            <v>0</v>
          </cell>
          <cell r="H261">
            <v>1500</v>
          </cell>
          <cell r="I261">
            <v>27000</v>
          </cell>
          <cell r="J261">
            <v>27000</v>
          </cell>
          <cell r="K261">
            <v>27000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  <row r="262">
          <cell r="F262">
            <v>0</v>
          </cell>
          <cell r="G262">
            <v>0</v>
          </cell>
          <cell r="H262">
            <v>1297.5</v>
          </cell>
          <cell r="I262">
            <v>23355</v>
          </cell>
          <cell r="J262">
            <v>29663</v>
          </cell>
          <cell r="K262">
            <v>29663</v>
          </cell>
          <cell r="L262">
            <v>37672.5</v>
          </cell>
          <cell r="M262">
            <v>37672.5</v>
          </cell>
          <cell r="N262">
            <v>47844</v>
          </cell>
          <cell r="O262">
            <v>47844</v>
          </cell>
          <cell r="P262">
            <v>52628.5</v>
          </cell>
          <cell r="Q262">
            <v>52628.5</v>
          </cell>
          <cell r="R262">
            <v>57891</v>
          </cell>
          <cell r="S262">
            <v>57891</v>
          </cell>
          <cell r="T262">
            <v>63680.5</v>
          </cell>
          <cell r="U262">
            <v>63680.5</v>
          </cell>
          <cell r="V262">
            <v>70048.5</v>
          </cell>
          <cell r="W262">
            <v>70048.5</v>
          </cell>
          <cell r="X262">
            <v>77053</v>
          </cell>
          <cell r="Y262">
            <v>77053</v>
          </cell>
        </row>
        <row r="263">
          <cell r="F263">
            <v>0</v>
          </cell>
          <cell r="G263">
            <v>0</v>
          </cell>
          <cell r="H263">
            <v>1811</v>
          </cell>
          <cell r="I263">
            <v>32598</v>
          </cell>
          <cell r="J263">
            <v>36185.5</v>
          </cell>
          <cell r="K263">
            <v>36185.5</v>
          </cell>
          <cell r="L263">
            <v>40166</v>
          </cell>
          <cell r="M263">
            <v>40166</v>
          </cell>
          <cell r="N263">
            <v>44584.5</v>
          </cell>
          <cell r="O263">
            <v>44584.5</v>
          </cell>
          <cell r="P263">
            <v>47259.5</v>
          </cell>
          <cell r="Q263">
            <v>47259.5</v>
          </cell>
          <cell r="R263">
            <v>50095</v>
          </cell>
          <cell r="S263">
            <v>50095</v>
          </cell>
          <cell r="T263">
            <v>53100.5</v>
          </cell>
          <cell r="U263">
            <v>53100.5</v>
          </cell>
          <cell r="V263">
            <v>56286.5</v>
          </cell>
          <cell r="W263">
            <v>56286.5</v>
          </cell>
          <cell r="X263">
            <v>59664</v>
          </cell>
          <cell r="Y263">
            <v>59664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</row>
        <row r="268">
          <cell r="F268">
            <v>0</v>
          </cell>
          <cell r="G268">
            <v>0</v>
          </cell>
          <cell r="H268">
            <v>247260.67916666667</v>
          </cell>
          <cell r="I268">
            <v>747357.94777777779</v>
          </cell>
          <cell r="J268">
            <v>727786.15</v>
          </cell>
          <cell r="K268">
            <v>741782.03749999998</v>
          </cell>
          <cell r="L268">
            <v>755777.92500000005</v>
          </cell>
          <cell r="M268">
            <v>769773.8125</v>
          </cell>
          <cell r="N268">
            <v>760256.60899999994</v>
          </cell>
          <cell r="O268">
            <v>773832.61987499997</v>
          </cell>
          <cell r="P268">
            <v>787408.63075000001</v>
          </cell>
          <cell r="Q268">
            <v>800984.64162499993</v>
          </cell>
          <cell r="R268">
            <v>790123.83292500011</v>
          </cell>
          <cell r="S268">
            <v>803292.56347375002</v>
          </cell>
          <cell r="T268">
            <v>816461.29402250005</v>
          </cell>
          <cell r="U268">
            <v>829630.02457124996</v>
          </cell>
          <cell r="V268">
            <v>817514.79246639996</v>
          </cell>
          <cell r="W268">
            <v>830288.46109868749</v>
          </cell>
          <cell r="X268">
            <v>843062.12973097479</v>
          </cell>
          <cell r="Y268">
            <v>569137.90239414293</v>
          </cell>
        </row>
        <row r="269">
          <cell r="F269">
            <v>0</v>
          </cell>
          <cell r="G269">
            <v>0</v>
          </cell>
          <cell r="H269">
            <v>197808.54333333333</v>
          </cell>
          <cell r="I269">
            <v>672622.15299999993</v>
          </cell>
          <cell r="J269">
            <v>582228.92000000004</v>
          </cell>
          <cell r="K269">
            <v>593425.63</v>
          </cell>
          <cell r="L269">
            <v>604622.34</v>
          </cell>
          <cell r="M269">
            <v>615819.05000000005</v>
          </cell>
          <cell r="N269">
            <v>532179.6263</v>
          </cell>
          <cell r="O269">
            <v>541682.83391249995</v>
          </cell>
          <cell r="P269">
            <v>551186.04152500001</v>
          </cell>
          <cell r="Q269">
            <v>560689.24913750007</v>
          </cell>
          <cell r="R269">
            <v>474074.29975500004</v>
          </cell>
          <cell r="S269">
            <v>481975.53808425006</v>
          </cell>
          <cell r="T269">
            <v>489876.77641350008</v>
          </cell>
          <cell r="U269">
            <v>497778.01474274998</v>
          </cell>
          <cell r="V269">
            <v>408757.39623319998</v>
          </cell>
          <cell r="W269">
            <v>415144.23054934375</v>
          </cell>
          <cell r="X269">
            <v>421531.06486548739</v>
          </cell>
          <cell r="Y269">
            <v>284568.95119707147</v>
          </cell>
        </row>
        <row r="270">
          <cell r="F270">
            <v>0</v>
          </cell>
          <cell r="G270">
            <v>0</v>
          </cell>
          <cell r="H270">
            <v>132636.60833333334</v>
          </cell>
          <cell r="I270">
            <v>1489321.7945416665</v>
          </cell>
          <cell r="J270">
            <v>394686.4916666667</v>
          </cell>
          <cell r="K270">
            <v>397103.9916666667</v>
          </cell>
          <cell r="L270">
            <v>398958.15833333333</v>
          </cell>
          <cell r="M270">
            <v>400530.65833333333</v>
          </cell>
          <cell r="N270">
            <v>413741.29166666663</v>
          </cell>
          <cell r="O270">
            <v>411088.79166666663</v>
          </cell>
          <cell r="P270">
            <v>408999.625</v>
          </cell>
          <cell r="Q270">
            <v>407192.125</v>
          </cell>
          <cell r="R270">
            <v>417869.19166666665</v>
          </cell>
          <cell r="S270">
            <v>415216.69166666665</v>
          </cell>
          <cell r="T270">
            <v>413127.52500000002</v>
          </cell>
          <cell r="U270">
            <v>411320.02499999991</v>
          </cell>
          <cell r="V270">
            <v>422616.99166666664</v>
          </cell>
          <cell r="W270">
            <v>419964.49166666664</v>
          </cell>
          <cell r="X270">
            <v>417875.32499999995</v>
          </cell>
          <cell r="Y270">
            <v>416067.82499999995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</row>
        <row r="272">
          <cell r="F272">
            <v>0</v>
          </cell>
          <cell r="G272">
            <v>0</v>
          </cell>
          <cell r="H272">
            <v>663.18304166666667</v>
          </cell>
          <cell r="I272">
            <v>1872.8509583333334</v>
          </cell>
          <cell r="J272">
            <v>1973.4324583333332</v>
          </cell>
          <cell r="K272">
            <v>1985.5199583333335</v>
          </cell>
          <cell r="L272">
            <v>1994.7907916666668</v>
          </cell>
          <cell r="M272">
            <v>2002.6532916666667</v>
          </cell>
          <cell r="N272">
            <v>2068.7064583333331</v>
          </cell>
          <cell r="O272">
            <v>2055.4439583333333</v>
          </cell>
          <cell r="P272">
            <v>2044.9981250000001</v>
          </cell>
          <cell r="Q272">
            <v>2035.9606249999999</v>
          </cell>
          <cell r="R272">
            <v>2089.3459583333333</v>
          </cell>
          <cell r="S272">
            <v>2076.0834583333335</v>
          </cell>
          <cell r="T272">
            <v>2065.6376250000003</v>
          </cell>
          <cell r="U272">
            <v>2056.6001249999999</v>
          </cell>
          <cell r="V272">
            <v>2113.0849583333334</v>
          </cell>
          <cell r="W272">
            <v>2099.8224583333331</v>
          </cell>
          <cell r="X272">
            <v>2089.3766249999999</v>
          </cell>
          <cell r="Y272">
            <v>2080.339125</v>
          </cell>
        </row>
        <row r="273">
          <cell r="F273">
            <v>0</v>
          </cell>
          <cell r="G273">
            <v>0</v>
          </cell>
          <cell r="H273">
            <v>6977.666666666667</v>
          </cell>
          <cell r="I273">
            <v>125598</v>
          </cell>
          <cell r="J273">
            <v>141548</v>
          </cell>
          <cell r="K273">
            <v>141548</v>
          </cell>
          <cell r="L273">
            <v>141548</v>
          </cell>
          <cell r="M273">
            <v>141548</v>
          </cell>
          <cell r="N273">
            <v>142652.5</v>
          </cell>
          <cell r="O273">
            <v>142652.5</v>
          </cell>
          <cell r="P273">
            <v>149192</v>
          </cell>
          <cell r="Q273">
            <v>149192</v>
          </cell>
          <cell r="R273">
            <v>150612.5</v>
          </cell>
          <cell r="S273">
            <v>150612.5</v>
          </cell>
          <cell r="T273">
            <v>154792.5</v>
          </cell>
          <cell r="U273">
            <v>154792.5</v>
          </cell>
          <cell r="V273">
            <v>155767</v>
          </cell>
          <cell r="W273">
            <v>155767</v>
          </cell>
          <cell r="X273">
            <v>143800.5</v>
          </cell>
          <cell r="Y273">
            <v>143800.5</v>
          </cell>
        </row>
        <row r="274">
          <cell r="F274">
            <v>0</v>
          </cell>
          <cell r="G274">
            <v>0</v>
          </cell>
          <cell r="H274">
            <v>3013</v>
          </cell>
          <cell r="I274">
            <v>54234</v>
          </cell>
          <cell r="J274">
            <v>63101</v>
          </cell>
          <cell r="K274">
            <v>63101</v>
          </cell>
          <cell r="L274">
            <v>63101</v>
          </cell>
          <cell r="M274">
            <v>63101</v>
          </cell>
          <cell r="N274">
            <v>66256</v>
          </cell>
          <cell r="O274">
            <v>66256</v>
          </cell>
          <cell r="P274">
            <v>66256</v>
          </cell>
          <cell r="Q274">
            <v>66256</v>
          </cell>
          <cell r="R274">
            <v>66256</v>
          </cell>
          <cell r="S274">
            <v>66256</v>
          </cell>
          <cell r="T274">
            <v>66256</v>
          </cell>
          <cell r="U274">
            <v>66256</v>
          </cell>
          <cell r="V274">
            <v>66256</v>
          </cell>
          <cell r="W274">
            <v>66256</v>
          </cell>
          <cell r="X274">
            <v>66256</v>
          </cell>
          <cell r="Y274">
            <v>66256</v>
          </cell>
        </row>
        <row r="275">
          <cell r="F275">
            <v>0</v>
          </cell>
          <cell r="G275">
            <v>0</v>
          </cell>
          <cell r="H275">
            <v>1301</v>
          </cell>
          <cell r="I275">
            <v>23418</v>
          </cell>
          <cell r="J275">
            <v>35125.5</v>
          </cell>
          <cell r="K275">
            <v>35125.5</v>
          </cell>
          <cell r="L275">
            <v>35125.5</v>
          </cell>
          <cell r="M275">
            <v>35125.5</v>
          </cell>
          <cell r="N275">
            <v>35125.5</v>
          </cell>
          <cell r="O275">
            <v>35125.5</v>
          </cell>
          <cell r="P275">
            <v>35125.5</v>
          </cell>
          <cell r="Q275">
            <v>35125.5</v>
          </cell>
          <cell r="R275">
            <v>35125.5</v>
          </cell>
          <cell r="S275">
            <v>35125.5</v>
          </cell>
          <cell r="T275">
            <v>35125.5</v>
          </cell>
          <cell r="U275">
            <v>35125.5</v>
          </cell>
          <cell r="V275">
            <v>35125.5</v>
          </cell>
          <cell r="W275">
            <v>35125.5</v>
          </cell>
          <cell r="X275">
            <v>35125.5</v>
          </cell>
          <cell r="Y275">
            <v>35125.5</v>
          </cell>
        </row>
        <row r="276">
          <cell r="F276">
            <v>0</v>
          </cell>
          <cell r="G276">
            <v>0</v>
          </cell>
          <cell r="H276">
            <v>855.66666666666663</v>
          </cell>
          <cell r="I276">
            <v>15402</v>
          </cell>
          <cell r="J276">
            <v>23095.5</v>
          </cell>
          <cell r="K276">
            <v>23095.5</v>
          </cell>
          <cell r="L276">
            <v>23095.5</v>
          </cell>
          <cell r="M276">
            <v>23095.5</v>
          </cell>
          <cell r="N276">
            <v>23095.5</v>
          </cell>
          <cell r="O276">
            <v>23095.5</v>
          </cell>
          <cell r="P276">
            <v>23095.5</v>
          </cell>
          <cell r="Q276">
            <v>23095.5</v>
          </cell>
          <cell r="R276">
            <v>23095.5</v>
          </cell>
          <cell r="S276">
            <v>23095.5</v>
          </cell>
          <cell r="T276">
            <v>23095.5</v>
          </cell>
          <cell r="U276">
            <v>23095.5</v>
          </cell>
          <cell r="V276">
            <v>23095.5</v>
          </cell>
          <cell r="W276">
            <v>23095.5</v>
          </cell>
          <cell r="X276">
            <v>23095.5</v>
          </cell>
          <cell r="Y276">
            <v>23095.5</v>
          </cell>
        </row>
        <row r="277">
          <cell r="F277">
            <v>0</v>
          </cell>
          <cell r="G277">
            <v>0</v>
          </cell>
          <cell r="H277">
            <v>733.66666666666663</v>
          </cell>
          <cell r="I277">
            <v>13206</v>
          </cell>
          <cell r="J277">
            <v>19348.5</v>
          </cell>
          <cell r="K277">
            <v>19348.5</v>
          </cell>
          <cell r="L277">
            <v>19348.5</v>
          </cell>
          <cell r="M277">
            <v>19348.5</v>
          </cell>
          <cell r="N277">
            <v>19348.5</v>
          </cell>
          <cell r="O277">
            <v>19348.5</v>
          </cell>
          <cell r="P277">
            <v>19348.5</v>
          </cell>
          <cell r="Q277">
            <v>19348.5</v>
          </cell>
          <cell r="R277">
            <v>19348.5</v>
          </cell>
          <cell r="S277">
            <v>19348.5</v>
          </cell>
          <cell r="T277">
            <v>19348.5</v>
          </cell>
          <cell r="U277">
            <v>19348.5</v>
          </cell>
          <cell r="V277">
            <v>19348.5</v>
          </cell>
          <cell r="W277">
            <v>19348.5</v>
          </cell>
          <cell r="X277">
            <v>19348.5</v>
          </cell>
          <cell r="Y277">
            <v>19348.5</v>
          </cell>
        </row>
        <row r="278">
          <cell r="F278">
            <v>0</v>
          </cell>
          <cell r="G278">
            <v>0</v>
          </cell>
          <cell r="H278">
            <v>835.33333333333337</v>
          </cell>
          <cell r="I278">
            <v>15036</v>
          </cell>
          <cell r="J278">
            <v>18610.5</v>
          </cell>
          <cell r="K278">
            <v>18610.5</v>
          </cell>
          <cell r="L278">
            <v>18610.5</v>
          </cell>
          <cell r="M278">
            <v>18610.5</v>
          </cell>
          <cell r="N278">
            <v>19863.5</v>
          </cell>
          <cell r="O278">
            <v>19863.5</v>
          </cell>
          <cell r="P278">
            <v>21307.5</v>
          </cell>
          <cell r="Q278">
            <v>21307.5</v>
          </cell>
          <cell r="R278">
            <v>22799</v>
          </cell>
          <cell r="S278">
            <v>22799</v>
          </cell>
          <cell r="T278">
            <v>24395</v>
          </cell>
          <cell r="U278">
            <v>24395</v>
          </cell>
          <cell r="V278">
            <v>26102.5</v>
          </cell>
          <cell r="W278">
            <v>26102.5</v>
          </cell>
          <cell r="X278">
            <v>27929.5</v>
          </cell>
          <cell r="Y278">
            <v>27929.5</v>
          </cell>
        </row>
        <row r="279">
          <cell r="F279">
            <v>0</v>
          </cell>
          <cell r="G279">
            <v>0</v>
          </cell>
          <cell r="H279">
            <v>768.16666666666663</v>
          </cell>
          <cell r="I279">
            <v>13827</v>
          </cell>
          <cell r="J279">
            <v>16089.5</v>
          </cell>
          <cell r="K279">
            <v>16089.5</v>
          </cell>
          <cell r="L279">
            <v>16089.5</v>
          </cell>
          <cell r="M279">
            <v>16089.5</v>
          </cell>
          <cell r="N279">
            <v>16894</v>
          </cell>
          <cell r="O279">
            <v>16894</v>
          </cell>
          <cell r="P279">
            <v>17739</v>
          </cell>
          <cell r="Q279">
            <v>17739</v>
          </cell>
          <cell r="R279">
            <v>18626</v>
          </cell>
          <cell r="S279">
            <v>18626</v>
          </cell>
          <cell r="T279">
            <v>19557</v>
          </cell>
          <cell r="U279">
            <v>19557</v>
          </cell>
          <cell r="V279">
            <v>20535.5</v>
          </cell>
          <cell r="W279">
            <v>20535.5</v>
          </cell>
          <cell r="X279">
            <v>21562</v>
          </cell>
          <cell r="Y279">
            <v>21562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</row>
        <row r="291">
          <cell r="F291">
            <v>0</v>
          </cell>
          <cell r="G291">
            <v>0</v>
          </cell>
          <cell r="H291">
            <v>-270860218.23977822</v>
          </cell>
          <cell r="I291">
            <v>-301129041.14121747</v>
          </cell>
          <cell r="J291">
            <v>-298382558.50487232</v>
          </cell>
          <cell r="K291">
            <v>-302607462.60457999</v>
          </cell>
          <cell r="L291">
            <v>-306502858.43188727</v>
          </cell>
          <cell r="M291">
            <v>-320227548.56964326</v>
          </cell>
          <cell r="N291">
            <v>-316614321.89679694</v>
          </cell>
          <cell r="O291">
            <v>-320213850.4447428</v>
          </cell>
          <cell r="P291">
            <v>-324237020.32555246</v>
          </cell>
          <cell r="Q291">
            <v>-335997861.13902879</v>
          </cell>
          <cell r="R291">
            <v>-335301816.71928334</v>
          </cell>
          <cell r="S291">
            <v>-338702729.33132726</v>
          </cell>
          <cell r="T291">
            <v>-342486613.32380009</v>
          </cell>
          <cell r="U291">
            <v>-353466516.74163908</v>
          </cell>
          <cell r="V291">
            <v>-352771002.46990234</v>
          </cell>
          <cell r="W291">
            <v>-356184364.48302841</v>
          </cell>
          <cell r="X291">
            <v>-359604374.96509308</v>
          </cell>
          <cell r="Y291">
            <v>-199875111.66459417</v>
          </cell>
        </row>
        <row r="292">
          <cell r="F292">
            <v>0</v>
          </cell>
          <cell r="G292">
            <v>0</v>
          </cell>
          <cell r="H292">
            <v>-230921.75125008056</v>
          </cell>
          <cell r="I292">
            <v>-578779.64238836919</v>
          </cell>
          <cell r="J292">
            <v>-679650.15111855383</v>
          </cell>
          <cell r="K292">
            <v>-761855.21679247159</v>
          </cell>
          <cell r="L292">
            <v>-810410.13421479776</v>
          </cell>
          <cell r="M292">
            <v>-899459.02564036194</v>
          </cell>
          <cell r="N292">
            <v>-965255.85930901044</v>
          </cell>
          <cell r="O292">
            <v>-1031615.804699516</v>
          </cell>
          <cell r="P292">
            <v>-1090656.103127813</v>
          </cell>
          <cell r="Q292">
            <v>-1169214.2947570831</v>
          </cell>
          <cell r="R292">
            <v>-1218160.4610396354</v>
          </cell>
          <cell r="S292">
            <v>-1275532.7696912205</v>
          </cell>
          <cell r="T292">
            <v>-1323630.4987864962</v>
          </cell>
          <cell r="U292">
            <v>-1389003.8529385771</v>
          </cell>
          <cell r="V292">
            <v>-1430673.6523275971</v>
          </cell>
          <cell r="W292">
            <v>-1481786.1207547656</v>
          </cell>
          <cell r="X292">
            <v>-1510193.2904834151</v>
          </cell>
          <cell r="Y292">
            <v>-1324694.3998424883</v>
          </cell>
        </row>
        <row r="293">
          <cell r="F293">
            <v>0</v>
          </cell>
          <cell r="G293">
            <v>0</v>
          </cell>
          <cell r="H293">
            <v>120585.86536007343</v>
          </cell>
          <cell r="I293">
            <v>394053.62950817856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</row>
        <row r="294">
          <cell r="F294">
            <v>0</v>
          </cell>
          <cell r="G294">
            <v>0</v>
          </cell>
          <cell r="H294">
            <v>127246.46686224666</v>
          </cell>
          <cell r="I294">
            <v>166892.91039330553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</row>
        <row r="295">
          <cell r="F295">
            <v>0</v>
          </cell>
          <cell r="G295">
            <v>0</v>
          </cell>
          <cell r="H295">
            <v>14418.337582679374</v>
          </cell>
          <cell r="I295">
            <v>8150.3878194111348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</row>
        <row r="296">
          <cell r="F296">
            <v>0</v>
          </cell>
          <cell r="G296">
            <v>0</v>
          </cell>
          <cell r="H296">
            <v>11748.1153766188</v>
          </cell>
          <cell r="I296">
            <v>-10396.548739004644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</row>
        <row r="297">
          <cell r="F297">
            <v>0</v>
          </cell>
          <cell r="G297">
            <v>0</v>
          </cell>
          <cell r="H297">
            <v>-33076.348400110503</v>
          </cell>
          <cell r="I297">
            <v>-104406.73510317093</v>
          </cell>
          <cell r="J297">
            <v>-531.64864786569478</v>
          </cell>
          <cell r="K297">
            <v>-923.27326584905791</v>
          </cell>
          <cell r="L297">
            <v>-1170.9745906151652</v>
          </cell>
          <cell r="M297">
            <v>23003.298146929155</v>
          </cell>
          <cell r="N297">
            <v>26064.625528965087</v>
          </cell>
          <cell r="O297">
            <v>30360.314976099224</v>
          </cell>
          <cell r="P297">
            <v>34484.29635737848</v>
          </cell>
          <cell r="Q297">
            <v>70063.816544257643</v>
          </cell>
          <cell r="R297">
            <v>81779.659701789016</v>
          </cell>
          <cell r="S297">
            <v>97868.64624351653</v>
          </cell>
          <cell r="T297">
            <v>119961.47073144955</v>
          </cell>
          <cell r="U297">
            <v>-287282.57595454273</v>
          </cell>
          <cell r="V297">
            <v>-162472.7697252206</v>
          </cell>
          <cell r="W297">
            <v>-115239.36983804981</v>
          </cell>
          <cell r="X297">
            <v>-83361.928581937595</v>
          </cell>
          <cell r="Y297">
            <v>-21085.179313039363</v>
          </cell>
        </row>
        <row r="298">
          <cell r="F298">
            <v>0</v>
          </cell>
          <cell r="G298">
            <v>0</v>
          </cell>
          <cell r="H298">
            <v>-15899.9819094059</v>
          </cell>
          <cell r="I298">
            <v>-10074.394821507023</v>
          </cell>
          <cell r="J298">
            <v>-47.255779800195555</v>
          </cell>
          <cell r="K298">
            <v>-82.054070968246336</v>
          </cell>
          <cell r="L298">
            <v>-103.96143405032643</v>
          </cell>
          <cell r="M298">
            <v>1186.3609121595812</v>
          </cell>
          <cell r="N298">
            <v>1366.7160860515055</v>
          </cell>
          <cell r="O298">
            <v>1594.1003115541992</v>
          </cell>
          <cell r="P298">
            <v>1810.0263283733461</v>
          </cell>
          <cell r="Q298">
            <v>1051.4201943151861</v>
          </cell>
          <cell r="R298">
            <v>1090.5802027416494</v>
          </cell>
          <cell r="S298">
            <v>1038.6411895971671</v>
          </cell>
          <cell r="T298">
            <v>850.93643969898346</v>
          </cell>
          <cell r="U298">
            <v>10542.505891464381</v>
          </cell>
          <cell r="V298">
            <v>7290.7511782982765</v>
          </cell>
          <cell r="W298">
            <v>6594.9259554133869</v>
          </cell>
          <cell r="X298">
            <v>6239.8933551845284</v>
          </cell>
          <cell r="Y298">
            <v>2911.9487070911005</v>
          </cell>
        </row>
        <row r="299">
          <cell r="F299">
            <v>0</v>
          </cell>
          <cell r="G299">
            <v>0</v>
          </cell>
          <cell r="H299">
            <v>6558.8355297070984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-2036.999898762183</v>
          </cell>
          <cell r="N299">
            <v>-2712.440326794338</v>
          </cell>
          <cell r="O299">
            <v>-3637.3183204557208</v>
          </cell>
          <cell r="P299">
            <v>-4705.5668347313467</v>
          </cell>
          <cell r="Q299">
            <v>-17795.033053579431</v>
          </cell>
          <cell r="R299">
            <v>-23659.661940153084</v>
          </cell>
          <cell r="S299">
            <v>-32099.086040751215</v>
          </cell>
          <cell r="T299">
            <v>-44988.411466622973</v>
          </cell>
          <cell r="U299">
            <v>322667.22969471547</v>
          </cell>
          <cell r="V299">
            <v>227037.73703584488</v>
          </cell>
          <cell r="W299">
            <v>195495.90618683357</v>
          </cell>
          <cell r="X299">
            <v>175213.08864077588</v>
          </cell>
          <cell r="Y299">
            <v>68891.724023647155</v>
          </cell>
        </row>
        <row r="300">
          <cell r="F300">
            <v>0</v>
          </cell>
          <cell r="G300">
            <v>0</v>
          </cell>
          <cell r="H300">
            <v>574.33808327025383</v>
          </cell>
          <cell r="I300">
            <v>1063.2754937370833</v>
          </cell>
          <cell r="J300">
            <v>4.5104297480819699</v>
          </cell>
          <cell r="K300">
            <v>7.4161112620830174</v>
          </cell>
          <cell r="L300">
            <v>8.7640003413741141</v>
          </cell>
          <cell r="M300">
            <v>-382.20860153784793</v>
          </cell>
          <cell r="N300">
            <v>-529.6837935361367</v>
          </cell>
          <cell r="O300">
            <v>-678.06443244881007</v>
          </cell>
          <cell r="P300">
            <v>-840.31475186867306</v>
          </cell>
          <cell r="Q300">
            <v>-2130.4488618638966</v>
          </cell>
          <cell r="R300">
            <v>-2784.0429585099582</v>
          </cell>
          <cell r="S300">
            <v>-3658.6136089020929</v>
          </cell>
          <cell r="T300">
            <v>-4951.4645325357633</v>
          </cell>
          <cell r="U300">
            <v>31179.031651365396</v>
          </cell>
          <cell r="V300">
            <v>22211.407802614307</v>
          </cell>
          <cell r="W300">
            <v>17266.297130021034</v>
          </cell>
          <cell r="X300">
            <v>14001.421441932351</v>
          </cell>
          <cell r="Y300">
            <v>6997.6279200972804</v>
          </cell>
        </row>
        <row r="301">
          <cell r="F301">
            <v>0</v>
          </cell>
          <cell r="G301">
            <v>0</v>
          </cell>
          <cell r="H301">
            <v>831.9719160460462</v>
          </cell>
          <cell r="I301">
            <v>0</v>
          </cell>
          <cell r="J301">
            <v>1.3491494479488327E-2</v>
          </cell>
          <cell r="K301">
            <v>8.8454950601646848E-2</v>
          </cell>
          <cell r="L301">
            <v>0.26199754307134027</v>
          </cell>
          <cell r="M301">
            <v>-268.24422732237008</v>
          </cell>
          <cell r="N301">
            <v>-507.15115998031376</v>
          </cell>
          <cell r="O301">
            <v>-815.09184235917633</v>
          </cell>
          <cell r="P301">
            <v>-1177.8332693356172</v>
          </cell>
          <cell r="Q301">
            <v>-3982.9094381768928</v>
          </cell>
          <cell r="R301">
            <v>-6067.3825533332683</v>
          </cell>
          <cell r="S301">
            <v>-9043.9698344586741</v>
          </cell>
          <cell r="T301">
            <v>-13455.457103319664</v>
          </cell>
          <cell r="U301">
            <v>46175.516570613283</v>
          </cell>
          <cell r="V301">
            <v>34238.562929765307</v>
          </cell>
          <cell r="W301">
            <v>30304.790178515061</v>
          </cell>
          <cell r="X301">
            <v>27495.111912535191</v>
          </cell>
          <cell r="Y301">
            <v>9590.3716749894975</v>
          </cell>
        </row>
        <row r="302">
          <cell r="F302">
            <v>0</v>
          </cell>
          <cell r="G302">
            <v>0</v>
          </cell>
          <cell r="H302">
            <v>907.18303793448069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-346.85824094006659</v>
          </cell>
          <cell r="V302">
            <v>-308.98128635249878</v>
          </cell>
          <cell r="W302">
            <v>-227.51601390130665</v>
          </cell>
          <cell r="X302">
            <v>-172.65286999072731</v>
          </cell>
          <cell r="Y302">
            <v>-44.60731677200684</v>
          </cell>
        </row>
        <row r="303">
          <cell r="F303">
            <v>0</v>
          </cell>
          <cell r="G303">
            <v>0</v>
          </cell>
          <cell r="H303">
            <v>540.8789526738118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305.51381085902574</v>
          </cell>
          <cell r="N303">
            <v>498.08896663283281</v>
          </cell>
          <cell r="O303">
            <v>509.79020995427032</v>
          </cell>
          <cell r="P303">
            <v>485.39683374675462</v>
          </cell>
          <cell r="Q303">
            <v>771.39909550678476</v>
          </cell>
          <cell r="R303">
            <v>790.58655922278342</v>
          </cell>
          <cell r="S303">
            <v>851.39725381996254</v>
          </cell>
          <cell r="T303">
            <v>898.57975205560501</v>
          </cell>
          <cell r="U303">
            <v>-11483.801016441152</v>
          </cell>
          <cell r="V303">
            <v>-10241.040084366417</v>
          </cell>
          <cell r="W303">
            <v>-6917.8504953677939</v>
          </cell>
          <cell r="X303">
            <v>-4654.5273749208645</v>
          </cell>
          <cell r="Y303">
            <v>-1324.8192754243107</v>
          </cell>
        </row>
        <row r="304">
          <cell r="F304">
            <v>0</v>
          </cell>
          <cell r="G304">
            <v>0</v>
          </cell>
          <cell r="H304">
            <v>6950.7660268400241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6.3906921762408722</v>
          </cell>
          <cell r="R304">
            <v>9.8011703069781007</v>
          </cell>
          <cell r="S304">
            <v>10.571108372580477</v>
          </cell>
          <cell r="T304">
            <v>11.187078620686741</v>
          </cell>
          <cell r="U304">
            <v>-1252.4952516432652</v>
          </cell>
          <cell r="V304">
            <v>-1112.599635634549</v>
          </cell>
          <cell r="W304">
            <v>-750.1428021832063</v>
          </cell>
          <cell r="X304">
            <v>-503.32210188475824</v>
          </cell>
          <cell r="Y304">
            <v>-29.350481237397119</v>
          </cell>
        </row>
        <row r="305">
          <cell r="F305">
            <v>0</v>
          </cell>
          <cell r="G305">
            <v>0</v>
          </cell>
          <cell r="H305">
            <v>127246.46686224666</v>
          </cell>
          <cell r="I305">
            <v>116995.13162962439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</row>
        <row r="306">
          <cell r="F306">
            <v>0</v>
          </cell>
          <cell r="G306">
            <v>0</v>
          </cell>
          <cell r="H306">
            <v>14418.337582679374</v>
          </cell>
          <cell r="I306">
            <v>69710.466128378321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</row>
        <row r="307">
          <cell r="F307">
            <v>0</v>
          </cell>
          <cell r="G307">
            <v>0</v>
          </cell>
          <cell r="H307">
            <v>11748.1153766188</v>
          </cell>
          <cell r="I307">
            <v>-9786.6234883918478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</row>
        <row r="308">
          <cell r="F308">
            <v>0</v>
          </cell>
          <cell r="G308">
            <v>0</v>
          </cell>
          <cell r="H308">
            <v>179.20908736699263</v>
          </cell>
          <cell r="I308">
            <v>9720.1380545932716</v>
          </cell>
          <cell r="J308">
            <v>0</v>
          </cell>
          <cell r="K308">
            <v>0</v>
          </cell>
          <cell r="L308">
            <v>0</v>
          </cell>
          <cell r="M308">
            <v>-181.7888708073136</v>
          </cell>
          <cell r="N308">
            <v>-254.70557051127622</v>
          </cell>
          <cell r="O308">
            <v>-384.5516277995988</v>
          </cell>
          <cell r="P308">
            <v>-555.70430257289183</v>
          </cell>
          <cell r="Q308">
            <v>-1785.2549486650146</v>
          </cell>
          <cell r="R308">
            <v>-2567.0488384421992</v>
          </cell>
          <cell r="S308">
            <v>-3739.9592568239536</v>
          </cell>
          <cell r="T308">
            <v>-5633.6446834593271</v>
          </cell>
          <cell r="U308">
            <v>33797.284796211912</v>
          </cell>
          <cell r="V308">
            <v>25633.44760821716</v>
          </cell>
          <cell r="W308">
            <v>23727.991572808583</v>
          </cell>
          <cell r="X308">
            <v>22881.656511514073</v>
          </cell>
          <cell r="Y308">
            <v>7302.6298525259381</v>
          </cell>
        </row>
        <row r="309">
          <cell r="F309">
            <v>0</v>
          </cell>
          <cell r="G309">
            <v>0</v>
          </cell>
          <cell r="H309">
            <v>-15899.9819094059</v>
          </cell>
          <cell r="I309">
            <v>-9731.2401446352269</v>
          </cell>
          <cell r="J309">
            <v>-47.255779800195555</v>
          </cell>
          <cell r="K309">
            <v>-82.054070968246336</v>
          </cell>
          <cell r="L309">
            <v>-103.96143405032643</v>
          </cell>
          <cell r="M309">
            <v>1186.3609121595812</v>
          </cell>
          <cell r="N309">
            <v>1366.7160860515055</v>
          </cell>
          <cell r="O309">
            <v>1594.1003115541992</v>
          </cell>
          <cell r="P309">
            <v>1810.0263283733461</v>
          </cell>
          <cell r="Q309">
            <v>1051.4201943151861</v>
          </cell>
          <cell r="R309">
            <v>1090.5802027416494</v>
          </cell>
          <cell r="S309">
            <v>1038.6411895971671</v>
          </cell>
          <cell r="T309">
            <v>850.93643969898346</v>
          </cell>
          <cell r="U309">
            <v>10542.505891464381</v>
          </cell>
          <cell r="V309">
            <v>7290.7511782982765</v>
          </cell>
          <cell r="W309">
            <v>6594.9259554133869</v>
          </cell>
          <cell r="X309">
            <v>6239.8933551845284</v>
          </cell>
          <cell r="Y309">
            <v>2911.9487070911005</v>
          </cell>
        </row>
        <row r="310">
          <cell r="F310">
            <v>0</v>
          </cell>
          <cell r="G310">
            <v>0</v>
          </cell>
          <cell r="H310">
            <v>6558.8355297070984</v>
          </cell>
          <cell r="I310">
            <v>1302.8900925796117</v>
          </cell>
          <cell r="J310">
            <v>0</v>
          </cell>
          <cell r="K310">
            <v>0</v>
          </cell>
          <cell r="L310">
            <v>0</v>
          </cell>
          <cell r="M310">
            <v>-2036.999898762183</v>
          </cell>
          <cell r="N310">
            <v>-2712.440326794338</v>
          </cell>
          <cell r="O310">
            <v>-3637.3183204557208</v>
          </cell>
          <cell r="P310">
            <v>-4705.5668347313467</v>
          </cell>
          <cell r="Q310">
            <v>-17795.033053579431</v>
          </cell>
          <cell r="R310">
            <v>-23659.661940153084</v>
          </cell>
          <cell r="S310">
            <v>-32099.086040751215</v>
          </cell>
          <cell r="T310">
            <v>-44988.411466622973</v>
          </cell>
          <cell r="U310">
            <v>322667.22969471547</v>
          </cell>
          <cell r="V310">
            <v>227037.73703584488</v>
          </cell>
          <cell r="W310">
            <v>195495.90618683357</v>
          </cell>
          <cell r="X310">
            <v>175213.08864077588</v>
          </cell>
          <cell r="Y310">
            <v>68891.724023647155</v>
          </cell>
        </row>
        <row r="311">
          <cell r="F311">
            <v>0</v>
          </cell>
          <cell r="G311">
            <v>0</v>
          </cell>
          <cell r="H311">
            <v>574.33808327025383</v>
          </cell>
          <cell r="I311">
            <v>929.85019727557096</v>
          </cell>
          <cell r="J311">
            <v>4.5104297480819699</v>
          </cell>
          <cell r="K311">
            <v>7.4161112620830174</v>
          </cell>
          <cell r="L311">
            <v>8.7640003413741141</v>
          </cell>
          <cell r="M311">
            <v>-382.20860153784793</v>
          </cell>
          <cell r="N311">
            <v>-529.6837935361367</v>
          </cell>
          <cell r="O311">
            <v>-678.06443244881007</v>
          </cell>
          <cell r="P311">
            <v>-840.31475186867306</v>
          </cell>
          <cell r="Q311">
            <v>-2130.4488618638966</v>
          </cell>
          <cell r="R311">
            <v>-2784.0429585099582</v>
          </cell>
          <cell r="S311">
            <v>-3658.6136089020929</v>
          </cell>
          <cell r="T311">
            <v>-4951.4645325357633</v>
          </cell>
          <cell r="U311">
            <v>31179.031651365396</v>
          </cell>
          <cell r="V311">
            <v>22211.407802614307</v>
          </cell>
          <cell r="W311">
            <v>17266.297130021034</v>
          </cell>
          <cell r="X311">
            <v>14001.421441932351</v>
          </cell>
          <cell r="Y311">
            <v>6997.6279200972804</v>
          </cell>
        </row>
        <row r="312">
          <cell r="F312">
            <v>0</v>
          </cell>
          <cell r="G312">
            <v>0</v>
          </cell>
          <cell r="H312">
            <v>831.9719160460462</v>
          </cell>
          <cell r="I312">
            <v>-609.92525061279639</v>
          </cell>
          <cell r="J312">
            <v>1.3491494479488327E-2</v>
          </cell>
          <cell r="K312">
            <v>8.8454950601646848E-2</v>
          </cell>
          <cell r="L312">
            <v>0.26199754307134027</v>
          </cell>
          <cell r="M312">
            <v>-268.24422732237008</v>
          </cell>
          <cell r="N312">
            <v>-507.15115998031376</v>
          </cell>
          <cell r="O312">
            <v>-815.09184235917633</v>
          </cell>
          <cell r="P312">
            <v>-1177.8332693356172</v>
          </cell>
          <cell r="Q312">
            <v>-3982.9094381768928</v>
          </cell>
          <cell r="R312">
            <v>-6067.3825533332683</v>
          </cell>
          <cell r="S312">
            <v>-9043.9698344586741</v>
          </cell>
          <cell r="T312">
            <v>-13455.457103319664</v>
          </cell>
          <cell r="U312">
            <v>46175.516570613283</v>
          </cell>
          <cell r="V312">
            <v>34238.562929765307</v>
          </cell>
          <cell r="W312">
            <v>30304.790178515061</v>
          </cell>
          <cell r="X312">
            <v>27495.111912535191</v>
          </cell>
          <cell r="Y312">
            <v>9590.3716749894975</v>
          </cell>
        </row>
        <row r="313">
          <cell r="F313">
            <v>0</v>
          </cell>
          <cell r="G313">
            <v>0</v>
          </cell>
          <cell r="H313">
            <v>907.18303793448069</v>
          </cell>
          <cell r="I313">
            <v>-2424.7377942580529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-346.85824094006659</v>
          </cell>
          <cell r="V313">
            <v>-308.98128635249878</v>
          </cell>
          <cell r="W313">
            <v>-227.51601390130665</v>
          </cell>
          <cell r="X313">
            <v>-172.65286999072731</v>
          </cell>
          <cell r="Y313">
            <v>-44.60731677200684</v>
          </cell>
        </row>
        <row r="314">
          <cell r="F314">
            <v>0</v>
          </cell>
          <cell r="G314">
            <v>0</v>
          </cell>
          <cell r="H314">
            <v>540.8789526738118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305.51381085902574</v>
          </cell>
          <cell r="N314">
            <v>498.08896663283281</v>
          </cell>
          <cell r="O314">
            <v>509.79020995427032</v>
          </cell>
          <cell r="P314">
            <v>485.39683374675462</v>
          </cell>
          <cell r="Q314">
            <v>771.39909550678476</v>
          </cell>
          <cell r="R314">
            <v>790.58655922278342</v>
          </cell>
          <cell r="S314">
            <v>851.39725381996254</v>
          </cell>
          <cell r="T314">
            <v>898.57975205560501</v>
          </cell>
          <cell r="U314">
            <v>-11483.801016441152</v>
          </cell>
          <cell r="V314">
            <v>-10241.040084366417</v>
          </cell>
          <cell r="W314">
            <v>-6917.8504953677939</v>
          </cell>
          <cell r="X314">
            <v>-4654.5273749208645</v>
          </cell>
          <cell r="Y314">
            <v>-1324.8192754243107</v>
          </cell>
        </row>
        <row r="315">
          <cell r="F315">
            <v>0</v>
          </cell>
          <cell r="G315">
            <v>0</v>
          </cell>
          <cell r="H315">
            <v>-471321.87829879107</v>
          </cell>
          <cell r="I315">
            <v>-1095905.2192660966</v>
          </cell>
          <cell r="J315">
            <v>-676072.27179021272</v>
          </cell>
          <cell r="K315">
            <v>-757832.73648762039</v>
          </cell>
          <cell r="L315">
            <v>-806119.56665377005</v>
          </cell>
          <cell r="M315">
            <v>-918307.84167309827</v>
          </cell>
          <cell r="N315">
            <v>-986444.23378843116</v>
          </cell>
          <cell r="O315">
            <v>-1055924.8780676136</v>
          </cell>
          <cell r="P315">
            <v>-1117687.4502571295</v>
          </cell>
          <cell r="Q315">
            <v>-1214240.0258201296</v>
          </cell>
          <cell r="R315">
            <v>-1266328.2203997816</v>
          </cell>
          <cell r="S315">
            <v>-1327475.698468168</v>
          </cell>
          <cell r="T315">
            <v>-1378932.6821515958</v>
          </cell>
          <cell r="U315">
            <v>-1496243.5021735793</v>
          </cell>
          <cell r="V315">
            <v>-1544324.9397206279</v>
          </cell>
          <cell r="W315">
            <v>-1605288.5035218</v>
          </cell>
          <cell r="X315">
            <v>-1641425.7173708626</v>
          </cell>
          <cell r="Y315">
            <v>-1388629.5130421144</v>
          </cell>
        </row>
        <row r="316">
          <cell r="F316">
            <v>0</v>
          </cell>
          <cell r="G316">
            <v>0</v>
          </cell>
          <cell r="H316">
            <v>175613.7508946126</v>
          </cell>
          <cell r="I316">
            <v>170730804.23175651</v>
          </cell>
          <cell r="J316">
            <v>10755147.952211365</v>
          </cell>
          <cell r="K316">
            <v>2038869.914623582</v>
          </cell>
          <cell r="L316">
            <v>2009879.7834486437</v>
          </cell>
          <cell r="M316">
            <v>-51079.99960831448</v>
          </cell>
          <cell r="N316">
            <v>2909316.04739141</v>
          </cell>
          <cell r="O316">
            <v>2942677.0929445373</v>
          </cell>
          <cell r="P316">
            <v>2801551.6480968385</v>
          </cell>
          <cell r="Q316">
            <v>1122443.965617789</v>
          </cell>
          <cell r="R316">
            <v>3314837.9606225486</v>
          </cell>
          <cell r="S316">
            <v>3334314.657874641</v>
          </cell>
          <cell r="T316">
            <v>3141179.0292624226</v>
          </cell>
          <cell r="U316">
            <v>1230063.3651030115</v>
          </cell>
          <cell r="V316">
            <v>3337038.9619231466</v>
          </cell>
          <cell r="W316">
            <v>3318157.7997148084</v>
          </cell>
          <cell r="X316">
            <v>3153949.6190250684</v>
          </cell>
          <cell r="Y316">
            <v>31206307.235706195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DSF Proposal"/>
      <sheetName val="Autorent Aski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al RV"/>
      <sheetName val="Case1"/>
      <sheetName val="Sheet1"/>
      <sheetName val="old"/>
      <sheetName val="Sheet3"/>
    </sheetNames>
    <sheetDataSet>
      <sheetData sheetId="0"/>
      <sheetData sheetId="1"/>
      <sheetData sheetId="2"/>
      <sheetData sheetId="3"/>
      <sheetData sheetId="4">
        <row r="3">
          <cell r="B3" t="str">
            <v>Base rate</v>
          </cell>
          <cell r="C3" t="str">
            <v>1year later</v>
          </cell>
          <cell r="D3" t="str">
            <v>2year later</v>
          </cell>
          <cell r="E3" t="str">
            <v>3year later</v>
          </cell>
          <cell r="F3" t="str">
            <v>4year later</v>
          </cell>
          <cell r="G3" t="str">
            <v>5year later</v>
          </cell>
          <cell r="H3" t="str">
            <v>6year later</v>
          </cell>
          <cell r="I3" t="str">
            <v>7year later</v>
          </cell>
        </row>
        <row r="4">
          <cell r="A4" t="str">
            <v>（1）　Auction price case</v>
          </cell>
          <cell r="B4">
            <v>1</v>
          </cell>
          <cell r="C4">
            <v>0.68029842406342467</v>
          </cell>
          <cell r="D4">
            <v>0.63044333170763478</v>
          </cell>
          <cell r="E4">
            <v>0.55738641782368581</v>
          </cell>
          <cell r="F4">
            <v>0.51323520125058442</v>
          </cell>
          <cell r="G4">
            <v>0.4756989528115943</v>
          </cell>
          <cell r="H4">
            <v>0.4271951864281216</v>
          </cell>
          <cell r="I4">
            <v>0.37083639047115696</v>
          </cell>
        </row>
        <row r="5">
          <cell r="A5" t="str">
            <v>（3）　Rental company case</v>
          </cell>
          <cell r="B5">
            <v>0.9</v>
          </cell>
          <cell r="C5">
            <v>0.81942665709499873</v>
          </cell>
          <cell r="D5">
            <v>0.73456999282124902</v>
          </cell>
          <cell r="E5">
            <v>0.6497133285474993</v>
          </cell>
          <cell r="F5">
            <v>0.56485666427374959</v>
          </cell>
          <cell r="G5">
            <v>0.48</v>
          </cell>
          <cell r="H5">
            <v>0.4271951864281216</v>
          </cell>
          <cell r="I5">
            <v>0.37083639047115696</v>
          </cell>
        </row>
        <row r="6">
          <cell r="A6" t="str">
            <v>（4）　Antara　RV　（3）-（1）</v>
          </cell>
          <cell r="B6">
            <v>0.9</v>
          </cell>
          <cell r="C6">
            <v>0.74986254050000001</v>
          </cell>
          <cell r="D6">
            <v>0.6825066622</v>
          </cell>
          <cell r="E6">
            <v>0.60354987318559261</v>
          </cell>
          <cell r="F6">
            <v>0.53904593276216706</v>
          </cell>
          <cell r="G6">
            <v>0.48</v>
          </cell>
          <cell r="H6">
            <v>0.4271951864281216</v>
          </cell>
          <cell r="I6">
            <v>0.37083639047115696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F45"/>
  <sheetViews>
    <sheetView showGridLines="0" tabSelected="1" topLeftCell="B1" zoomScale="130" zoomScaleNormal="130" workbookViewId="0">
      <selection activeCell="E9" sqref="E9"/>
    </sheetView>
  </sheetViews>
  <sheetFormatPr defaultColWidth="9" defaultRowHeight="14.25" customHeight="1"/>
  <cols>
    <col min="1" max="1" width="9" style="928"/>
    <col min="2" max="2" width="6" style="1171" customWidth="1"/>
    <col min="3" max="3" width="31.28515625" style="928" bestFit="1" customWidth="1"/>
    <col min="4" max="4" width="15" style="928" bestFit="1" customWidth="1"/>
    <col min="5" max="5" width="15.85546875" style="928" bestFit="1" customWidth="1"/>
    <col min="6" max="6" width="13" style="928" bestFit="1" customWidth="1"/>
    <col min="7" max="16384" width="9" style="928"/>
  </cols>
  <sheetData>
    <row r="2" spans="2:6" ht="14.25" customHeight="1">
      <c r="B2" s="1171" t="s">
        <v>366</v>
      </c>
    </row>
    <row r="3" spans="2:6" ht="14.25" customHeight="1">
      <c r="C3" s="1400" t="s">
        <v>490</v>
      </c>
      <c r="D3" s="1400"/>
    </row>
    <row r="5" spans="2:6" ht="14.25" customHeight="1">
      <c r="B5" s="1171" t="s">
        <v>362</v>
      </c>
    </row>
    <row r="6" spans="2:6" ht="14.25" customHeight="1">
      <c r="C6" s="1163" t="s">
        <v>352</v>
      </c>
      <c r="D6" s="1166">
        <v>48</v>
      </c>
    </row>
    <row r="7" spans="2:6" ht="14.25" customHeight="1">
      <c r="C7" s="1163" t="s">
        <v>15</v>
      </c>
      <c r="D7" s="1167">
        <v>0.12759999999999999</v>
      </c>
    </row>
    <row r="8" spans="2:6" ht="14.25" customHeight="1">
      <c r="C8" s="1164" t="s">
        <v>260</v>
      </c>
      <c r="D8" s="1172">
        <v>8.48E-2</v>
      </c>
      <c r="E8" s="1396">
        <f>D7-D8</f>
        <v>4.2799999999999991E-2</v>
      </c>
    </row>
    <row r="9" spans="2:6" ht="14.25" customHeight="1">
      <c r="C9" s="1173" t="s">
        <v>354</v>
      </c>
      <c r="D9" s="1169">
        <v>15</v>
      </c>
    </row>
    <row r="10" spans="2:6" ht="14.25" customHeight="1">
      <c r="C10" s="1170"/>
      <c r="D10" s="1175"/>
    </row>
    <row r="11" spans="2:6" ht="14.25" customHeight="1">
      <c r="B11" s="1171" t="s">
        <v>363</v>
      </c>
    </row>
    <row r="12" spans="2:6" ht="14.25" customHeight="1">
      <c r="C12" s="1163" t="s">
        <v>360</v>
      </c>
      <c r="D12" s="1168">
        <v>234235236</v>
      </c>
    </row>
    <row r="13" spans="2:6" ht="14.25" customHeight="1">
      <c r="C13" s="1163" t="s">
        <v>377</v>
      </c>
      <c r="D13" s="1221">
        <v>2500000</v>
      </c>
    </row>
    <row r="14" spans="2:6" ht="14.25" customHeight="1">
      <c r="C14" s="1163" t="s">
        <v>378</v>
      </c>
      <c r="D14" s="1168">
        <f>(D12-D13)/1.1*11.118669912%</f>
        <v>23423523.600576535</v>
      </c>
      <c r="E14" s="1744">
        <f>10%*D12*1.1/(D12-D13)</f>
        <v>0.11118669911726331</v>
      </c>
      <c r="F14" s="1399" t="s">
        <v>488</v>
      </c>
    </row>
    <row r="15" spans="2:6" ht="14.25" customHeight="1">
      <c r="C15" s="1164" t="s">
        <v>361</v>
      </c>
      <c r="D15" s="1169"/>
    </row>
    <row r="16" spans="2:6" ht="14.25" customHeight="1">
      <c r="C16" s="1164" t="s">
        <v>377</v>
      </c>
      <c r="D16" s="1222"/>
    </row>
    <row r="17" spans="2:6" ht="14.25" customHeight="1">
      <c r="C17" s="1163" t="s">
        <v>378</v>
      </c>
      <c r="D17" s="1168">
        <f>D15*E14</f>
        <v>0</v>
      </c>
    </row>
    <row r="18" spans="2:6" ht="14.25" customHeight="1">
      <c r="C18" s="1163" t="s">
        <v>356</v>
      </c>
      <c r="D18" s="1168"/>
    </row>
    <row r="19" spans="2:6" ht="14.25" customHeight="1">
      <c r="C19" s="1164" t="s">
        <v>377</v>
      </c>
      <c r="D19" s="1223"/>
    </row>
    <row r="20" spans="2:6" ht="14.25" customHeight="1">
      <c r="C20" s="1163" t="s">
        <v>378</v>
      </c>
      <c r="D20" s="1168">
        <f>D18*E14</f>
        <v>0</v>
      </c>
    </row>
    <row r="21" spans="2:6" ht="14.25" customHeight="1">
      <c r="C21" s="1165" t="s">
        <v>312</v>
      </c>
      <c r="D21" s="1167">
        <v>0.2424</v>
      </c>
    </row>
    <row r="22" spans="2:6" ht="14.25" customHeight="1">
      <c r="C22" s="1163" t="s">
        <v>358</v>
      </c>
      <c r="D22" s="1177">
        <f>(D12+D15)*D21</f>
        <v>56778621.2064</v>
      </c>
      <c r="E22" s="1162"/>
      <c r="F22" s="1162"/>
    </row>
    <row r="23" spans="2:6" ht="14.25" customHeight="1">
      <c r="C23" s="1164" t="s">
        <v>379</v>
      </c>
      <c r="D23" s="1169">
        <f>D14+D17+D20</f>
        <v>23423523.600576535</v>
      </c>
      <c r="E23" s="1395"/>
    </row>
    <row r="24" spans="2:6" ht="14.25" customHeight="1">
      <c r="C24" s="1163" t="s">
        <v>369</v>
      </c>
      <c r="D24" s="1176">
        <f>(D12-D13)+(D15-D16)+(D18-D19)</f>
        <v>231735236</v>
      </c>
    </row>
    <row r="25" spans="2:6" ht="14.25" customHeight="1">
      <c r="C25" s="1163" t="s">
        <v>336</v>
      </c>
      <c r="D25" s="1178">
        <f>D24-(D14+D17+D20)</f>
        <v>208311712.39942348</v>
      </c>
    </row>
    <row r="27" spans="2:6" ht="14.25" customHeight="1">
      <c r="B27" s="1171" t="s">
        <v>263</v>
      </c>
    </row>
    <row r="28" spans="2:6" ht="14.25" customHeight="1">
      <c r="C28" s="1163" t="s">
        <v>364</v>
      </c>
      <c r="D28" s="1168">
        <v>0</v>
      </c>
    </row>
    <row r="29" spans="2:6" ht="14.25" customHeight="1">
      <c r="C29" s="1164" t="s">
        <v>353</v>
      </c>
      <c r="D29" s="1174">
        <v>0.25</v>
      </c>
    </row>
    <row r="31" spans="2:6" ht="14.25" customHeight="1">
      <c r="B31" s="1171" t="s">
        <v>374</v>
      </c>
    </row>
    <row r="32" spans="2:6" ht="14.25" customHeight="1">
      <c r="C32" s="1163" t="s">
        <v>489</v>
      </c>
      <c r="D32" s="1168">
        <v>0</v>
      </c>
    </row>
    <row r="33" spans="2:4" ht="14.25" customHeight="1">
      <c r="C33" s="1163" t="s">
        <v>365</v>
      </c>
      <c r="D33" s="1176">
        <f>D32*D6</f>
        <v>0</v>
      </c>
    </row>
    <row r="34" spans="2:4" ht="14.25" customHeight="1">
      <c r="C34" s="1163" t="s">
        <v>355</v>
      </c>
      <c r="D34" s="1168">
        <v>5242500</v>
      </c>
    </row>
    <row r="36" spans="2:4" ht="14.25" customHeight="1">
      <c r="B36" s="1171" t="s">
        <v>368</v>
      </c>
    </row>
    <row r="37" spans="2:4" ht="14.25" customHeight="1">
      <c r="C37" s="1163" t="s">
        <v>262</v>
      </c>
      <c r="D37" s="1168">
        <v>1285000</v>
      </c>
    </row>
    <row r="39" spans="2:4" ht="14.25" customHeight="1">
      <c r="B39" s="1171" t="s">
        <v>375</v>
      </c>
    </row>
    <row r="40" spans="2:4" ht="14.25" customHeight="1">
      <c r="C40" s="1163" t="s">
        <v>375</v>
      </c>
      <c r="D40" s="1168">
        <v>0</v>
      </c>
    </row>
    <row r="42" spans="2:4" ht="14.25" customHeight="1">
      <c r="B42" s="1171" t="s">
        <v>487</v>
      </c>
    </row>
    <row r="43" spans="2:4" ht="14.25" customHeight="1">
      <c r="C43" s="1163" t="s">
        <v>375</v>
      </c>
      <c r="D43" s="1168">
        <v>0</v>
      </c>
    </row>
    <row r="45" spans="2:4" ht="14.25" customHeight="1">
      <c r="B45" s="1377" t="s">
        <v>471</v>
      </c>
      <c r="C45" s="1378"/>
      <c r="D45" s="1379">
        <v>0</v>
      </c>
    </row>
  </sheetData>
  <mergeCells count="1">
    <mergeCell ref="C3:D3"/>
  </mergeCells>
  <phoneticPr fontId="6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P58"/>
  <sheetViews>
    <sheetView topLeftCell="A25" workbookViewId="0">
      <selection activeCell="G33" sqref="G33"/>
    </sheetView>
  </sheetViews>
  <sheetFormatPr defaultColWidth="9" defaultRowHeight="11.25"/>
  <cols>
    <col min="1" max="1" width="3" style="1234" customWidth="1"/>
    <col min="2" max="2" width="10.42578125" style="1234" bestFit="1" customWidth="1"/>
    <col min="3" max="3" width="9.5703125" style="1234" bestFit="1" customWidth="1"/>
    <col min="4" max="7" width="12.5703125" style="1234" customWidth="1"/>
    <col min="8" max="8" width="7.85546875" style="1234" customWidth="1"/>
    <col min="9" max="9" width="10.7109375" style="1234" customWidth="1"/>
    <col min="10" max="10" width="7.85546875" style="1234" customWidth="1"/>
    <col min="11" max="11" width="10.7109375" style="1234" customWidth="1"/>
    <col min="12" max="12" width="7.85546875" style="1234" customWidth="1"/>
    <col min="13" max="13" width="10.7109375" style="1234" customWidth="1"/>
    <col min="14" max="14" width="7.85546875" style="1234" customWidth="1"/>
    <col min="15" max="15" width="10.7109375" style="1234" customWidth="1"/>
    <col min="16" max="16" width="7.85546875" style="1234" customWidth="1"/>
    <col min="17" max="16384" width="9" style="1234"/>
  </cols>
  <sheetData>
    <row r="1" spans="1:16">
      <c r="A1" s="1233" t="s">
        <v>385</v>
      </c>
    </row>
    <row r="3" spans="1:16">
      <c r="B3" s="1235" t="s">
        <v>386</v>
      </c>
    </row>
    <row r="4" spans="1:16" ht="7.5" customHeight="1"/>
    <row r="5" spans="1:16" ht="15" customHeight="1">
      <c r="B5" s="1236" t="s">
        <v>387</v>
      </c>
      <c r="C5" s="1237" t="s">
        <v>388</v>
      </c>
      <c r="D5" s="1237" t="s">
        <v>389</v>
      </c>
      <c r="E5" s="1237" t="s">
        <v>390</v>
      </c>
      <c r="F5" s="1237" t="s">
        <v>391</v>
      </c>
      <c r="G5" s="1237" t="s">
        <v>392</v>
      </c>
      <c r="H5" s="1237" t="s">
        <v>391</v>
      </c>
      <c r="I5" s="1237" t="s">
        <v>393</v>
      </c>
      <c r="J5" s="1237" t="s">
        <v>391</v>
      </c>
      <c r="K5" s="1237" t="s">
        <v>394</v>
      </c>
      <c r="L5" s="1237" t="s">
        <v>391</v>
      </c>
      <c r="M5" s="1237" t="s">
        <v>395</v>
      </c>
      <c r="N5" s="1237" t="s">
        <v>391</v>
      </c>
      <c r="O5" s="1237" t="s">
        <v>396</v>
      </c>
      <c r="P5" s="1238" t="s">
        <v>391</v>
      </c>
    </row>
    <row r="6" spans="1:16" ht="14.25" customHeight="1">
      <c r="B6" s="1727" t="s">
        <v>397</v>
      </c>
      <c r="C6" s="1239" t="s">
        <v>398</v>
      </c>
      <c r="D6" s="1240">
        <v>0.7</v>
      </c>
      <c r="E6" s="1240">
        <v>0.65</v>
      </c>
      <c r="F6" s="1240">
        <f t="shared" ref="F6:F14" si="0">E6-D6</f>
        <v>-4.9999999999999933E-2</v>
      </c>
      <c r="G6" s="1240">
        <v>0.59</v>
      </c>
      <c r="H6" s="1240">
        <f t="shared" ref="H6:H14" si="1">G6-E6</f>
        <v>-6.0000000000000053E-2</v>
      </c>
      <c r="I6" s="1240">
        <v>0.53</v>
      </c>
      <c r="J6" s="1240">
        <f t="shared" ref="J6:J14" si="2">I6-G6</f>
        <v>-5.9999999999999942E-2</v>
      </c>
      <c r="K6" s="1241">
        <v>0.5</v>
      </c>
      <c r="L6" s="1242">
        <f t="shared" ref="L6:L14" si="3">K6-I6</f>
        <v>-3.0000000000000027E-2</v>
      </c>
      <c r="M6" s="1242">
        <v>0.44</v>
      </c>
      <c r="N6" s="1242">
        <f t="shared" ref="N6:N14" si="4">M6-K6</f>
        <v>-0.06</v>
      </c>
      <c r="O6" s="1242">
        <v>0.41</v>
      </c>
      <c r="P6" s="1242">
        <f t="shared" ref="P6:P14" si="5">O6-M6</f>
        <v>-3.0000000000000027E-2</v>
      </c>
    </row>
    <row r="7" spans="1:16" ht="14.25" customHeight="1">
      <c r="B7" s="1727"/>
      <c r="C7" s="1239" t="s">
        <v>399</v>
      </c>
      <c r="D7" s="1240">
        <v>0.67</v>
      </c>
      <c r="E7" s="1240">
        <v>0.62</v>
      </c>
      <c r="F7" s="1240">
        <f t="shared" si="0"/>
        <v>-5.0000000000000044E-2</v>
      </c>
      <c r="G7" s="1240">
        <v>0.57999999999999996</v>
      </c>
      <c r="H7" s="1240">
        <f t="shared" si="1"/>
        <v>-4.0000000000000036E-2</v>
      </c>
      <c r="I7" s="1240">
        <v>0.51</v>
      </c>
      <c r="J7" s="1240">
        <f t="shared" si="2"/>
        <v>-6.9999999999999951E-2</v>
      </c>
      <c r="K7" s="1241">
        <v>0.46</v>
      </c>
      <c r="L7" s="1242">
        <f t="shared" si="3"/>
        <v>-4.9999999999999989E-2</v>
      </c>
      <c r="M7" s="1242">
        <v>0.42</v>
      </c>
      <c r="N7" s="1242">
        <f t="shared" si="4"/>
        <v>-4.0000000000000036E-2</v>
      </c>
      <c r="O7" s="1242">
        <v>0.36</v>
      </c>
      <c r="P7" s="1242">
        <f t="shared" si="5"/>
        <v>-0.06</v>
      </c>
    </row>
    <row r="8" spans="1:16" ht="14.25" customHeight="1">
      <c r="B8" s="1727" t="s">
        <v>400</v>
      </c>
      <c r="C8" s="1239" t="s">
        <v>398</v>
      </c>
      <c r="D8" s="1240">
        <v>0.68</v>
      </c>
      <c r="E8" s="1240">
        <v>0.63</v>
      </c>
      <c r="F8" s="1240">
        <f t="shared" si="0"/>
        <v>-5.0000000000000044E-2</v>
      </c>
      <c r="G8" s="1240">
        <v>0.56000000000000005</v>
      </c>
      <c r="H8" s="1240">
        <f t="shared" si="1"/>
        <v>-6.9999999999999951E-2</v>
      </c>
      <c r="I8" s="1240">
        <v>0.51</v>
      </c>
      <c r="J8" s="1240">
        <f t="shared" si="2"/>
        <v>-5.0000000000000044E-2</v>
      </c>
      <c r="K8" s="1241">
        <v>0.48</v>
      </c>
      <c r="L8" s="1242">
        <f t="shared" si="3"/>
        <v>-3.0000000000000027E-2</v>
      </c>
      <c r="M8" s="1242">
        <v>0.43</v>
      </c>
      <c r="N8" s="1242">
        <f t="shared" si="4"/>
        <v>-4.9999999999999989E-2</v>
      </c>
      <c r="O8" s="1242">
        <v>0.37</v>
      </c>
      <c r="P8" s="1242">
        <f t="shared" si="5"/>
        <v>-0.06</v>
      </c>
    </row>
    <row r="9" spans="1:16" ht="14.25" customHeight="1">
      <c r="B9" s="1727"/>
      <c r="C9" s="1239" t="s">
        <v>399</v>
      </c>
      <c r="D9" s="1240">
        <v>0.66</v>
      </c>
      <c r="E9" s="1240">
        <v>0.57999999999999996</v>
      </c>
      <c r="F9" s="1240">
        <f t="shared" si="0"/>
        <v>-8.0000000000000071E-2</v>
      </c>
      <c r="G9" s="1240">
        <v>0.52</v>
      </c>
      <c r="H9" s="1240">
        <f t="shared" si="1"/>
        <v>-5.9999999999999942E-2</v>
      </c>
      <c r="I9" s="1240">
        <v>0.47</v>
      </c>
      <c r="J9" s="1240">
        <f t="shared" si="2"/>
        <v>-5.0000000000000044E-2</v>
      </c>
      <c r="K9" s="1241">
        <v>0.42</v>
      </c>
      <c r="L9" s="1242">
        <f t="shared" si="3"/>
        <v>-4.9999999999999989E-2</v>
      </c>
      <c r="M9" s="1242">
        <v>0.38</v>
      </c>
      <c r="N9" s="1242">
        <f t="shared" si="4"/>
        <v>-3.999999999999998E-2</v>
      </c>
      <c r="O9" s="1242">
        <v>0.32</v>
      </c>
      <c r="P9" s="1242">
        <f t="shared" si="5"/>
        <v>-0.06</v>
      </c>
    </row>
    <row r="10" spans="1:16" ht="14.25" customHeight="1">
      <c r="B10" s="1726" t="s">
        <v>401</v>
      </c>
      <c r="C10" s="1239" t="s">
        <v>402</v>
      </c>
      <c r="D10" s="1240">
        <v>0.67</v>
      </c>
      <c r="E10" s="1240">
        <v>0.61</v>
      </c>
      <c r="F10" s="1240">
        <f t="shared" si="0"/>
        <v>-6.0000000000000053E-2</v>
      </c>
      <c r="G10" s="1240">
        <v>0.53</v>
      </c>
      <c r="H10" s="1240">
        <f t="shared" si="1"/>
        <v>-7.999999999999996E-2</v>
      </c>
      <c r="I10" s="1240">
        <v>0.49</v>
      </c>
      <c r="J10" s="1240">
        <f t="shared" si="2"/>
        <v>-4.0000000000000036E-2</v>
      </c>
      <c r="K10" s="1241">
        <v>0.44</v>
      </c>
      <c r="L10" s="1242">
        <f t="shared" si="3"/>
        <v>-4.9999999999999989E-2</v>
      </c>
      <c r="M10" s="1242">
        <v>0.39</v>
      </c>
      <c r="N10" s="1242">
        <f t="shared" si="4"/>
        <v>-4.9999999999999989E-2</v>
      </c>
      <c r="O10" s="1242">
        <v>0.35</v>
      </c>
      <c r="P10" s="1242">
        <f t="shared" si="5"/>
        <v>-4.0000000000000036E-2</v>
      </c>
    </row>
    <row r="11" spans="1:16" ht="14.25" customHeight="1">
      <c r="B11" s="1726"/>
      <c r="C11" s="1239" t="s">
        <v>403</v>
      </c>
      <c r="D11" s="1240">
        <v>0.66</v>
      </c>
      <c r="E11" s="1240">
        <v>0.56999999999999995</v>
      </c>
      <c r="F11" s="1240">
        <f t="shared" si="0"/>
        <v>-9.000000000000008E-2</v>
      </c>
      <c r="G11" s="1240">
        <v>0.51</v>
      </c>
      <c r="H11" s="1240">
        <f t="shared" si="1"/>
        <v>-5.9999999999999942E-2</v>
      </c>
      <c r="I11" s="1240">
        <v>0.46</v>
      </c>
      <c r="J11" s="1240">
        <f t="shared" si="2"/>
        <v>-4.9999999999999989E-2</v>
      </c>
      <c r="K11" s="1241">
        <v>0.41</v>
      </c>
      <c r="L11" s="1242">
        <f t="shared" si="3"/>
        <v>-5.0000000000000044E-2</v>
      </c>
      <c r="M11" s="1242">
        <v>0.38</v>
      </c>
      <c r="N11" s="1242">
        <f t="shared" si="4"/>
        <v>-2.9999999999999971E-2</v>
      </c>
      <c r="O11" s="1242">
        <v>0.3</v>
      </c>
      <c r="P11" s="1242">
        <f t="shared" si="5"/>
        <v>-8.0000000000000016E-2</v>
      </c>
    </row>
    <row r="12" spans="1:16" ht="14.25" customHeight="1">
      <c r="B12" s="1726" t="s">
        <v>404</v>
      </c>
      <c r="C12" s="1239" t="s">
        <v>402</v>
      </c>
      <c r="D12" s="1240">
        <v>0.7</v>
      </c>
      <c r="E12" s="1240">
        <v>0.65</v>
      </c>
      <c r="F12" s="1240">
        <f t="shared" si="0"/>
        <v>-4.9999999999999933E-2</v>
      </c>
      <c r="G12" s="1240">
        <v>0.6</v>
      </c>
      <c r="H12" s="1240">
        <f t="shared" si="1"/>
        <v>-5.0000000000000044E-2</v>
      </c>
      <c r="I12" s="1240">
        <v>0.59962149361841677</v>
      </c>
      <c r="J12" s="1240">
        <f t="shared" si="2"/>
        <v>-3.7850638158321015E-4</v>
      </c>
      <c r="K12" s="1241">
        <v>0.5</v>
      </c>
      <c r="L12" s="1242">
        <f t="shared" si="3"/>
        <v>-9.9621493618416768E-2</v>
      </c>
      <c r="M12" s="1242">
        <v>0.48</v>
      </c>
      <c r="N12" s="1242">
        <f t="shared" si="4"/>
        <v>-2.0000000000000018E-2</v>
      </c>
      <c r="O12" s="1242">
        <v>0.38</v>
      </c>
      <c r="P12" s="1242">
        <f t="shared" si="5"/>
        <v>-9.9999999999999978E-2</v>
      </c>
    </row>
    <row r="13" spans="1:16" ht="14.25" customHeight="1">
      <c r="B13" s="1727"/>
      <c r="C13" s="1239" t="s">
        <v>403</v>
      </c>
      <c r="D13" s="1240">
        <v>0.8</v>
      </c>
      <c r="E13" s="1240">
        <v>0.72148589524728901</v>
      </c>
      <c r="F13" s="1240">
        <f t="shared" si="0"/>
        <v>-7.8514104752711034E-2</v>
      </c>
      <c r="G13" s="1240">
        <v>0.6111343829590975</v>
      </c>
      <c r="H13" s="1240">
        <f t="shared" si="1"/>
        <v>-0.11035151228819151</v>
      </c>
      <c r="I13" s="1240">
        <v>0.6</v>
      </c>
      <c r="J13" s="1240">
        <f t="shared" si="2"/>
        <v>-1.1134382959097522E-2</v>
      </c>
      <c r="K13" s="1241">
        <v>0.5</v>
      </c>
      <c r="L13" s="1242">
        <f t="shared" si="3"/>
        <v>-9.9999999999999978E-2</v>
      </c>
      <c r="M13" s="1242">
        <v>0.48</v>
      </c>
      <c r="N13" s="1242">
        <f t="shared" si="4"/>
        <v>-2.0000000000000018E-2</v>
      </c>
      <c r="O13" s="1242">
        <v>0.46</v>
      </c>
      <c r="P13" s="1242">
        <f t="shared" si="5"/>
        <v>-1.9999999999999962E-2</v>
      </c>
    </row>
    <row r="14" spans="1:16" ht="22.5" customHeight="1">
      <c r="B14" s="1243" t="s">
        <v>405</v>
      </c>
      <c r="C14" s="1239" t="s">
        <v>402</v>
      </c>
      <c r="D14" s="1240">
        <v>0.55000000000000004</v>
      </c>
      <c r="E14" s="1240">
        <v>0.5</v>
      </c>
      <c r="F14" s="1240">
        <f t="shared" si="0"/>
        <v>-5.0000000000000044E-2</v>
      </c>
      <c r="G14" s="1240">
        <v>0.45</v>
      </c>
      <c r="H14" s="1240">
        <f t="shared" si="1"/>
        <v>-4.9999999999999989E-2</v>
      </c>
      <c r="I14" s="1240">
        <v>0.4</v>
      </c>
      <c r="J14" s="1240">
        <f t="shared" si="2"/>
        <v>-4.9999999999999989E-2</v>
      </c>
      <c r="K14" s="1241">
        <v>0.35</v>
      </c>
      <c r="L14" s="1242">
        <f t="shared" si="3"/>
        <v>-5.0000000000000044E-2</v>
      </c>
      <c r="M14" s="1242">
        <v>0.3</v>
      </c>
      <c r="N14" s="1242">
        <f t="shared" si="4"/>
        <v>-4.9999999999999989E-2</v>
      </c>
      <c r="O14" s="1242">
        <v>0.25</v>
      </c>
      <c r="P14" s="1242">
        <f t="shared" si="5"/>
        <v>-4.9999999999999989E-2</v>
      </c>
    </row>
    <row r="15" spans="1:16">
      <c r="B15" s="1244"/>
      <c r="C15" s="1245"/>
      <c r="D15" s="1246"/>
      <c r="E15" s="1246"/>
      <c r="F15" s="1246"/>
      <c r="G15" s="1246"/>
      <c r="H15" s="1246"/>
      <c r="I15" s="1246"/>
      <c r="J15" s="1246"/>
      <c r="K15" s="1247"/>
      <c r="L15" s="1246"/>
      <c r="M15" s="1246"/>
      <c r="N15" s="1246"/>
      <c r="O15" s="1246"/>
      <c r="P15" s="1246"/>
    </row>
    <row r="16" spans="1:16">
      <c r="B16" s="1248" t="s">
        <v>406</v>
      </c>
      <c r="C16" s="1245"/>
      <c r="D16" s="1246"/>
      <c r="E16" s="1246"/>
      <c r="F16" s="1246"/>
      <c r="G16" s="1246"/>
      <c r="H16" s="1246"/>
      <c r="I16" s="1246"/>
      <c r="J16" s="1246"/>
      <c r="K16" s="1247"/>
      <c r="L16" s="1246"/>
      <c r="M16" s="1246"/>
      <c r="N16" s="1246"/>
      <c r="O16" s="1246"/>
      <c r="P16" s="1246"/>
    </row>
    <row r="17" spans="2:16" ht="7.5" customHeight="1"/>
    <row r="18" spans="2:16" ht="15" customHeight="1">
      <c r="B18" s="1236" t="s">
        <v>407</v>
      </c>
      <c r="C18" s="1237" t="s">
        <v>388</v>
      </c>
      <c r="D18" s="1237" t="s">
        <v>408</v>
      </c>
      <c r="E18" s="1237" t="s">
        <v>409</v>
      </c>
      <c r="F18" s="1237" t="s">
        <v>410</v>
      </c>
      <c r="G18" s="1238" t="s">
        <v>411</v>
      </c>
    </row>
    <row r="19" spans="2:16" s="1255" customFormat="1" ht="14.25" customHeight="1">
      <c r="B19" s="1727" t="s">
        <v>412</v>
      </c>
      <c r="C19" s="1239" t="s">
        <v>398</v>
      </c>
      <c r="D19" s="1249">
        <v>227600000</v>
      </c>
      <c r="E19" s="1250">
        <v>10000000</v>
      </c>
      <c r="F19" s="1251">
        <f t="shared" ref="F19:F20" si="6">D19-E19</f>
        <v>217600000</v>
      </c>
      <c r="G19" s="1252">
        <f t="shared" ref="G19:G20" si="7">F19/D19</f>
        <v>0.95606326889279436</v>
      </c>
      <c r="H19" s="1253" t="s">
        <v>413</v>
      </c>
      <c r="I19" s="1254" t="s">
        <v>414</v>
      </c>
      <c r="K19" s="1256"/>
    </row>
    <row r="20" spans="2:16" s="1255" customFormat="1" ht="14.25" customHeight="1">
      <c r="B20" s="1727"/>
      <c r="C20" s="1239" t="s">
        <v>399</v>
      </c>
      <c r="D20" s="1249">
        <v>238000000</v>
      </c>
      <c r="E20" s="1250">
        <v>10000000</v>
      </c>
      <c r="F20" s="1251">
        <f t="shared" si="6"/>
        <v>228000000</v>
      </c>
      <c r="G20" s="1252">
        <f t="shared" si="7"/>
        <v>0.95798319327731096</v>
      </c>
      <c r="H20" s="1253"/>
      <c r="I20" s="1254"/>
      <c r="K20" s="1256"/>
    </row>
    <row r="21" spans="2:16" ht="14.25" customHeight="1">
      <c r="B21" s="1727" t="s">
        <v>400</v>
      </c>
      <c r="C21" s="1239" t="s">
        <v>398</v>
      </c>
      <c r="D21" s="1257">
        <v>208950000</v>
      </c>
      <c r="E21" s="1258">
        <v>20000000</v>
      </c>
      <c r="F21" s="1251">
        <f>D21-E21</f>
        <v>188950000</v>
      </c>
      <c r="G21" s="1259">
        <f>F21/D21</f>
        <v>0.90428332136874845</v>
      </c>
      <c r="H21" s="1260" t="s">
        <v>415</v>
      </c>
      <c r="I21" s="1254" t="s">
        <v>416</v>
      </c>
      <c r="K21" s="1256"/>
    </row>
    <row r="22" spans="2:16" ht="14.25" customHeight="1">
      <c r="B22" s="1727"/>
      <c r="C22" s="1239" t="s">
        <v>417</v>
      </c>
      <c r="D22" s="1257">
        <v>219650000</v>
      </c>
      <c r="E22" s="1258">
        <v>20000000</v>
      </c>
      <c r="F22" s="1251">
        <f>D22-E22</f>
        <v>199650000</v>
      </c>
      <c r="G22" s="1252">
        <f>F22/D22</f>
        <v>0.90894605053494193</v>
      </c>
      <c r="H22" s="1261"/>
      <c r="I22" s="1261"/>
      <c r="K22" s="1256"/>
    </row>
    <row r="23" spans="2:16" ht="14.25" customHeight="1">
      <c r="B23" s="1726" t="s">
        <v>401</v>
      </c>
      <c r="C23" s="1239" t="s">
        <v>402</v>
      </c>
      <c r="D23" s="1257">
        <v>198600000</v>
      </c>
      <c r="E23" s="1258">
        <v>20000000</v>
      </c>
      <c r="F23" s="1251">
        <f t="shared" ref="F23:F27" si="8">D23-E23</f>
        <v>178600000</v>
      </c>
      <c r="G23" s="1252">
        <f t="shared" ref="G23:G27" si="9">F23/D23</f>
        <v>0.89929506545820748</v>
      </c>
      <c r="H23" s="1260" t="s">
        <v>413</v>
      </c>
      <c r="I23" s="1254" t="s">
        <v>416</v>
      </c>
      <c r="K23" s="1256"/>
    </row>
    <row r="24" spans="2:16" ht="14.25" customHeight="1">
      <c r="B24" s="1726"/>
      <c r="C24" s="1239" t="s">
        <v>403</v>
      </c>
      <c r="D24" s="1257">
        <v>210450000</v>
      </c>
      <c r="E24" s="1258">
        <v>20000000</v>
      </c>
      <c r="F24" s="1251">
        <f t="shared" si="8"/>
        <v>190450000</v>
      </c>
      <c r="G24" s="1252">
        <f t="shared" si="9"/>
        <v>0.90496555001187928</v>
      </c>
      <c r="H24" s="1261"/>
      <c r="I24" s="1261"/>
      <c r="K24" s="1256"/>
    </row>
    <row r="25" spans="2:16" ht="14.25" customHeight="1">
      <c r="B25" s="1726" t="s">
        <v>418</v>
      </c>
      <c r="C25" s="1239" t="s">
        <v>402</v>
      </c>
      <c r="D25" s="1257">
        <v>305150000</v>
      </c>
      <c r="E25" s="1258">
        <v>35000000</v>
      </c>
      <c r="F25" s="1251">
        <f t="shared" si="8"/>
        <v>270150000</v>
      </c>
      <c r="G25" s="1252">
        <f t="shared" si="9"/>
        <v>0.8853023103391775</v>
      </c>
      <c r="H25" s="1260" t="s">
        <v>413</v>
      </c>
      <c r="I25" s="1254" t="s">
        <v>419</v>
      </c>
      <c r="K25" s="1256"/>
    </row>
    <row r="26" spans="2:16" ht="14.25" customHeight="1">
      <c r="B26" s="1727"/>
      <c r="C26" s="1239" t="s">
        <v>403</v>
      </c>
      <c r="D26" s="1257">
        <v>325350000</v>
      </c>
      <c r="E26" s="1258">
        <v>35000000</v>
      </c>
      <c r="F26" s="1251">
        <f t="shared" si="8"/>
        <v>290350000</v>
      </c>
      <c r="G26" s="1252">
        <f t="shared" si="9"/>
        <v>0.89242354387582601</v>
      </c>
      <c r="H26" s="1261"/>
      <c r="I26" s="1261"/>
      <c r="K26" s="1256"/>
    </row>
    <row r="27" spans="2:16" ht="22.5" customHeight="1">
      <c r="B27" s="1243" t="s">
        <v>405</v>
      </c>
      <c r="C27" s="1239" t="s">
        <v>402</v>
      </c>
      <c r="D27" s="1257">
        <v>155375000</v>
      </c>
      <c r="E27" s="1258">
        <v>20000000</v>
      </c>
      <c r="F27" s="1251">
        <f t="shared" si="8"/>
        <v>135375000</v>
      </c>
      <c r="G27" s="1252">
        <f t="shared" si="9"/>
        <v>0.87127916331456157</v>
      </c>
      <c r="H27" s="1260" t="s">
        <v>415</v>
      </c>
      <c r="I27" s="1254" t="s">
        <v>420</v>
      </c>
      <c r="K27" s="1256"/>
    </row>
    <row r="29" spans="2:16">
      <c r="B29" s="1234" t="s">
        <v>421</v>
      </c>
    </row>
    <row r="30" spans="2:16" ht="7.5" customHeight="1"/>
    <row r="31" spans="2:16" ht="15" customHeight="1">
      <c r="B31" s="1236" t="s">
        <v>387</v>
      </c>
      <c r="C31" s="1237" t="s">
        <v>388</v>
      </c>
      <c r="D31" s="1237" t="s">
        <v>389</v>
      </c>
      <c r="E31" s="1237" t="s">
        <v>390</v>
      </c>
      <c r="F31" s="1237" t="s">
        <v>422</v>
      </c>
      <c r="G31" s="1237" t="s">
        <v>392</v>
      </c>
      <c r="H31" s="1237" t="s">
        <v>391</v>
      </c>
      <c r="I31" s="1237" t="s">
        <v>393</v>
      </c>
      <c r="J31" s="1237" t="s">
        <v>391</v>
      </c>
      <c r="K31" s="1237" t="s">
        <v>423</v>
      </c>
      <c r="L31" s="1237" t="s">
        <v>391</v>
      </c>
      <c r="M31" s="1237" t="s">
        <v>395</v>
      </c>
      <c r="N31" s="1237" t="s">
        <v>391</v>
      </c>
      <c r="O31" s="1237" t="s">
        <v>396</v>
      </c>
      <c r="P31" s="1238" t="s">
        <v>391</v>
      </c>
    </row>
    <row r="32" spans="2:16" ht="14.25" customHeight="1">
      <c r="B32" s="1727" t="s">
        <v>412</v>
      </c>
      <c r="C32" s="1239" t="s">
        <v>398</v>
      </c>
      <c r="D32" s="1240">
        <f>ROUNDDOWN(G19-(($G19-K32)/5),10)</f>
        <v>0.86485061510000005</v>
      </c>
      <c r="E32" s="1240">
        <f>ROUNDDOWN(D32-(($D32-$K32)/4),10)</f>
        <v>0.77363796129999995</v>
      </c>
      <c r="F32" s="1240">
        <f t="shared" ref="F32:F39" si="10">E32-D32</f>
        <v>-9.1212653800000099E-2</v>
      </c>
      <c r="G32" s="1240">
        <f>ROUNDDOWN($E32-(($D32-$K32)/4),10)</f>
        <v>0.68242530749999997</v>
      </c>
      <c r="H32" s="1240">
        <f t="shared" ref="H32:H40" si="11">G32-E32</f>
        <v>-9.1212653799999988E-2</v>
      </c>
      <c r="I32" s="1240">
        <f>ROUNDDOWN($G32-(($D32-$K32)/4),10)</f>
        <v>0.59121265369999998</v>
      </c>
      <c r="J32" s="1240">
        <f t="shared" ref="J32:J40" si="12">I32-G32</f>
        <v>-9.1212653799999988E-2</v>
      </c>
      <c r="K32" s="1241">
        <v>0.5</v>
      </c>
      <c r="L32" s="1241">
        <v>-3.0000000000000027E-2</v>
      </c>
      <c r="M32" s="1241">
        <v>0.44</v>
      </c>
      <c r="N32" s="1241">
        <v>-0.06</v>
      </c>
      <c r="O32" s="1241">
        <v>0.41</v>
      </c>
      <c r="P32" s="1241">
        <v>-3.0000000000000027E-2</v>
      </c>
    </row>
    <row r="33" spans="2:16" ht="14.25" customHeight="1">
      <c r="B33" s="1727"/>
      <c r="C33" s="1239" t="s">
        <v>399</v>
      </c>
      <c r="D33" s="1240">
        <f>ROUNDDOWN(G20-(($G20-K33)/5),10)</f>
        <v>0.85838655460000002</v>
      </c>
      <c r="E33" s="1240">
        <f t="shared" ref="E33:E40" si="13">ROUNDDOWN(D33-(($D33-$K33)/4),10)</f>
        <v>0.7587899159</v>
      </c>
      <c r="F33" s="1240">
        <f t="shared" si="10"/>
        <v>-9.9596638700000018E-2</v>
      </c>
      <c r="G33" s="1240">
        <f t="shared" ref="G33:G40" si="14">ROUNDDOWN($E33-(($D33-$K33)/4),10)</f>
        <v>0.65919327719999998</v>
      </c>
      <c r="H33" s="1240">
        <f t="shared" si="11"/>
        <v>-9.9596638700000018E-2</v>
      </c>
      <c r="I33" s="1240">
        <f t="shared" ref="I33:I40" si="15">ROUNDDOWN($G33-(($D33-$K33)/4),10)</f>
        <v>0.55959663849999997</v>
      </c>
      <c r="J33" s="1240">
        <f t="shared" si="12"/>
        <v>-9.9596638700000018E-2</v>
      </c>
      <c r="K33" s="1241">
        <v>0.46</v>
      </c>
      <c r="L33" s="1241">
        <v>-4.9999999999999989E-2</v>
      </c>
      <c r="M33" s="1241">
        <v>0.42</v>
      </c>
      <c r="N33" s="1241">
        <v>-4.0000000000000036E-2</v>
      </c>
      <c r="O33" s="1241">
        <v>0.36</v>
      </c>
      <c r="P33" s="1241">
        <v>-0.06</v>
      </c>
    </row>
    <row r="34" spans="2:16" ht="14.25" customHeight="1">
      <c r="B34" s="1727" t="s">
        <v>400</v>
      </c>
      <c r="C34" s="1239" t="s">
        <v>424</v>
      </c>
      <c r="D34" s="1240">
        <f>ROUNDDOWN(G21-(($G21-K34)/5),10)</f>
        <v>0.81856644759999997</v>
      </c>
      <c r="E34" s="1240">
        <f t="shared" si="13"/>
        <v>0.73284957390000005</v>
      </c>
      <c r="F34" s="1262">
        <f t="shared" si="10"/>
        <v>-8.5716873699999918E-2</v>
      </c>
      <c r="G34" s="1240">
        <f t="shared" si="14"/>
        <v>0.64713270020000002</v>
      </c>
      <c r="H34" s="1240">
        <f t="shared" si="11"/>
        <v>-8.5716873700000029E-2</v>
      </c>
      <c r="I34" s="1240">
        <f t="shared" si="15"/>
        <v>0.56141582649999999</v>
      </c>
      <c r="J34" s="1240">
        <f t="shared" si="12"/>
        <v>-8.5716873700000029E-2</v>
      </c>
      <c r="K34" s="1241">
        <v>0.4756989528115943</v>
      </c>
      <c r="L34" s="1241">
        <v>-3.7536248438990116E-2</v>
      </c>
      <c r="M34" s="1241">
        <v>0.4271951864281216</v>
      </c>
      <c r="N34" s="1241">
        <v>-4.8503766383472702E-2</v>
      </c>
      <c r="O34" s="1241">
        <v>0.37083639047115696</v>
      </c>
      <c r="P34" s="1241">
        <v>-5.6358795956964636E-2</v>
      </c>
    </row>
    <row r="35" spans="2:16" ht="14.25" customHeight="1">
      <c r="B35" s="1727"/>
      <c r="C35" s="1239" t="s">
        <v>399</v>
      </c>
      <c r="D35" s="1240">
        <f>ROUNDDOWN(G22-(($G22-K35)/5),10)</f>
        <v>0.81043325160000002</v>
      </c>
      <c r="E35" s="1240">
        <f t="shared" si="13"/>
        <v>0.71192045270000004</v>
      </c>
      <c r="F35" s="1240">
        <f t="shared" si="10"/>
        <v>-9.8512798899999976E-2</v>
      </c>
      <c r="G35" s="1240">
        <f t="shared" si="14"/>
        <v>0.61340765379999995</v>
      </c>
      <c r="H35" s="1240">
        <f t="shared" si="11"/>
        <v>-9.8512798900000087E-2</v>
      </c>
      <c r="I35" s="1240">
        <f t="shared" si="15"/>
        <v>0.51489485489999998</v>
      </c>
      <c r="J35" s="1240">
        <f t="shared" si="12"/>
        <v>-9.8512798899999976E-2</v>
      </c>
      <c r="K35" s="1241">
        <v>0.41638205607799167</v>
      </c>
      <c r="L35" s="1241">
        <v>-5.3146019281810952E-2</v>
      </c>
      <c r="M35" s="1241">
        <v>0.38066154682671915</v>
      </c>
      <c r="N35" s="1241">
        <v>-3.5720509251272514E-2</v>
      </c>
      <c r="O35" s="1241">
        <v>0.32256155582458629</v>
      </c>
      <c r="P35" s="1241">
        <v>-5.8099991002132867E-2</v>
      </c>
    </row>
    <row r="36" spans="2:16" ht="14.25" customHeight="1">
      <c r="B36" s="1726" t="s">
        <v>401</v>
      </c>
      <c r="C36" s="1239" t="s">
        <v>402</v>
      </c>
      <c r="D36" s="1240">
        <f t="shared" ref="D36:D39" si="16">ROUNDDOWN(G23-(($G23-K36)/5),10)</f>
        <v>0.80733046639999995</v>
      </c>
      <c r="E36" s="1240">
        <f t="shared" si="13"/>
        <v>0.71536586739999997</v>
      </c>
      <c r="F36" s="1240">
        <f t="shared" si="10"/>
        <v>-9.196459899999998E-2</v>
      </c>
      <c r="G36" s="1240">
        <f t="shared" si="14"/>
        <v>0.62340126839999999</v>
      </c>
      <c r="H36" s="1240">
        <f t="shared" si="11"/>
        <v>-9.196459899999998E-2</v>
      </c>
      <c r="I36" s="1240">
        <f t="shared" si="15"/>
        <v>0.53143666940000001</v>
      </c>
      <c r="J36" s="1240">
        <f t="shared" si="12"/>
        <v>-9.196459899999998E-2</v>
      </c>
      <c r="K36" s="1241">
        <v>0.43947207064755306</v>
      </c>
      <c r="L36" s="1241">
        <v>-5.2721328512380539E-2</v>
      </c>
      <c r="M36" s="1241">
        <v>0.39096362891522385</v>
      </c>
      <c r="N36" s="1241">
        <v>-4.8508441732329211E-2</v>
      </c>
      <c r="O36" s="1241">
        <v>0.34723891655618083</v>
      </c>
      <c r="P36" s="1241">
        <v>-4.3724712359043016E-2</v>
      </c>
    </row>
    <row r="37" spans="2:16" ht="14.25" customHeight="1">
      <c r="B37" s="1726"/>
      <c r="C37" s="1239" t="s">
        <v>403</v>
      </c>
      <c r="D37" s="1240">
        <f t="shared" si="16"/>
        <v>0.80640397730000002</v>
      </c>
      <c r="E37" s="1240">
        <f t="shared" si="13"/>
        <v>0.70784240470000004</v>
      </c>
      <c r="F37" s="1240">
        <f t="shared" si="10"/>
        <v>-9.856157259999998E-2</v>
      </c>
      <c r="G37" s="1240">
        <f t="shared" si="14"/>
        <v>0.60928083209999995</v>
      </c>
      <c r="H37" s="1240">
        <f t="shared" si="11"/>
        <v>-9.8561572600000091E-2</v>
      </c>
      <c r="I37" s="1240">
        <f t="shared" si="15"/>
        <v>0.51071925949999997</v>
      </c>
      <c r="J37" s="1240">
        <f t="shared" si="12"/>
        <v>-9.856157259999998E-2</v>
      </c>
      <c r="K37" s="1241">
        <v>0.4121576869216495</v>
      </c>
      <c r="L37" s="1241">
        <v>-4.7842313078350518E-2</v>
      </c>
      <c r="M37" s="1241">
        <v>0.38280488404837432</v>
      </c>
      <c r="N37" s="1241">
        <v>-2.9352802873275186E-2</v>
      </c>
      <c r="O37" s="1241">
        <v>0.30073106980323477</v>
      </c>
      <c r="P37" s="1241">
        <v>-8.2073814245139542E-2</v>
      </c>
    </row>
    <row r="38" spans="2:16" ht="14.25" customHeight="1">
      <c r="B38" s="1726" t="s">
        <v>425</v>
      </c>
      <c r="C38" s="1239" t="s">
        <v>402</v>
      </c>
      <c r="D38" s="1240">
        <f t="shared" si="16"/>
        <v>0.8082418482</v>
      </c>
      <c r="E38" s="1240">
        <f t="shared" si="13"/>
        <v>0.73118138610000005</v>
      </c>
      <c r="F38" s="1240">
        <f t="shared" si="10"/>
        <v>-7.7060462099999949E-2</v>
      </c>
      <c r="G38" s="1240">
        <f t="shared" si="14"/>
        <v>0.65412092399999999</v>
      </c>
      <c r="H38" s="1240">
        <f t="shared" si="11"/>
        <v>-7.706046210000006E-2</v>
      </c>
      <c r="I38" s="1240">
        <f t="shared" si="15"/>
        <v>0.57706046190000004</v>
      </c>
      <c r="J38" s="1240">
        <f t="shared" si="12"/>
        <v>-7.7060462099999949E-2</v>
      </c>
      <c r="K38" s="1241">
        <v>0.5</v>
      </c>
      <c r="L38" s="1241">
        <v>-9.9621493618416768E-2</v>
      </c>
      <c r="M38" s="1241">
        <v>0.48</v>
      </c>
      <c r="N38" s="1241">
        <v>-2.0000000000000018E-2</v>
      </c>
      <c r="O38" s="1241">
        <v>0.37659150786639212</v>
      </c>
      <c r="P38" s="1241">
        <v>-0.10340849213360787</v>
      </c>
    </row>
    <row r="39" spans="2:16" ht="14.25" customHeight="1">
      <c r="B39" s="1727"/>
      <c r="C39" s="1239" t="s">
        <v>403</v>
      </c>
      <c r="D39" s="1240">
        <f t="shared" si="16"/>
        <v>0.81393883509999998</v>
      </c>
      <c r="E39" s="1240">
        <f t="shared" si="13"/>
        <v>0.73545412629999996</v>
      </c>
      <c r="F39" s="1240">
        <f t="shared" si="10"/>
        <v>-7.8484708800000025E-2</v>
      </c>
      <c r="G39" s="1240">
        <f t="shared" si="14"/>
        <v>0.65696941750000004</v>
      </c>
      <c r="H39" s="1240">
        <f t="shared" si="11"/>
        <v>-7.8484708799999914E-2</v>
      </c>
      <c r="I39" s="1240">
        <f t="shared" si="15"/>
        <v>0.57848470870000002</v>
      </c>
      <c r="J39" s="1240">
        <f t="shared" si="12"/>
        <v>-7.8484708800000025E-2</v>
      </c>
      <c r="K39" s="1241">
        <v>0.5</v>
      </c>
      <c r="L39" s="1241">
        <v>-9.9999999999999978E-2</v>
      </c>
      <c r="M39" s="1241">
        <v>0.48</v>
      </c>
      <c r="N39" s="1241">
        <v>-2.0000000000000018E-2</v>
      </c>
      <c r="O39" s="1241">
        <v>0.45924539631388245</v>
      </c>
      <c r="P39" s="1241">
        <v>-2.0754603686117534E-2</v>
      </c>
    </row>
    <row r="40" spans="2:16" ht="22.5" customHeight="1">
      <c r="B40" s="1243" t="s">
        <v>405</v>
      </c>
      <c r="C40" s="1239" t="s">
        <v>402</v>
      </c>
      <c r="D40" s="1240">
        <f>ROUNDDOWN(G27-(($G27-K40)/5),10)</f>
        <v>0.76702333060000005</v>
      </c>
      <c r="E40" s="1240">
        <f t="shared" si="13"/>
        <v>0.6627674979</v>
      </c>
      <c r="F40" s="1240">
        <f>E40-D40</f>
        <v>-0.10425583270000005</v>
      </c>
      <c r="G40" s="1240">
        <f t="shared" si="14"/>
        <v>0.55851166519999995</v>
      </c>
      <c r="H40" s="1240">
        <f t="shared" si="11"/>
        <v>-0.10425583270000005</v>
      </c>
      <c r="I40" s="1240">
        <f t="shared" si="15"/>
        <v>0.45425583250000001</v>
      </c>
      <c r="J40" s="1240">
        <f t="shared" si="12"/>
        <v>-0.10425583269999994</v>
      </c>
      <c r="K40" s="1241">
        <v>0.35</v>
      </c>
      <c r="L40" s="1241">
        <v>-5.0000000000000044E-2</v>
      </c>
      <c r="M40" s="1241">
        <v>0.3</v>
      </c>
      <c r="N40" s="1241">
        <v>-4.9999999999999989E-2</v>
      </c>
      <c r="O40" s="1241">
        <v>0.25</v>
      </c>
      <c r="P40" s="1241">
        <v>-4.9999999999999989E-2</v>
      </c>
    </row>
    <row r="42" spans="2:16">
      <c r="B42" s="1234" t="s">
        <v>426</v>
      </c>
    </row>
    <row r="43" spans="2:16">
      <c r="B43" s="1234" t="s">
        <v>427</v>
      </c>
    </row>
    <row r="44" spans="2:16">
      <c r="B44" s="1234" t="s">
        <v>428</v>
      </c>
    </row>
    <row r="46" spans="2:16">
      <c r="B46" s="1234" t="s">
        <v>429</v>
      </c>
    </row>
    <row r="47" spans="2:16" ht="7.5" customHeight="1" thickBot="1"/>
    <row r="48" spans="2:16" ht="15" customHeight="1" thickTop="1">
      <c r="B48" s="1263" t="s">
        <v>430</v>
      </c>
      <c r="C48" s="1264" t="s">
        <v>431</v>
      </c>
      <c r="D48" s="1264" t="s">
        <v>432</v>
      </c>
      <c r="E48" s="1264" t="s">
        <v>390</v>
      </c>
      <c r="F48" s="1264" t="s">
        <v>391</v>
      </c>
      <c r="G48" s="1264" t="s">
        <v>392</v>
      </c>
      <c r="H48" s="1264" t="s">
        <v>391</v>
      </c>
      <c r="I48" s="1264" t="s">
        <v>393</v>
      </c>
      <c r="J48" s="1264" t="s">
        <v>433</v>
      </c>
      <c r="K48" s="1264" t="s">
        <v>434</v>
      </c>
      <c r="L48" s="1264" t="s">
        <v>433</v>
      </c>
      <c r="M48" s="1264" t="s">
        <v>395</v>
      </c>
      <c r="N48" s="1264" t="s">
        <v>433</v>
      </c>
      <c r="O48" s="1264" t="s">
        <v>396</v>
      </c>
      <c r="P48" s="1265" t="s">
        <v>391</v>
      </c>
    </row>
    <row r="49" spans="2:16" ht="14.25" customHeight="1">
      <c r="B49" s="1724" t="s">
        <v>412</v>
      </c>
      <c r="C49" s="1239" t="s">
        <v>398</v>
      </c>
      <c r="D49" s="1240">
        <f>(D32+D6)/2</f>
        <v>0.78242530755000006</v>
      </c>
      <c r="E49" s="1240">
        <f>(E32+E6)/2</f>
        <v>0.71181898064999993</v>
      </c>
      <c r="F49" s="1240">
        <f>E49-D49</f>
        <v>-7.0606326900000127E-2</v>
      </c>
      <c r="G49" s="1240">
        <f>(G32+G6)/2</f>
        <v>0.63621265374999991</v>
      </c>
      <c r="H49" s="1240">
        <f>G49-E49</f>
        <v>-7.560632690000002E-2</v>
      </c>
      <c r="I49" s="1240">
        <f>(I32+I6)/2</f>
        <v>0.56060632685</v>
      </c>
      <c r="J49" s="1240">
        <f>I49-G49</f>
        <v>-7.5606326899999909E-2</v>
      </c>
      <c r="K49" s="1241">
        <v>0.5</v>
      </c>
      <c r="L49" s="1242">
        <f>K49-I49</f>
        <v>-6.0606326850000003E-2</v>
      </c>
      <c r="M49" s="1242">
        <v>0.44</v>
      </c>
      <c r="N49" s="1242">
        <f>M49-K49</f>
        <v>-0.06</v>
      </c>
      <c r="O49" s="1242">
        <v>0.41</v>
      </c>
      <c r="P49" s="1266">
        <f t="shared" ref="P49:P52" si="17">O49-M49</f>
        <v>-3.0000000000000027E-2</v>
      </c>
    </row>
    <row r="50" spans="2:16" ht="14.25" customHeight="1">
      <c r="B50" s="1724"/>
      <c r="C50" s="1239" t="s">
        <v>399</v>
      </c>
      <c r="D50" s="1240">
        <f t="shared" ref="D50:E57" si="18">(D33+D7)/2</f>
        <v>0.76419327729999997</v>
      </c>
      <c r="E50" s="1240">
        <f t="shared" si="18"/>
        <v>0.68939495795000005</v>
      </c>
      <c r="F50" s="1240">
        <f t="shared" ref="F50:F57" si="19">E50-D50</f>
        <v>-7.479831934999992E-2</v>
      </c>
      <c r="G50" s="1240">
        <f t="shared" ref="G50:G57" si="20">(G33+G7)/2</f>
        <v>0.61959663860000003</v>
      </c>
      <c r="H50" s="1240">
        <f t="shared" ref="H50:H57" si="21">G50-E50</f>
        <v>-6.9798319350000027E-2</v>
      </c>
      <c r="I50" s="1240">
        <f t="shared" ref="I50:I57" si="22">(I33+I7)/2</f>
        <v>0.53479831924999999</v>
      </c>
      <c r="J50" s="1240">
        <f t="shared" ref="J50:J57" si="23">I50-G50</f>
        <v>-8.479831935000004E-2</v>
      </c>
      <c r="K50" s="1241">
        <v>0.46</v>
      </c>
      <c r="L50" s="1242">
        <f>K50-I50</f>
        <v>-7.4798319249999967E-2</v>
      </c>
      <c r="M50" s="1242">
        <v>0.42</v>
      </c>
      <c r="N50" s="1242">
        <f t="shared" ref="N50:N52" si="24">M50-K50</f>
        <v>-4.0000000000000036E-2</v>
      </c>
      <c r="O50" s="1242">
        <v>0.36</v>
      </c>
      <c r="P50" s="1266">
        <f t="shared" si="17"/>
        <v>-0.06</v>
      </c>
    </row>
    <row r="51" spans="2:16" ht="14.25" customHeight="1">
      <c r="B51" s="1724" t="s">
        <v>400</v>
      </c>
      <c r="C51" s="1239" t="s">
        <v>398</v>
      </c>
      <c r="D51" s="1240">
        <f t="shared" si="18"/>
        <v>0.74928322380000001</v>
      </c>
      <c r="E51" s="1240">
        <f t="shared" si="18"/>
        <v>0.68142478695000008</v>
      </c>
      <c r="F51" s="1240">
        <f t="shared" si="19"/>
        <v>-6.7858436849999926E-2</v>
      </c>
      <c r="G51" s="1240">
        <f t="shared" si="20"/>
        <v>0.60356635010000004</v>
      </c>
      <c r="H51" s="1240">
        <f t="shared" si="21"/>
        <v>-7.7858436850000046E-2</v>
      </c>
      <c r="I51" s="1240">
        <f t="shared" si="22"/>
        <v>0.53570791325</v>
      </c>
      <c r="J51" s="1240">
        <f t="shared" si="23"/>
        <v>-6.7858436850000037E-2</v>
      </c>
      <c r="K51" s="1241">
        <v>0.48</v>
      </c>
      <c r="L51" s="1242">
        <f t="shared" ref="L51:L52" si="25">K51-I51</f>
        <v>-5.5707913250000018E-2</v>
      </c>
      <c r="M51" s="1242">
        <v>0.4271951864281216</v>
      </c>
      <c r="N51" s="1242">
        <f t="shared" si="24"/>
        <v>-5.2804813571878384E-2</v>
      </c>
      <c r="O51" s="1242">
        <v>0.37083639047115696</v>
      </c>
      <c r="P51" s="1266">
        <f t="shared" si="17"/>
        <v>-5.6358795956964636E-2</v>
      </c>
    </row>
    <row r="52" spans="2:16" ht="14.25" customHeight="1">
      <c r="B52" s="1724"/>
      <c r="C52" s="1239" t="s">
        <v>399</v>
      </c>
      <c r="D52" s="1240">
        <f t="shared" si="18"/>
        <v>0.73521662580000002</v>
      </c>
      <c r="E52" s="1240">
        <f t="shared" si="18"/>
        <v>0.64596022634999994</v>
      </c>
      <c r="F52" s="1240">
        <f t="shared" si="19"/>
        <v>-8.9256399450000079E-2</v>
      </c>
      <c r="G52" s="1240">
        <f>(G35+G9)/2</f>
        <v>0.56670382689999999</v>
      </c>
      <c r="H52" s="1240">
        <f t="shared" si="21"/>
        <v>-7.9256399449999959E-2</v>
      </c>
      <c r="I52" s="1240">
        <f>(I35+I9)/2</f>
        <v>0.49244742744999997</v>
      </c>
      <c r="J52" s="1240">
        <f t="shared" si="23"/>
        <v>-7.425639945000001E-2</v>
      </c>
      <c r="K52" s="1241">
        <v>0.42</v>
      </c>
      <c r="L52" s="1242">
        <f t="shared" si="25"/>
        <v>-7.244742744999999E-2</v>
      </c>
      <c r="M52" s="1242">
        <v>0.38066154682671915</v>
      </c>
      <c r="N52" s="1242">
        <f t="shared" si="24"/>
        <v>-3.933845317328083E-2</v>
      </c>
      <c r="O52" s="1242">
        <v>0.32256155582458629</v>
      </c>
      <c r="P52" s="1266">
        <f t="shared" si="17"/>
        <v>-5.8099991002132867E-2</v>
      </c>
    </row>
    <row r="53" spans="2:16" ht="14.25" customHeight="1">
      <c r="B53" s="1725" t="s">
        <v>401</v>
      </c>
      <c r="C53" s="1239" t="s">
        <v>402</v>
      </c>
      <c r="D53" s="1240">
        <f t="shared" si="18"/>
        <v>0.73866523319999999</v>
      </c>
      <c r="E53" s="1240">
        <f>(E36+E10)/2</f>
        <v>0.66268293369999998</v>
      </c>
      <c r="F53" s="1240">
        <f t="shared" si="19"/>
        <v>-7.5982299500000017E-2</v>
      </c>
      <c r="G53" s="1240">
        <f t="shared" si="20"/>
        <v>0.57670063420000006</v>
      </c>
      <c r="H53" s="1240">
        <f t="shared" si="21"/>
        <v>-8.5982299499999915E-2</v>
      </c>
      <c r="I53" s="1240">
        <f t="shared" si="22"/>
        <v>0.51071833469999994</v>
      </c>
      <c r="J53" s="1240">
        <f t="shared" si="23"/>
        <v>-6.5982299500000119E-2</v>
      </c>
      <c r="K53" s="1241">
        <v>0.43947207064755306</v>
      </c>
      <c r="L53" s="1241">
        <v>-5.2721328512380539E-2</v>
      </c>
      <c r="M53" s="1241">
        <v>0.39096362891522385</v>
      </c>
      <c r="N53" s="1241">
        <v>-4.8508441732329211E-2</v>
      </c>
      <c r="O53" s="1241">
        <v>0.34723891655618083</v>
      </c>
      <c r="P53" s="1267">
        <v>-4.3724712359043016E-2</v>
      </c>
    </row>
    <row r="54" spans="2:16" ht="14.25" customHeight="1">
      <c r="B54" s="1725"/>
      <c r="C54" s="1239" t="s">
        <v>403</v>
      </c>
      <c r="D54" s="1240">
        <f t="shared" si="18"/>
        <v>0.73320198865000008</v>
      </c>
      <c r="E54" s="1240">
        <f t="shared" si="18"/>
        <v>0.63892120234999994</v>
      </c>
      <c r="F54" s="1240">
        <f t="shared" si="19"/>
        <v>-9.4280786300000141E-2</v>
      </c>
      <c r="G54" s="1240">
        <f t="shared" si="20"/>
        <v>0.55964041604999992</v>
      </c>
      <c r="H54" s="1240">
        <f t="shared" si="21"/>
        <v>-7.9280786300000017E-2</v>
      </c>
      <c r="I54" s="1240">
        <f t="shared" si="22"/>
        <v>0.48535962975000002</v>
      </c>
      <c r="J54" s="1240">
        <f t="shared" si="23"/>
        <v>-7.4280786299999901E-2</v>
      </c>
      <c r="K54" s="1241">
        <v>0.4121576869216495</v>
      </c>
      <c r="L54" s="1241">
        <v>-4.7842313078350518E-2</v>
      </c>
      <c r="M54" s="1241">
        <v>0.38280488404837432</v>
      </c>
      <c r="N54" s="1241">
        <v>-2.9352802873275186E-2</v>
      </c>
      <c r="O54" s="1241">
        <v>0.30073106980323477</v>
      </c>
      <c r="P54" s="1267">
        <v>-8.2073814245139542E-2</v>
      </c>
    </row>
    <row r="55" spans="2:16" ht="14.25" customHeight="1">
      <c r="B55" s="1725" t="s">
        <v>404</v>
      </c>
      <c r="C55" s="1239" t="s">
        <v>402</v>
      </c>
      <c r="D55" s="1240">
        <f t="shared" si="18"/>
        <v>0.75412092409999998</v>
      </c>
      <c r="E55" s="1240">
        <f t="shared" si="18"/>
        <v>0.69059069305000009</v>
      </c>
      <c r="F55" s="1240">
        <f t="shared" si="19"/>
        <v>-6.3530231049999886E-2</v>
      </c>
      <c r="G55" s="1240">
        <f t="shared" si="20"/>
        <v>0.62706046199999999</v>
      </c>
      <c r="H55" s="1240">
        <f t="shared" si="21"/>
        <v>-6.3530231050000108E-2</v>
      </c>
      <c r="I55" s="1240">
        <f t="shared" si="22"/>
        <v>0.58834097775920835</v>
      </c>
      <c r="J55" s="1240">
        <f t="shared" si="23"/>
        <v>-3.8719484240791635E-2</v>
      </c>
      <c r="K55" s="1241">
        <v>0.5</v>
      </c>
      <c r="L55" s="1241">
        <v>-9.9621493618416768E-2</v>
      </c>
      <c r="M55" s="1241">
        <v>0.48</v>
      </c>
      <c r="N55" s="1241">
        <v>-2.0000000000000018E-2</v>
      </c>
      <c r="O55" s="1241">
        <v>0.37659150786639212</v>
      </c>
      <c r="P55" s="1267">
        <v>-0.10340849213360787</v>
      </c>
    </row>
    <row r="56" spans="2:16" ht="14.25" customHeight="1">
      <c r="B56" s="1724"/>
      <c r="C56" s="1239" t="s">
        <v>403</v>
      </c>
      <c r="D56" s="1240">
        <f t="shared" si="18"/>
        <v>0.80696941754999996</v>
      </c>
      <c r="E56" s="1240">
        <f t="shared" si="18"/>
        <v>0.72847001077364448</v>
      </c>
      <c r="F56" s="1240">
        <f t="shared" si="19"/>
        <v>-7.8499406776355474E-2</v>
      </c>
      <c r="G56" s="1240">
        <f t="shared" si="20"/>
        <v>0.63405190022954883</v>
      </c>
      <c r="H56" s="1240">
        <f t="shared" si="21"/>
        <v>-9.4418110544095657E-2</v>
      </c>
      <c r="I56" s="1240">
        <f t="shared" si="22"/>
        <v>0.58924235435000005</v>
      </c>
      <c r="J56" s="1240">
        <f t="shared" si="23"/>
        <v>-4.4809545879548773E-2</v>
      </c>
      <c r="K56" s="1241">
        <v>0.5</v>
      </c>
      <c r="L56" s="1241">
        <v>-9.9999999999999978E-2</v>
      </c>
      <c r="M56" s="1241">
        <v>0.48</v>
      </c>
      <c r="N56" s="1241">
        <v>-2.0000000000000018E-2</v>
      </c>
      <c r="O56" s="1241">
        <v>0.45924539631388245</v>
      </c>
      <c r="P56" s="1267">
        <v>-2.0754603686117534E-2</v>
      </c>
    </row>
    <row r="57" spans="2:16" ht="22.5" customHeight="1" thickBot="1">
      <c r="B57" s="1268" t="s">
        <v>405</v>
      </c>
      <c r="C57" s="1269" t="s">
        <v>402</v>
      </c>
      <c r="D57" s="1270">
        <f t="shared" si="18"/>
        <v>0.65851166530000005</v>
      </c>
      <c r="E57" s="1270">
        <f t="shared" si="18"/>
        <v>0.58138374895</v>
      </c>
      <c r="F57" s="1270">
        <f t="shared" si="19"/>
        <v>-7.7127916350000048E-2</v>
      </c>
      <c r="G57" s="1270">
        <f t="shared" si="20"/>
        <v>0.50425583259999995</v>
      </c>
      <c r="H57" s="1270">
        <f t="shared" si="21"/>
        <v>-7.7127916350000048E-2</v>
      </c>
      <c r="I57" s="1270">
        <f t="shared" si="22"/>
        <v>0.42712791625000002</v>
      </c>
      <c r="J57" s="1270">
        <f t="shared" si="23"/>
        <v>-7.7127916349999937E-2</v>
      </c>
      <c r="K57" s="1271">
        <v>0.35</v>
      </c>
      <c r="L57" s="1271">
        <v>-5.0000000000000044E-2</v>
      </c>
      <c r="M57" s="1271">
        <v>0.3</v>
      </c>
      <c r="N57" s="1271">
        <v>-4.9999999999999989E-2</v>
      </c>
      <c r="O57" s="1271">
        <v>0.25</v>
      </c>
      <c r="P57" s="1272">
        <v>-4.9999999999999989E-2</v>
      </c>
    </row>
    <row r="58" spans="2:16" ht="12" thickTop="1"/>
  </sheetData>
  <mergeCells count="16">
    <mergeCell ref="B21:B22"/>
    <mergeCell ref="B6:B7"/>
    <mergeCell ref="B8:B9"/>
    <mergeCell ref="B10:B11"/>
    <mergeCell ref="B12:B13"/>
    <mergeCell ref="B19:B20"/>
    <mergeCell ref="B49:B50"/>
    <mergeCell ref="B51:B52"/>
    <mergeCell ref="B53:B54"/>
    <mergeCell ref="B55:B56"/>
    <mergeCell ref="B23:B24"/>
    <mergeCell ref="B25:B26"/>
    <mergeCell ref="B32:B33"/>
    <mergeCell ref="B34:B35"/>
    <mergeCell ref="B36:B37"/>
    <mergeCell ref="B38:B39"/>
  </mergeCells>
  <phoneticPr fontId="69"/>
  <pageMargins left="0.7" right="0.7" top="0.75" bottom="0.75" header="0.3" footer="0.3"/>
  <pageSetup paperSize="9" scale="5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58"/>
  <sheetViews>
    <sheetView zoomScale="70" zoomScaleNormal="70" workbookViewId="0">
      <selection activeCell="B9" sqref="B9:B13"/>
    </sheetView>
  </sheetViews>
  <sheetFormatPr defaultColWidth="9" defaultRowHeight="11.25" outlineLevelCol="1"/>
  <cols>
    <col min="1" max="1" width="3.42578125" style="929" customWidth="1"/>
    <col min="2" max="2" width="19.85546875" style="929" bestFit="1" customWidth="1"/>
    <col min="3" max="4" width="13.5703125" style="929" customWidth="1"/>
    <col min="5" max="5" width="13.5703125" style="929" customWidth="1" outlineLevel="1"/>
    <col min="6" max="7" width="13.57031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3.5">
      <c r="A1" s="1273" t="s">
        <v>435</v>
      </c>
    </row>
    <row r="3" spans="1:20" s="1274" customFormat="1" ht="28.5" customHeight="1">
      <c r="B3" s="1275" t="s">
        <v>436</v>
      </c>
      <c r="C3" s="1276" t="s">
        <v>437</v>
      </c>
      <c r="D3" s="1276" t="s">
        <v>438</v>
      </c>
      <c r="E3" s="1276" t="s">
        <v>439</v>
      </c>
      <c r="F3" s="1276" t="s">
        <v>7</v>
      </c>
      <c r="G3" s="1276" t="s">
        <v>440</v>
      </c>
      <c r="H3" s="1276" t="s">
        <v>441</v>
      </c>
      <c r="I3" s="1276" t="s">
        <v>260</v>
      </c>
      <c r="J3" s="1276" t="s">
        <v>442</v>
      </c>
      <c r="K3" s="1276" t="s">
        <v>304</v>
      </c>
      <c r="L3" s="1276" t="s">
        <v>443</v>
      </c>
      <c r="M3" s="1276" t="s">
        <v>444</v>
      </c>
      <c r="N3" s="1277" t="s">
        <v>445</v>
      </c>
      <c r="O3" s="1277" t="s">
        <v>446</v>
      </c>
      <c r="P3" s="1276" t="s">
        <v>447</v>
      </c>
      <c r="Q3" s="1276" t="s">
        <v>448</v>
      </c>
      <c r="R3" s="1276" t="s">
        <v>449</v>
      </c>
      <c r="S3" s="1276" t="s">
        <v>450</v>
      </c>
      <c r="T3" s="1278" t="s">
        <v>451</v>
      </c>
    </row>
    <row r="4" spans="1:20" ht="14.25" customHeight="1">
      <c r="B4" s="1728" t="s">
        <v>481</v>
      </c>
      <c r="C4" s="1734">
        <v>202300000</v>
      </c>
      <c r="D4" s="1734">
        <v>12000000</v>
      </c>
      <c r="E4" s="1734">
        <f>C4-D4</f>
        <v>190300000</v>
      </c>
      <c r="F4" s="1279">
        <v>12</v>
      </c>
      <c r="G4" s="1279"/>
      <c r="H4" s="1280">
        <v>0.151</v>
      </c>
      <c r="I4" s="1280">
        <v>9.7299999999999998E-2</v>
      </c>
      <c r="J4" s="1281">
        <f>G4/$C$4</f>
        <v>0</v>
      </c>
      <c r="K4" s="1279"/>
      <c r="L4" s="1282">
        <v>0.66</v>
      </c>
      <c r="M4" s="1282">
        <f>'Special RV'!D35</f>
        <v>0.81043325160000002</v>
      </c>
      <c r="N4" s="1282">
        <f>ROUND(AVERAGE(L4:M4),2)</f>
        <v>0.74</v>
      </c>
      <c r="O4" s="1281">
        <f>N4*C4</f>
        <v>149702000</v>
      </c>
      <c r="P4" s="1283">
        <f>SUM(C34:C38)</f>
        <v>5647000</v>
      </c>
      <c r="Q4" s="1284">
        <f>ROUNDUP(1.6%*C4,-3)</f>
        <v>3237000</v>
      </c>
      <c r="R4" s="1284">
        <f>ROUNDUP(1.9%*C4,-3)</f>
        <v>3844000</v>
      </c>
      <c r="S4" s="1285">
        <f>357000*F4</f>
        <v>4284000</v>
      </c>
      <c r="T4" s="1279"/>
    </row>
    <row r="5" spans="1:20" ht="14.25" customHeight="1">
      <c r="B5" s="1729"/>
      <c r="C5" s="1735"/>
      <c r="D5" s="1735"/>
      <c r="E5" s="1735"/>
      <c r="F5" s="1286">
        <v>24</v>
      </c>
      <c r="G5" s="1286"/>
      <c r="H5" s="1287">
        <v>0.14499999999999999</v>
      </c>
      <c r="I5" s="1287">
        <v>9.9500000000000005E-2</v>
      </c>
      <c r="J5" s="1288">
        <f>G5/$C$4</f>
        <v>0</v>
      </c>
      <c r="K5" s="1286"/>
      <c r="L5" s="1289">
        <v>0.57999999999999996</v>
      </c>
      <c r="M5" s="1289">
        <f>'Special RV'!E35</f>
        <v>0.71192045270000004</v>
      </c>
      <c r="N5" s="1289">
        <f t="shared" ref="N5:N28" si="0">ROUND(AVERAGE(L5:M5),2)</f>
        <v>0.65</v>
      </c>
      <c r="O5" s="1288">
        <f>N5*C4</f>
        <v>131495000</v>
      </c>
      <c r="P5" s="1290">
        <f>SUM(D34:D38)</f>
        <v>10538000</v>
      </c>
      <c r="Q5" s="1291">
        <f>Q4*2</f>
        <v>6474000</v>
      </c>
      <c r="R5" s="1291">
        <f>R4*2</f>
        <v>7688000</v>
      </c>
      <c r="S5" s="1292">
        <f t="shared" ref="S5:S8" si="1">357000*F5</f>
        <v>8568000</v>
      </c>
      <c r="T5" s="1286"/>
    </row>
    <row r="6" spans="1:20" ht="14.25" customHeight="1">
      <c r="B6" s="1729"/>
      <c r="C6" s="1735"/>
      <c r="D6" s="1735"/>
      <c r="E6" s="1735"/>
      <c r="F6" s="1286">
        <v>36</v>
      </c>
      <c r="G6" s="1286"/>
      <c r="H6" s="1287">
        <v>0.14399999999999999</v>
      </c>
      <c r="I6" s="1287">
        <v>9.9699999999999997E-2</v>
      </c>
      <c r="J6" s="1288">
        <f>G6/$C$4</f>
        <v>0</v>
      </c>
      <c r="K6" s="1286"/>
      <c r="L6" s="1289">
        <v>0.52</v>
      </c>
      <c r="M6" s="1289">
        <f>'Special RV'!G35</f>
        <v>0.61340765379999995</v>
      </c>
      <c r="N6" s="1289">
        <f t="shared" si="0"/>
        <v>0.56999999999999995</v>
      </c>
      <c r="O6" s="1288">
        <f>N6*C4</f>
        <v>115310999.99999999</v>
      </c>
      <c r="P6" s="1290">
        <f>SUM(E34:E38)</f>
        <v>14970000</v>
      </c>
      <c r="Q6" s="1291">
        <f>Q4*3</f>
        <v>9711000</v>
      </c>
      <c r="R6" s="1291">
        <f>R4*3</f>
        <v>11532000</v>
      </c>
      <c r="S6" s="1292">
        <f t="shared" si="1"/>
        <v>12852000</v>
      </c>
      <c r="T6" s="1286"/>
    </row>
    <row r="7" spans="1:20" ht="14.25" customHeight="1">
      <c r="B7" s="1729"/>
      <c r="C7" s="1735"/>
      <c r="D7" s="1735"/>
      <c r="E7" s="1735"/>
      <c r="F7" s="1286">
        <v>48</v>
      </c>
      <c r="G7" s="1286"/>
      <c r="H7" s="1287">
        <v>0.14399999999999999</v>
      </c>
      <c r="I7" s="1287">
        <v>9.9400000000000002E-2</v>
      </c>
      <c r="J7" s="1288">
        <f>G7/$C$4</f>
        <v>0</v>
      </c>
      <c r="K7" s="1293"/>
      <c r="L7" s="1289">
        <v>0.47</v>
      </c>
      <c r="M7" s="1289">
        <f>'Special RV'!I35</f>
        <v>0.51489485489999998</v>
      </c>
      <c r="N7" s="1289">
        <f t="shared" si="0"/>
        <v>0.49</v>
      </c>
      <c r="O7" s="1288">
        <f>N7*C4</f>
        <v>99127000</v>
      </c>
      <c r="P7" s="1290">
        <f>SUM(F34:F38)</f>
        <v>19755000</v>
      </c>
      <c r="Q7" s="1294">
        <f>Q4*4</f>
        <v>12948000</v>
      </c>
      <c r="R7" s="1294">
        <f>R4*4</f>
        <v>15376000</v>
      </c>
      <c r="S7" s="1292">
        <f t="shared" si="1"/>
        <v>17136000</v>
      </c>
      <c r="T7" s="1286"/>
    </row>
    <row r="8" spans="1:20" ht="14.25" customHeight="1">
      <c r="B8" s="1730"/>
      <c r="C8" s="1736"/>
      <c r="D8" s="1736"/>
      <c r="E8" s="1736"/>
      <c r="F8" s="1295">
        <v>60</v>
      </c>
      <c r="G8" s="1295"/>
      <c r="H8" s="1296">
        <v>0.14299999999999999</v>
      </c>
      <c r="I8" s="1296">
        <v>9.9199999999999997E-2</v>
      </c>
      <c r="J8" s="1297">
        <f>G8/$C$4</f>
        <v>0</v>
      </c>
      <c r="K8" s="1298"/>
      <c r="L8" s="1299">
        <v>0.42</v>
      </c>
      <c r="M8" s="1299">
        <f>L8</f>
        <v>0.42</v>
      </c>
      <c r="N8" s="1299">
        <f t="shared" si="0"/>
        <v>0.42</v>
      </c>
      <c r="O8" s="1297">
        <f>N8*C4</f>
        <v>84966000</v>
      </c>
      <c r="P8" s="1300">
        <f>SUM(G34:G38)</f>
        <v>24191000</v>
      </c>
      <c r="Q8" s="1301">
        <f>Q4*5</f>
        <v>16185000</v>
      </c>
      <c r="R8" s="1301">
        <f>R4*5</f>
        <v>19220000</v>
      </c>
      <c r="S8" s="1302">
        <f t="shared" si="1"/>
        <v>21420000</v>
      </c>
      <c r="T8" s="1295"/>
    </row>
    <row r="9" spans="1:20" ht="14.25" customHeight="1">
      <c r="B9" s="1731" t="s">
        <v>453</v>
      </c>
      <c r="C9" s="1738">
        <v>191100000</v>
      </c>
      <c r="D9" s="1738">
        <v>12000000</v>
      </c>
      <c r="E9" s="1738">
        <f>C9-D9</f>
        <v>179100000</v>
      </c>
      <c r="F9" s="1303">
        <v>12</v>
      </c>
      <c r="G9" s="1303"/>
      <c r="H9" s="1304">
        <v>0.151</v>
      </c>
      <c r="I9" s="1304">
        <v>9.7299999999999998E-2</v>
      </c>
      <c r="J9" s="1305">
        <f>G9/$C$9</f>
        <v>0</v>
      </c>
      <c r="K9" s="1303"/>
      <c r="L9" s="1306">
        <v>0.68</v>
      </c>
      <c r="M9" s="1306">
        <f>'Special RV'!D34</f>
        <v>0.81856644759999997</v>
      </c>
      <c r="N9" s="1306">
        <f t="shared" si="0"/>
        <v>0.75</v>
      </c>
      <c r="O9" s="1305">
        <f>N9*C9</f>
        <v>143325000</v>
      </c>
      <c r="P9" s="1307">
        <f>SUM(C39:C43)</f>
        <v>6117000</v>
      </c>
      <c r="Q9" s="1308">
        <f>ROUNDUP(1.6%*C9,-3)</f>
        <v>3058000</v>
      </c>
      <c r="R9" s="1308">
        <f>ROUNDUP(1.9%*C9,-3)</f>
        <v>3631000</v>
      </c>
      <c r="S9" s="1309">
        <f>305000*F9</f>
        <v>3660000</v>
      </c>
      <c r="T9" s="1303"/>
    </row>
    <row r="10" spans="1:20" ht="14.25" customHeight="1">
      <c r="B10" s="1732"/>
      <c r="C10" s="1739"/>
      <c r="D10" s="1739"/>
      <c r="E10" s="1739"/>
      <c r="F10" s="1310">
        <v>24</v>
      </c>
      <c r="G10" s="1310"/>
      <c r="H10" s="1311">
        <v>0.14499999999999999</v>
      </c>
      <c r="I10" s="1311">
        <v>9.9500000000000005E-2</v>
      </c>
      <c r="J10" s="1312">
        <f>G10/$C$9</f>
        <v>0</v>
      </c>
      <c r="K10" s="1310"/>
      <c r="L10" s="1313">
        <v>0.63</v>
      </c>
      <c r="M10" s="1313">
        <f>'Special RV'!E34</f>
        <v>0.73284957390000005</v>
      </c>
      <c r="N10" s="1313">
        <f t="shared" si="0"/>
        <v>0.68</v>
      </c>
      <c r="O10" s="1312">
        <f>N10*C9</f>
        <v>129948000.00000001</v>
      </c>
      <c r="P10" s="1314">
        <f>SUM(D39:D43)</f>
        <v>10771000</v>
      </c>
      <c r="Q10" s="1315">
        <f>Q9*2</f>
        <v>6116000</v>
      </c>
      <c r="R10" s="1315">
        <f>R9*2</f>
        <v>7262000</v>
      </c>
      <c r="S10" s="1316">
        <f t="shared" ref="S10:S13" si="2">305000*F10</f>
        <v>7320000</v>
      </c>
      <c r="T10" s="1310"/>
    </row>
    <row r="11" spans="1:20" ht="14.25" customHeight="1">
      <c r="B11" s="1732"/>
      <c r="C11" s="1739"/>
      <c r="D11" s="1739"/>
      <c r="E11" s="1739"/>
      <c r="F11" s="1310">
        <v>36</v>
      </c>
      <c r="G11" s="1310"/>
      <c r="H11" s="1311">
        <v>0.14399999999999999</v>
      </c>
      <c r="I11" s="1311">
        <v>9.9699999999999997E-2</v>
      </c>
      <c r="J11" s="1312">
        <f>G11/$C$9</f>
        <v>0</v>
      </c>
      <c r="K11" s="1310"/>
      <c r="L11" s="1313">
        <v>0.56000000000000005</v>
      </c>
      <c r="M11" s="1313">
        <f>'Special RV'!G34</f>
        <v>0.64713270020000002</v>
      </c>
      <c r="N11" s="1313">
        <f>ROUND(AVERAGE(L11:M11),2)</f>
        <v>0.6</v>
      </c>
      <c r="O11" s="1312">
        <f>N11*C9</f>
        <v>114660000</v>
      </c>
      <c r="P11" s="1314">
        <f>SUM(E39:E43)</f>
        <v>14991000</v>
      </c>
      <c r="Q11" s="1315">
        <f>Q9*3</f>
        <v>9174000</v>
      </c>
      <c r="R11" s="1315">
        <f>R9*3</f>
        <v>10893000</v>
      </c>
      <c r="S11" s="1316">
        <f t="shared" si="2"/>
        <v>10980000</v>
      </c>
      <c r="T11" s="1310"/>
    </row>
    <row r="12" spans="1:20" ht="14.25" customHeight="1">
      <c r="B12" s="1732"/>
      <c r="C12" s="1739"/>
      <c r="D12" s="1739"/>
      <c r="E12" s="1739"/>
      <c r="F12" s="1310">
        <v>48</v>
      </c>
      <c r="G12" s="1310"/>
      <c r="H12" s="1311">
        <v>0.14399999999999999</v>
      </c>
      <c r="I12" s="1311">
        <v>9.9400000000000002E-2</v>
      </c>
      <c r="J12" s="1312">
        <f>G12/$C$9</f>
        <v>0</v>
      </c>
      <c r="K12" s="1310"/>
      <c r="L12" s="1313">
        <v>0.51</v>
      </c>
      <c r="M12" s="1313">
        <f>'Special RV'!I34</f>
        <v>0.56141582649999999</v>
      </c>
      <c r="N12" s="1313">
        <f t="shared" si="0"/>
        <v>0.54</v>
      </c>
      <c r="O12" s="1312">
        <f>N12*C9</f>
        <v>103194000</v>
      </c>
      <c r="P12" s="1314">
        <f>SUM(F39:F43)</f>
        <v>19546000</v>
      </c>
      <c r="Q12" s="1317">
        <f>Q9*4</f>
        <v>12232000</v>
      </c>
      <c r="R12" s="1317">
        <f>R9*4</f>
        <v>14524000</v>
      </c>
      <c r="S12" s="1316">
        <f t="shared" si="2"/>
        <v>14640000</v>
      </c>
      <c r="T12" s="1310"/>
    </row>
    <row r="13" spans="1:20" ht="14.25" customHeight="1">
      <c r="B13" s="1733"/>
      <c r="C13" s="1740"/>
      <c r="D13" s="1740"/>
      <c r="E13" s="1740"/>
      <c r="F13" s="1318">
        <v>60</v>
      </c>
      <c r="G13" s="1318"/>
      <c r="H13" s="1319">
        <v>0.14299999999999999</v>
      </c>
      <c r="I13" s="1319">
        <v>9.9199999999999997E-2</v>
      </c>
      <c r="J13" s="1320">
        <f>G13/$C$9</f>
        <v>0</v>
      </c>
      <c r="K13" s="1318"/>
      <c r="L13" s="1321">
        <v>0.48</v>
      </c>
      <c r="M13" s="1321">
        <f>L13</f>
        <v>0.48</v>
      </c>
      <c r="N13" s="1321">
        <f t="shared" si="0"/>
        <v>0.48</v>
      </c>
      <c r="O13" s="1320">
        <f>N13*C9</f>
        <v>91728000</v>
      </c>
      <c r="P13" s="1322">
        <f>SUM(G39:G43)</f>
        <v>23770000</v>
      </c>
      <c r="Q13" s="1323">
        <f>Q9*5</f>
        <v>15290000</v>
      </c>
      <c r="R13" s="1323">
        <f>R9*5</f>
        <v>18155000</v>
      </c>
      <c r="S13" s="1324">
        <f t="shared" si="2"/>
        <v>18300000</v>
      </c>
      <c r="T13" s="1318"/>
    </row>
    <row r="14" spans="1:20" ht="14.25" customHeight="1">
      <c r="B14" s="1728" t="s">
        <v>454</v>
      </c>
      <c r="C14" s="1734">
        <v>219650000</v>
      </c>
      <c r="D14" s="1734">
        <v>12000000</v>
      </c>
      <c r="E14" s="1734">
        <f>C14-D14</f>
        <v>207650000</v>
      </c>
      <c r="F14" s="1279">
        <v>12</v>
      </c>
      <c r="G14" s="1279"/>
      <c r="H14" s="1280">
        <v>0.151</v>
      </c>
      <c r="I14" s="1280">
        <v>9.7299999999999998E-2</v>
      </c>
      <c r="J14" s="1281">
        <f>G14/$C$14</f>
        <v>0</v>
      </c>
      <c r="K14" s="1279"/>
      <c r="L14" s="1282">
        <v>0.66</v>
      </c>
      <c r="M14" s="1325">
        <f>M4</f>
        <v>0.81043325160000002</v>
      </c>
      <c r="N14" s="1325">
        <f t="shared" si="0"/>
        <v>0.74</v>
      </c>
      <c r="O14" s="1281">
        <f>N14*C14</f>
        <v>162541000</v>
      </c>
      <c r="P14" s="1283">
        <f>SUM(C44:C48)</f>
        <v>6073728.0657534245</v>
      </c>
      <c r="Q14" s="1284">
        <f>ROUNDUP(1.6%*C14,-3)</f>
        <v>3515000</v>
      </c>
      <c r="R14" s="1284">
        <f>ROUNDUP(1.9%*C14,-3)</f>
        <v>4174000</v>
      </c>
      <c r="S14" s="1285">
        <f>357000*F14</f>
        <v>4284000</v>
      </c>
      <c r="T14" s="1279"/>
    </row>
    <row r="15" spans="1:20" ht="14.25" customHeight="1">
      <c r="B15" s="1729"/>
      <c r="C15" s="1735"/>
      <c r="D15" s="1735"/>
      <c r="E15" s="1735"/>
      <c r="F15" s="1286">
        <v>24</v>
      </c>
      <c r="G15" s="1286"/>
      <c r="H15" s="1287">
        <v>0.14499999999999999</v>
      </c>
      <c r="I15" s="1287">
        <v>9.9500000000000005E-2</v>
      </c>
      <c r="J15" s="1288">
        <f>G15/$C$14</f>
        <v>0</v>
      </c>
      <c r="K15" s="1286"/>
      <c r="L15" s="1289">
        <v>0.57999999999999996</v>
      </c>
      <c r="M15" s="1325">
        <f t="shared" ref="M15:M18" si="3">M5</f>
        <v>0.71192045270000004</v>
      </c>
      <c r="N15" s="1289">
        <f t="shared" si="0"/>
        <v>0.65</v>
      </c>
      <c r="O15" s="1288">
        <f>N15*C14</f>
        <v>142772500</v>
      </c>
      <c r="P15" s="1290">
        <f>SUM(D44:D48)</f>
        <v>11332000</v>
      </c>
      <c r="Q15" s="1291">
        <f>Q14*2</f>
        <v>7030000</v>
      </c>
      <c r="R15" s="1291">
        <f>R14*2</f>
        <v>8348000</v>
      </c>
      <c r="S15" s="1292">
        <f t="shared" ref="S15:S18" si="4">357000*F15</f>
        <v>8568000</v>
      </c>
      <c r="T15" s="1286"/>
    </row>
    <row r="16" spans="1:20" ht="14.25" customHeight="1">
      <c r="B16" s="1729"/>
      <c r="C16" s="1735"/>
      <c r="D16" s="1735"/>
      <c r="E16" s="1735"/>
      <c r="F16" s="1286">
        <v>36</v>
      </c>
      <c r="G16" s="1286"/>
      <c r="H16" s="1287">
        <v>0.14399999999999999</v>
      </c>
      <c r="I16" s="1287">
        <v>9.9699999999999997E-2</v>
      </c>
      <c r="J16" s="1288">
        <f>G16/$C$14</f>
        <v>0</v>
      </c>
      <c r="K16" s="1286"/>
      <c r="L16" s="1289">
        <v>0.52</v>
      </c>
      <c r="M16" s="1325">
        <f t="shared" si="3"/>
        <v>0.61340765379999995</v>
      </c>
      <c r="N16" s="1289">
        <f t="shared" si="0"/>
        <v>0.56999999999999995</v>
      </c>
      <c r="O16" s="1288">
        <f>N16*C14</f>
        <v>125200499.99999999</v>
      </c>
      <c r="P16" s="1290">
        <f>SUM(E44:E48)</f>
        <v>16003000</v>
      </c>
      <c r="Q16" s="1291">
        <f>Q14*3</f>
        <v>10545000</v>
      </c>
      <c r="R16" s="1291">
        <f>R14*3</f>
        <v>12522000</v>
      </c>
      <c r="S16" s="1292">
        <f t="shared" si="4"/>
        <v>12852000</v>
      </c>
      <c r="T16" s="1286"/>
    </row>
    <row r="17" spans="2:20" ht="14.25" customHeight="1">
      <c r="B17" s="1729"/>
      <c r="C17" s="1735"/>
      <c r="D17" s="1735"/>
      <c r="E17" s="1735"/>
      <c r="F17" s="1286">
        <v>48</v>
      </c>
      <c r="G17" s="1286"/>
      <c r="H17" s="1287">
        <v>0.14399999999999999</v>
      </c>
      <c r="I17" s="1287">
        <v>9.9400000000000002E-2</v>
      </c>
      <c r="J17" s="1288">
        <f>G17/$C$14</f>
        <v>0</v>
      </c>
      <c r="K17" s="1286"/>
      <c r="L17" s="1289">
        <v>0.47</v>
      </c>
      <c r="M17" s="1325">
        <f t="shared" si="3"/>
        <v>0.51489485489999998</v>
      </c>
      <c r="N17" s="1289">
        <f t="shared" si="0"/>
        <v>0.49</v>
      </c>
      <c r="O17" s="1288">
        <f>N17*C14</f>
        <v>107628500</v>
      </c>
      <c r="P17" s="1290">
        <f>SUM(F44:F48)</f>
        <v>20194000</v>
      </c>
      <c r="Q17" s="1294">
        <f>Q14*4</f>
        <v>14060000</v>
      </c>
      <c r="R17" s="1294">
        <f>R14*4</f>
        <v>16696000</v>
      </c>
      <c r="S17" s="1292">
        <f t="shared" si="4"/>
        <v>17136000</v>
      </c>
      <c r="T17" s="1286"/>
    </row>
    <row r="18" spans="2:20" ht="14.25" customHeight="1">
      <c r="B18" s="1730"/>
      <c r="C18" s="1736"/>
      <c r="D18" s="1736"/>
      <c r="E18" s="1736"/>
      <c r="F18" s="1295">
        <v>60</v>
      </c>
      <c r="G18" s="1295"/>
      <c r="H18" s="1296">
        <v>0.14299999999999999</v>
      </c>
      <c r="I18" s="1296">
        <v>9.9199999999999997E-2</v>
      </c>
      <c r="J18" s="1297">
        <f>G18/$C$14</f>
        <v>0</v>
      </c>
      <c r="K18" s="1295"/>
      <c r="L18" s="1299">
        <v>0.42</v>
      </c>
      <c r="M18" s="1326">
        <f t="shared" si="3"/>
        <v>0.42</v>
      </c>
      <c r="N18" s="1299">
        <f t="shared" si="0"/>
        <v>0.42</v>
      </c>
      <c r="O18" s="1297">
        <f>N18*C14</f>
        <v>92253000</v>
      </c>
      <c r="P18" s="1300">
        <f>SUM(G44:G48)</f>
        <v>24956000</v>
      </c>
      <c r="Q18" s="1301">
        <f>Q14*5</f>
        <v>17575000</v>
      </c>
      <c r="R18" s="1301">
        <f>R14*5</f>
        <v>20870000</v>
      </c>
      <c r="S18" s="1302">
        <f t="shared" si="4"/>
        <v>21420000</v>
      </c>
      <c r="T18" s="1295"/>
    </row>
    <row r="19" spans="2:20" ht="14.25" customHeight="1">
      <c r="B19" s="1731" t="s">
        <v>455</v>
      </c>
      <c r="C19" s="1738">
        <v>208950000</v>
      </c>
      <c r="D19" s="1738">
        <v>12000000</v>
      </c>
      <c r="E19" s="1738">
        <f>C19-D19</f>
        <v>196950000</v>
      </c>
      <c r="F19" s="1303">
        <v>12</v>
      </c>
      <c r="G19" s="1303"/>
      <c r="H19" s="1304">
        <v>0.151</v>
      </c>
      <c r="I19" s="1304">
        <v>9.7299999999999998E-2</v>
      </c>
      <c r="J19" s="1305">
        <f>G19/$C$19</f>
        <v>0</v>
      </c>
      <c r="K19" s="1303"/>
      <c r="L19" s="1306">
        <v>0.68</v>
      </c>
      <c r="M19" s="1306">
        <f>M9</f>
        <v>0.81856644759999997</v>
      </c>
      <c r="N19" s="1306">
        <f t="shared" si="0"/>
        <v>0.75</v>
      </c>
      <c r="O19" s="1305">
        <f>N19*C19</f>
        <v>156712500</v>
      </c>
      <c r="P19" s="1307">
        <f>SUM(C49:C53)</f>
        <v>5811000</v>
      </c>
      <c r="Q19" s="1308">
        <f>ROUNDUP(1.6%*C19,-3)</f>
        <v>3344000</v>
      </c>
      <c r="R19" s="1308">
        <f>ROUNDUP(1.9%*C19,-3)</f>
        <v>3971000</v>
      </c>
      <c r="S19" s="1309">
        <f>305000*F19</f>
        <v>3660000</v>
      </c>
      <c r="T19" s="1303"/>
    </row>
    <row r="20" spans="2:20" ht="14.25" customHeight="1">
      <c r="B20" s="1732"/>
      <c r="C20" s="1739"/>
      <c r="D20" s="1739"/>
      <c r="E20" s="1739"/>
      <c r="F20" s="1310">
        <v>24</v>
      </c>
      <c r="G20" s="1310"/>
      <c r="H20" s="1311">
        <v>0.14499999999999999</v>
      </c>
      <c r="I20" s="1311">
        <v>9.9500000000000005E-2</v>
      </c>
      <c r="J20" s="1312">
        <f>G20/$C$19</f>
        <v>0</v>
      </c>
      <c r="K20" s="1310"/>
      <c r="L20" s="1313">
        <v>0.63</v>
      </c>
      <c r="M20" s="1313">
        <f t="shared" ref="M20:M23" si="5">M10</f>
        <v>0.73284957390000005</v>
      </c>
      <c r="N20" s="1313">
        <f t="shared" si="0"/>
        <v>0.68</v>
      </c>
      <c r="O20" s="1312">
        <f>N20*C19</f>
        <v>142086000</v>
      </c>
      <c r="P20" s="1314">
        <f>SUM(D49:D53)</f>
        <v>10843000</v>
      </c>
      <c r="Q20" s="1315">
        <f>Q19*2</f>
        <v>6688000</v>
      </c>
      <c r="R20" s="1315">
        <f>R19*2</f>
        <v>7942000</v>
      </c>
      <c r="S20" s="1316">
        <f t="shared" ref="S20:S22" si="6">305000*F20</f>
        <v>7320000</v>
      </c>
      <c r="T20" s="1310"/>
    </row>
    <row r="21" spans="2:20" ht="14.25" customHeight="1">
      <c r="B21" s="1732"/>
      <c r="C21" s="1739"/>
      <c r="D21" s="1739"/>
      <c r="E21" s="1739"/>
      <c r="F21" s="1310">
        <v>36</v>
      </c>
      <c r="G21" s="1310"/>
      <c r="H21" s="1311">
        <v>0.14399999999999999</v>
      </c>
      <c r="I21" s="1311">
        <v>9.9699999999999997E-2</v>
      </c>
      <c r="J21" s="1312">
        <f>G21/$C$19</f>
        <v>0</v>
      </c>
      <c r="K21" s="1310"/>
      <c r="L21" s="1313">
        <v>0.56000000000000005</v>
      </c>
      <c r="M21" s="1313">
        <f t="shared" si="5"/>
        <v>0.64713270020000002</v>
      </c>
      <c r="N21" s="1313">
        <f t="shared" si="0"/>
        <v>0.6</v>
      </c>
      <c r="O21" s="1312">
        <f>N21*C19</f>
        <v>125370000</v>
      </c>
      <c r="P21" s="1314">
        <f>SUM(E49:E53)</f>
        <v>15316000</v>
      </c>
      <c r="Q21" s="1315">
        <f>Q19*3</f>
        <v>10032000</v>
      </c>
      <c r="R21" s="1315">
        <f>R19*3</f>
        <v>11913000</v>
      </c>
      <c r="S21" s="1316">
        <f t="shared" si="6"/>
        <v>10980000</v>
      </c>
      <c r="T21" s="1310"/>
    </row>
    <row r="22" spans="2:20" ht="14.25" customHeight="1">
      <c r="B22" s="1732"/>
      <c r="C22" s="1739"/>
      <c r="D22" s="1739"/>
      <c r="E22" s="1739"/>
      <c r="F22" s="1310">
        <v>48</v>
      </c>
      <c r="G22" s="1310"/>
      <c r="H22" s="1311">
        <v>0.14399999999999999</v>
      </c>
      <c r="I22" s="1311">
        <v>9.9400000000000002E-2</v>
      </c>
      <c r="J22" s="1312">
        <f>G22/$C$19</f>
        <v>0</v>
      </c>
      <c r="K22" s="1310"/>
      <c r="L22" s="1313">
        <v>0.51</v>
      </c>
      <c r="M22" s="1313">
        <f t="shared" si="5"/>
        <v>0.56141582649999999</v>
      </c>
      <c r="N22" s="1313">
        <f t="shared" si="0"/>
        <v>0.54</v>
      </c>
      <c r="O22" s="1312">
        <f>N22*C19</f>
        <v>112833000</v>
      </c>
      <c r="P22" s="1314">
        <f>SUM(F49:F53)</f>
        <v>19333000</v>
      </c>
      <c r="Q22" s="1317">
        <f>Q19*4</f>
        <v>13376000</v>
      </c>
      <c r="R22" s="1317">
        <f>R19*4</f>
        <v>15884000</v>
      </c>
      <c r="S22" s="1316">
        <f t="shared" si="6"/>
        <v>14640000</v>
      </c>
      <c r="T22" s="1310"/>
    </row>
    <row r="23" spans="2:20" ht="14.25" customHeight="1">
      <c r="B23" s="1733"/>
      <c r="C23" s="1740"/>
      <c r="D23" s="1740"/>
      <c r="E23" s="1740"/>
      <c r="F23" s="1318">
        <v>60</v>
      </c>
      <c r="G23" s="1318"/>
      <c r="H23" s="1319">
        <v>0.14299999999999999</v>
      </c>
      <c r="I23" s="1319">
        <v>9.9199999999999997E-2</v>
      </c>
      <c r="J23" s="1320">
        <f>G23/$C$19</f>
        <v>0</v>
      </c>
      <c r="K23" s="1318"/>
      <c r="L23" s="1321">
        <v>0.48</v>
      </c>
      <c r="M23" s="1321">
        <f t="shared" si="5"/>
        <v>0.48</v>
      </c>
      <c r="N23" s="1321">
        <f t="shared" si="0"/>
        <v>0.48</v>
      </c>
      <c r="O23" s="1320">
        <f>N23*C19</f>
        <v>100296000</v>
      </c>
      <c r="P23" s="1322">
        <f>SUM(G49:G53)</f>
        <v>23894000</v>
      </c>
      <c r="Q23" s="1323">
        <f>Q19*5</f>
        <v>16720000</v>
      </c>
      <c r="R23" s="1323">
        <f>R19*5</f>
        <v>19855000</v>
      </c>
      <c r="S23" s="1324">
        <f>305000*F23</f>
        <v>18300000</v>
      </c>
      <c r="T23" s="1318"/>
    </row>
    <row r="24" spans="2:20" ht="14.25" customHeight="1">
      <c r="B24" s="1728" t="s">
        <v>456</v>
      </c>
      <c r="C24" s="1734">
        <v>221250000</v>
      </c>
      <c r="D24" s="1734">
        <v>12000000</v>
      </c>
      <c r="E24" s="1734">
        <f>C24-D24</f>
        <v>209250000</v>
      </c>
      <c r="F24" s="1279">
        <v>12</v>
      </c>
      <c r="G24" s="1279"/>
      <c r="H24" s="1280">
        <v>0.151</v>
      </c>
      <c r="I24" s="1280">
        <v>9.7299999999999998E-2</v>
      </c>
      <c r="J24" s="1281">
        <f>G24/$C$24</f>
        <v>0</v>
      </c>
      <c r="K24" s="1327"/>
      <c r="L24" s="1328">
        <v>0.68</v>
      </c>
      <c r="M24" s="1282">
        <f>M9</f>
        <v>0.81856644759999997</v>
      </c>
      <c r="N24" s="1325">
        <f t="shared" si="0"/>
        <v>0.75</v>
      </c>
      <c r="O24" s="1281">
        <f>N24*C24</f>
        <v>165937500</v>
      </c>
      <c r="P24" s="1283">
        <f>SUM(C54:C58)</f>
        <v>6114000</v>
      </c>
      <c r="Q24" s="1284">
        <f>ROUNDUP(1.6%*C24,-3)</f>
        <v>3540000</v>
      </c>
      <c r="R24" s="1284">
        <f>ROUNDUP(1.9%*C24,-3)</f>
        <v>4204000</v>
      </c>
      <c r="S24" s="1285">
        <f>326000*F24</f>
        <v>3912000</v>
      </c>
      <c r="T24" s="1279"/>
    </row>
    <row r="25" spans="2:20" ht="14.25" customHeight="1">
      <c r="B25" s="1729"/>
      <c r="C25" s="1735"/>
      <c r="D25" s="1735"/>
      <c r="E25" s="1735"/>
      <c r="F25" s="1286">
        <v>24</v>
      </c>
      <c r="G25" s="1286"/>
      <c r="H25" s="1287">
        <v>0.14499999999999999</v>
      </c>
      <c r="I25" s="1287">
        <v>9.9500000000000005E-2</v>
      </c>
      <c r="J25" s="1288">
        <f>G25/$C$24</f>
        <v>0</v>
      </c>
      <c r="K25" s="1293"/>
      <c r="L25" s="1329">
        <v>0.63</v>
      </c>
      <c r="M25" s="1289">
        <f t="shared" ref="M25:M28" si="7">M10</f>
        <v>0.73284957390000005</v>
      </c>
      <c r="N25" s="1289">
        <f t="shared" si="0"/>
        <v>0.68</v>
      </c>
      <c r="O25" s="1288">
        <f>N25*C24</f>
        <v>150450000</v>
      </c>
      <c r="P25" s="1290">
        <f>SUM(D54:D58)</f>
        <v>11405000</v>
      </c>
      <c r="Q25" s="1291">
        <f>Q24*2</f>
        <v>7080000</v>
      </c>
      <c r="R25" s="1291">
        <f>R24*2</f>
        <v>8408000</v>
      </c>
      <c r="S25" s="1292">
        <f t="shared" ref="S25:S28" si="8">326000*F25</f>
        <v>7824000</v>
      </c>
      <c r="T25" s="1286"/>
    </row>
    <row r="26" spans="2:20" ht="14.25" customHeight="1">
      <c r="B26" s="1729"/>
      <c r="C26" s="1735"/>
      <c r="D26" s="1735"/>
      <c r="E26" s="1735"/>
      <c r="F26" s="1286">
        <v>36</v>
      </c>
      <c r="G26" s="1286"/>
      <c r="H26" s="1287">
        <v>0.14399999999999999</v>
      </c>
      <c r="I26" s="1287">
        <v>9.9699999999999997E-2</v>
      </c>
      <c r="J26" s="1288">
        <f>G26/$C$24</f>
        <v>0</v>
      </c>
      <c r="K26" s="1293"/>
      <c r="L26" s="1329">
        <v>0.56000000000000005</v>
      </c>
      <c r="M26" s="1289">
        <f t="shared" si="7"/>
        <v>0.64713270020000002</v>
      </c>
      <c r="N26" s="1289">
        <f t="shared" si="0"/>
        <v>0.6</v>
      </c>
      <c r="O26" s="1288">
        <f>N26*C24</f>
        <v>132750000</v>
      </c>
      <c r="P26" s="1290">
        <f>SUM(E54:E58)</f>
        <v>16105000</v>
      </c>
      <c r="Q26" s="1291">
        <f>Q24*3</f>
        <v>10620000</v>
      </c>
      <c r="R26" s="1291">
        <f>R24*3</f>
        <v>12612000</v>
      </c>
      <c r="S26" s="1292">
        <f t="shared" si="8"/>
        <v>11736000</v>
      </c>
      <c r="T26" s="1286"/>
    </row>
    <row r="27" spans="2:20" ht="14.25" customHeight="1">
      <c r="B27" s="1729"/>
      <c r="C27" s="1735"/>
      <c r="D27" s="1735"/>
      <c r="E27" s="1735"/>
      <c r="F27" s="1286">
        <v>48</v>
      </c>
      <c r="G27" s="1286"/>
      <c r="H27" s="1287">
        <v>0.14399999999999999</v>
      </c>
      <c r="I27" s="1287">
        <v>9.9400000000000002E-2</v>
      </c>
      <c r="J27" s="1288">
        <f>G27/$C$24</f>
        <v>0</v>
      </c>
      <c r="K27" s="1293"/>
      <c r="L27" s="1329">
        <v>0.51</v>
      </c>
      <c r="M27" s="1289">
        <f t="shared" si="7"/>
        <v>0.56141582649999999</v>
      </c>
      <c r="N27" s="1289">
        <f t="shared" si="0"/>
        <v>0.54</v>
      </c>
      <c r="O27" s="1288">
        <f>N27*C24</f>
        <v>119475000.00000001</v>
      </c>
      <c r="P27" s="1290">
        <f>SUM(F54:F58)</f>
        <v>20322000</v>
      </c>
      <c r="Q27" s="1294">
        <f>Q24*4</f>
        <v>14160000</v>
      </c>
      <c r="R27" s="1294">
        <f>R24*4</f>
        <v>16816000</v>
      </c>
      <c r="S27" s="1292">
        <f t="shared" si="8"/>
        <v>15648000</v>
      </c>
      <c r="T27" s="1286"/>
    </row>
    <row r="28" spans="2:20" ht="14.25" customHeight="1">
      <c r="B28" s="1730"/>
      <c r="C28" s="1736"/>
      <c r="D28" s="1736"/>
      <c r="E28" s="1736"/>
      <c r="F28" s="1295">
        <v>60</v>
      </c>
      <c r="G28" s="1295"/>
      <c r="H28" s="1296">
        <v>0.14299999999999999</v>
      </c>
      <c r="I28" s="1296">
        <v>9.9199999999999997E-2</v>
      </c>
      <c r="J28" s="1297">
        <f>G28/$C$24</f>
        <v>0</v>
      </c>
      <c r="K28" s="1298"/>
      <c r="L28" s="1330">
        <v>0.48</v>
      </c>
      <c r="M28" s="1299">
        <f t="shared" si="7"/>
        <v>0.48</v>
      </c>
      <c r="N28" s="1299">
        <f t="shared" si="0"/>
        <v>0.48</v>
      </c>
      <c r="O28" s="1297">
        <f>N28*C24</f>
        <v>106200000</v>
      </c>
      <c r="P28" s="1300">
        <f>SUM(G54:G58)</f>
        <v>25115000</v>
      </c>
      <c r="Q28" s="1301">
        <f>Q24*5</f>
        <v>17700000</v>
      </c>
      <c r="R28" s="1301">
        <f>R24*5</f>
        <v>21020000</v>
      </c>
      <c r="S28" s="1302">
        <f t="shared" si="8"/>
        <v>19560000</v>
      </c>
      <c r="T28" s="1295"/>
    </row>
    <row r="33" spans="2:7" ht="12">
      <c r="B33" s="1331" t="s">
        <v>457</v>
      </c>
      <c r="C33" s="1332">
        <v>12</v>
      </c>
      <c r="D33" s="1332">
        <v>24</v>
      </c>
      <c r="E33" s="1332">
        <v>36</v>
      </c>
      <c r="F33" s="1332">
        <v>48</v>
      </c>
      <c r="G33" s="1333">
        <v>60</v>
      </c>
    </row>
    <row r="34" spans="2:7">
      <c r="B34" s="1737" t="s">
        <v>452</v>
      </c>
      <c r="C34" s="1334">
        <v>5647000</v>
      </c>
      <c r="D34" s="1334">
        <v>5228000</v>
      </c>
      <c r="E34" s="1334">
        <v>5228000</v>
      </c>
      <c r="F34" s="1334">
        <v>5228000</v>
      </c>
      <c r="G34" s="1334">
        <v>5228000</v>
      </c>
    </row>
    <row r="35" spans="2:7">
      <c r="B35" s="1729"/>
      <c r="C35" s="1335"/>
      <c r="D35" s="1335">
        <v>5310000</v>
      </c>
      <c r="E35" s="1335">
        <v>4937000</v>
      </c>
      <c r="F35" s="1335">
        <v>4937000</v>
      </c>
      <c r="G35" s="1335">
        <v>4937000</v>
      </c>
    </row>
    <row r="36" spans="2:7">
      <c r="B36" s="1729"/>
      <c r="C36" s="1335"/>
      <c r="D36" s="1335"/>
      <c r="E36" s="1335">
        <v>4805000</v>
      </c>
      <c r="F36" s="1335">
        <v>4396000</v>
      </c>
      <c r="G36" s="1335">
        <v>4396000</v>
      </c>
    </row>
    <row r="37" spans="2:7">
      <c r="B37" s="1729"/>
      <c r="C37" s="1335"/>
      <c r="D37" s="1335"/>
      <c r="E37" s="1335"/>
      <c r="F37" s="1335">
        <v>5194000</v>
      </c>
      <c r="G37" s="1335">
        <v>4815000</v>
      </c>
    </row>
    <row r="38" spans="2:7">
      <c r="B38" s="1730"/>
      <c r="C38" s="1336"/>
      <c r="D38" s="1336"/>
      <c r="E38" s="1336"/>
      <c r="F38" s="1336"/>
      <c r="G38" s="1336">
        <v>4815000</v>
      </c>
    </row>
    <row r="39" spans="2:7">
      <c r="B39" s="1731" t="s">
        <v>453</v>
      </c>
      <c r="C39" s="1337">
        <v>6117000</v>
      </c>
      <c r="D39" s="1337">
        <v>5718000</v>
      </c>
      <c r="E39" s="1337">
        <v>5718000</v>
      </c>
      <c r="F39" s="1337">
        <v>5718000</v>
      </c>
      <c r="G39" s="1337">
        <v>5718000</v>
      </c>
    </row>
    <row r="40" spans="2:7">
      <c r="B40" s="1732"/>
      <c r="C40" s="1338"/>
      <c r="D40" s="1338">
        <v>5053000</v>
      </c>
      <c r="E40" s="1338">
        <v>4697000</v>
      </c>
      <c r="F40" s="1338">
        <v>4697000</v>
      </c>
      <c r="G40" s="1338">
        <v>4697000</v>
      </c>
    </row>
    <row r="41" spans="2:7">
      <c r="B41" s="1732"/>
      <c r="C41" s="1338"/>
      <c r="D41" s="1338"/>
      <c r="E41" s="1338">
        <v>4576000</v>
      </c>
      <c r="F41" s="1338">
        <v>4187000</v>
      </c>
      <c r="G41" s="1338">
        <v>4187000</v>
      </c>
    </row>
    <row r="42" spans="2:7">
      <c r="B42" s="1732"/>
      <c r="C42" s="1338"/>
      <c r="D42" s="1338"/>
      <c r="E42" s="1338"/>
      <c r="F42" s="1338">
        <v>4944000</v>
      </c>
      <c r="G42" s="1338">
        <v>4583000</v>
      </c>
    </row>
    <row r="43" spans="2:7">
      <c r="B43" s="1733"/>
      <c r="C43" s="1339"/>
      <c r="D43" s="1339"/>
      <c r="E43" s="1339"/>
      <c r="F43" s="1339"/>
      <c r="G43" s="1339">
        <v>4585000</v>
      </c>
    </row>
    <row r="44" spans="2:7">
      <c r="B44" s="1728" t="s">
        <v>454</v>
      </c>
      <c r="C44" s="1340">
        <v>6073728.0657534245</v>
      </c>
      <c r="D44" s="1340">
        <v>5624000</v>
      </c>
      <c r="E44" s="1340">
        <v>5624000</v>
      </c>
      <c r="F44" s="1340">
        <v>5624000</v>
      </c>
      <c r="G44" s="1340">
        <v>5624000</v>
      </c>
    </row>
    <row r="45" spans="2:7">
      <c r="B45" s="1729"/>
      <c r="C45" s="1335"/>
      <c r="D45" s="1335">
        <v>5708000</v>
      </c>
      <c r="E45" s="1335">
        <v>5307000</v>
      </c>
      <c r="F45" s="1335">
        <v>5307000</v>
      </c>
      <c r="G45" s="1335">
        <v>5307000</v>
      </c>
    </row>
    <row r="46" spans="2:7">
      <c r="B46" s="1729"/>
      <c r="C46" s="1335"/>
      <c r="D46" s="1335"/>
      <c r="E46" s="1335">
        <v>5072000</v>
      </c>
      <c r="F46" s="1335">
        <v>4721000</v>
      </c>
      <c r="G46" s="1335">
        <v>4721000</v>
      </c>
    </row>
    <row r="47" spans="2:7">
      <c r="B47" s="1729"/>
      <c r="C47" s="1335"/>
      <c r="D47" s="1335"/>
      <c r="E47" s="1335"/>
      <c r="F47" s="1335">
        <v>4542000</v>
      </c>
      <c r="G47" s="1335">
        <v>4134000</v>
      </c>
    </row>
    <row r="48" spans="2:7">
      <c r="B48" s="1730"/>
      <c r="C48" s="1336"/>
      <c r="D48" s="1336"/>
      <c r="E48" s="1336"/>
      <c r="F48" s="1336"/>
      <c r="G48" s="1336">
        <v>5170000</v>
      </c>
    </row>
    <row r="49" spans="2:7">
      <c r="B49" s="1731" t="s">
        <v>455</v>
      </c>
      <c r="C49" s="1337">
        <v>5811000</v>
      </c>
      <c r="D49" s="1337">
        <v>5380000</v>
      </c>
      <c r="E49" s="1337">
        <v>5380000</v>
      </c>
      <c r="F49" s="1337">
        <v>5380000</v>
      </c>
      <c r="G49" s="1337">
        <v>5380000</v>
      </c>
    </row>
    <row r="50" spans="2:7">
      <c r="B50" s="1732"/>
      <c r="C50" s="1338"/>
      <c r="D50" s="1338">
        <v>5463000</v>
      </c>
      <c r="E50" s="1338">
        <v>5079000</v>
      </c>
      <c r="F50" s="1338">
        <v>5079000</v>
      </c>
      <c r="G50" s="1338">
        <v>5079000</v>
      </c>
    </row>
    <row r="51" spans="2:7">
      <c r="B51" s="1732"/>
      <c r="C51" s="1338"/>
      <c r="D51" s="1338"/>
      <c r="E51" s="1338">
        <v>4857000</v>
      </c>
      <c r="F51" s="1338">
        <v>4521000</v>
      </c>
      <c r="G51" s="1338">
        <v>4521000</v>
      </c>
    </row>
    <row r="52" spans="2:7">
      <c r="B52" s="1732"/>
      <c r="C52" s="1338"/>
      <c r="D52" s="1338"/>
      <c r="E52" s="1338"/>
      <c r="F52" s="1338">
        <v>4353000</v>
      </c>
      <c r="G52" s="1338">
        <v>3963000</v>
      </c>
    </row>
    <row r="53" spans="2:7">
      <c r="B53" s="1733"/>
      <c r="C53" s="1339"/>
      <c r="D53" s="1339"/>
      <c r="E53" s="1339"/>
      <c r="F53" s="1339"/>
      <c r="G53" s="1339">
        <v>4951000</v>
      </c>
    </row>
    <row r="54" spans="2:7">
      <c r="B54" s="1728" t="s">
        <v>456</v>
      </c>
      <c r="C54" s="1340">
        <v>6114000</v>
      </c>
      <c r="D54" s="1340">
        <v>5660000</v>
      </c>
      <c r="E54" s="1340">
        <v>5660000</v>
      </c>
      <c r="F54" s="1340">
        <v>5660000</v>
      </c>
      <c r="G54" s="1340">
        <v>5660000</v>
      </c>
    </row>
    <row r="55" spans="2:7">
      <c r="B55" s="1729"/>
      <c r="C55" s="1335"/>
      <c r="D55" s="1335">
        <v>5745000</v>
      </c>
      <c r="E55" s="1335">
        <v>5341000</v>
      </c>
      <c r="F55" s="1335">
        <v>5341000</v>
      </c>
      <c r="G55" s="1335">
        <v>5341000</v>
      </c>
    </row>
    <row r="56" spans="2:7">
      <c r="B56" s="1729"/>
      <c r="C56" s="1335"/>
      <c r="D56" s="1335"/>
      <c r="E56" s="1335">
        <v>5104000</v>
      </c>
      <c r="F56" s="1335">
        <v>4751000</v>
      </c>
      <c r="G56" s="1335">
        <v>4751000</v>
      </c>
    </row>
    <row r="57" spans="2:7">
      <c r="B57" s="1729"/>
      <c r="C57" s="1335"/>
      <c r="D57" s="1335"/>
      <c r="E57" s="1335"/>
      <c r="F57" s="1335">
        <v>4570000</v>
      </c>
      <c r="G57" s="1335">
        <v>4160000</v>
      </c>
    </row>
    <row r="58" spans="2:7">
      <c r="B58" s="1730"/>
      <c r="C58" s="1336"/>
      <c r="D58" s="1336"/>
      <c r="E58" s="1336"/>
      <c r="F58" s="1336"/>
      <c r="G58" s="1336">
        <v>5203000</v>
      </c>
    </row>
  </sheetData>
  <mergeCells count="25">
    <mergeCell ref="B4:B8"/>
    <mergeCell ref="C4:C8"/>
    <mergeCell ref="D4:D8"/>
    <mergeCell ref="E4:E8"/>
    <mergeCell ref="B9:B13"/>
    <mergeCell ref="C9:C13"/>
    <mergeCell ref="D9:D13"/>
    <mergeCell ref="E9:E13"/>
    <mergeCell ref="D24:D28"/>
    <mergeCell ref="E24:E28"/>
    <mergeCell ref="B34:B38"/>
    <mergeCell ref="B39:B43"/>
    <mergeCell ref="B14:B18"/>
    <mergeCell ref="C14:C18"/>
    <mergeCell ref="D14:D18"/>
    <mergeCell ref="E14:E18"/>
    <mergeCell ref="B19:B23"/>
    <mergeCell ref="C19:C23"/>
    <mergeCell ref="D19:D23"/>
    <mergeCell ref="E19:E23"/>
    <mergeCell ref="B44:B48"/>
    <mergeCell ref="B49:B53"/>
    <mergeCell ref="B54:B58"/>
    <mergeCell ref="B24:B28"/>
    <mergeCell ref="C24:C28"/>
  </mergeCells>
  <phoneticPr fontId="69"/>
  <pageMargins left="0.7" right="0.7" top="0.75" bottom="0.75" header="0.3" footer="0.3"/>
  <pageSetup paperSize="8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87"/>
  <sheetViews>
    <sheetView zoomScale="70" zoomScaleNormal="70" workbookViewId="0">
      <selection activeCell="D34" sqref="D34:D38"/>
    </sheetView>
  </sheetViews>
  <sheetFormatPr defaultColWidth="9" defaultRowHeight="11.25" outlineLevelCol="1"/>
  <cols>
    <col min="1" max="1" width="3.42578125" style="929" customWidth="1"/>
    <col min="2" max="2" width="19.85546875" style="929" bestFit="1" customWidth="1"/>
    <col min="3" max="4" width="13.140625" style="929" customWidth="1"/>
    <col min="5" max="5" width="13.140625" style="929" customWidth="1" outlineLevel="1"/>
    <col min="6" max="7" width="13.1406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3.5">
      <c r="A1" s="1273" t="s">
        <v>458</v>
      </c>
    </row>
    <row r="3" spans="1:20" s="1274" customFormat="1" ht="28.5" customHeight="1">
      <c r="B3" s="1275" t="s">
        <v>459</v>
      </c>
      <c r="C3" s="1276" t="s">
        <v>460</v>
      </c>
      <c r="D3" s="1276" t="s">
        <v>438</v>
      </c>
      <c r="E3" s="1276" t="s">
        <v>461</v>
      </c>
      <c r="F3" s="1276" t="s">
        <v>7</v>
      </c>
      <c r="G3" s="1276" t="s">
        <v>440</v>
      </c>
      <c r="H3" s="1276" t="s">
        <v>441</v>
      </c>
      <c r="I3" s="1276" t="s">
        <v>260</v>
      </c>
      <c r="J3" s="1276" t="s">
        <v>442</v>
      </c>
      <c r="K3" s="1276" t="s">
        <v>304</v>
      </c>
      <c r="L3" s="1276" t="s">
        <v>443</v>
      </c>
      <c r="M3" s="1276" t="s">
        <v>444</v>
      </c>
      <c r="N3" s="1277" t="s">
        <v>445</v>
      </c>
      <c r="O3" s="1277" t="s">
        <v>446</v>
      </c>
      <c r="P3" s="1276" t="s">
        <v>447</v>
      </c>
      <c r="Q3" s="1276" t="s">
        <v>448</v>
      </c>
      <c r="R3" s="1276" t="s">
        <v>449</v>
      </c>
      <c r="S3" s="1276" t="s">
        <v>450</v>
      </c>
      <c r="T3" s="1278" t="s">
        <v>451</v>
      </c>
    </row>
    <row r="4" spans="1:20" ht="14.25" customHeight="1">
      <c r="B4" s="1728" t="s">
        <v>462</v>
      </c>
      <c r="C4" s="1734">
        <v>258900000</v>
      </c>
      <c r="D4" s="1734">
        <v>5000000</v>
      </c>
      <c r="E4" s="1734">
        <f>C4-D4</f>
        <v>253900000</v>
      </c>
      <c r="F4" s="1279">
        <v>12</v>
      </c>
      <c r="G4" s="1279"/>
      <c r="H4" s="1280">
        <v>0.151</v>
      </c>
      <c r="I4" s="1280">
        <v>9.7299999999999998E-2</v>
      </c>
      <c r="J4" s="1281">
        <f>G4/$C$4</f>
        <v>0</v>
      </c>
      <c r="K4" s="1279"/>
      <c r="L4" s="1282">
        <v>0.67</v>
      </c>
      <c r="M4" s="1282">
        <f>'Special RV'!D33</f>
        <v>0.85838655460000002</v>
      </c>
      <c r="N4" s="1282">
        <f>ROUND(AVERAGE(L4:M4),2)</f>
        <v>0.76</v>
      </c>
      <c r="O4" s="1281">
        <f>N4*C4</f>
        <v>196764000</v>
      </c>
      <c r="P4" s="1283">
        <f>SUM(C48:C52)</f>
        <v>6972000</v>
      </c>
      <c r="Q4" s="1284">
        <f>ROUNDUP(1.6%*C4,-3)</f>
        <v>4143000</v>
      </c>
      <c r="R4" s="1284">
        <f>ROUNDUP(1.9%*C4,-3)</f>
        <v>4920000</v>
      </c>
      <c r="S4" s="1285">
        <f>386000*F4</f>
        <v>4632000</v>
      </c>
      <c r="T4" s="1279"/>
    </row>
    <row r="5" spans="1:20" ht="14.25" customHeight="1">
      <c r="B5" s="1729"/>
      <c r="C5" s="1735"/>
      <c r="D5" s="1735"/>
      <c r="E5" s="1735"/>
      <c r="F5" s="1286">
        <v>24</v>
      </c>
      <c r="G5" s="1286"/>
      <c r="H5" s="1287">
        <v>0.14499999999999999</v>
      </c>
      <c r="I5" s="1287">
        <v>9.9500000000000005E-2</v>
      </c>
      <c r="J5" s="1288">
        <f>G5/$C$4</f>
        <v>0</v>
      </c>
      <c r="K5" s="1286"/>
      <c r="L5" s="1289">
        <v>0.62</v>
      </c>
      <c r="M5" s="1289">
        <f>'Special RV'!E33</f>
        <v>0.7587899159</v>
      </c>
      <c r="N5" s="1289">
        <f t="shared" ref="N5:N43" si="0">ROUND(AVERAGE(L5:M5),2)</f>
        <v>0.69</v>
      </c>
      <c r="O5" s="1288">
        <f>N5*C4</f>
        <v>178641000</v>
      </c>
      <c r="P5" s="1290">
        <f>SUM(D48:D52)</f>
        <v>12319000</v>
      </c>
      <c r="Q5" s="1291">
        <f>Q4*2</f>
        <v>8286000</v>
      </c>
      <c r="R5" s="1291">
        <f>R4*2</f>
        <v>9840000</v>
      </c>
      <c r="S5" s="1292">
        <f t="shared" ref="S5:S13" si="1">386000*F5</f>
        <v>9264000</v>
      </c>
      <c r="T5" s="1286"/>
    </row>
    <row r="6" spans="1:20" ht="14.25" customHeight="1">
      <c r="B6" s="1729"/>
      <c r="C6" s="1735"/>
      <c r="D6" s="1735"/>
      <c r="E6" s="1735"/>
      <c r="F6" s="1286">
        <v>36</v>
      </c>
      <c r="G6" s="1286"/>
      <c r="H6" s="1287">
        <v>0.14399999999999999</v>
      </c>
      <c r="I6" s="1287">
        <v>9.9699999999999997E-2</v>
      </c>
      <c r="J6" s="1288">
        <f>G6/$C$4</f>
        <v>0</v>
      </c>
      <c r="K6" s="1286"/>
      <c r="L6" s="1289">
        <v>0.57999999999999996</v>
      </c>
      <c r="M6" s="1289">
        <f>'Special RV'!G33</f>
        <v>0.65919327719999998</v>
      </c>
      <c r="N6" s="1289">
        <f t="shared" si="0"/>
        <v>0.62</v>
      </c>
      <c r="O6" s="1288">
        <f>N6*C4</f>
        <v>160518000</v>
      </c>
      <c r="P6" s="1290">
        <f>SUM(E48:E52)</f>
        <v>17715000</v>
      </c>
      <c r="Q6" s="1291">
        <f>Q4*3</f>
        <v>12429000</v>
      </c>
      <c r="R6" s="1291">
        <f>R4*3</f>
        <v>14760000</v>
      </c>
      <c r="S6" s="1292">
        <f t="shared" si="1"/>
        <v>13896000</v>
      </c>
      <c r="T6" s="1286"/>
    </row>
    <row r="7" spans="1:20" ht="14.25" customHeight="1">
      <c r="B7" s="1729"/>
      <c r="C7" s="1735"/>
      <c r="D7" s="1735"/>
      <c r="E7" s="1735"/>
      <c r="F7" s="1286">
        <v>48</v>
      </c>
      <c r="G7" s="1286"/>
      <c r="H7" s="1287">
        <v>0.14399999999999999</v>
      </c>
      <c r="I7" s="1287">
        <v>9.9400000000000002E-2</v>
      </c>
      <c r="J7" s="1288">
        <f>G7/$C$4</f>
        <v>0</v>
      </c>
      <c r="K7" s="1293"/>
      <c r="L7" s="1289">
        <v>0.51</v>
      </c>
      <c r="M7" s="1289">
        <f>'Special RV'!I33</f>
        <v>0.55959663849999997</v>
      </c>
      <c r="N7" s="1289">
        <f t="shared" si="0"/>
        <v>0.53</v>
      </c>
      <c r="O7" s="1288">
        <f>N7*C4</f>
        <v>137217000</v>
      </c>
      <c r="P7" s="1290">
        <f>SUM(F48:F52)</f>
        <v>22448000</v>
      </c>
      <c r="Q7" s="1294">
        <f>Q4*4</f>
        <v>16572000</v>
      </c>
      <c r="R7" s="1294">
        <f>R4*4</f>
        <v>19680000</v>
      </c>
      <c r="S7" s="1292">
        <f t="shared" si="1"/>
        <v>18528000</v>
      </c>
      <c r="T7" s="1286"/>
    </row>
    <row r="8" spans="1:20" ht="14.25" customHeight="1">
      <c r="B8" s="1730"/>
      <c r="C8" s="1736"/>
      <c r="D8" s="1736"/>
      <c r="E8" s="1736"/>
      <c r="F8" s="1295">
        <v>60</v>
      </c>
      <c r="G8" s="1295"/>
      <c r="H8" s="1296">
        <v>0.14299999999999999</v>
      </c>
      <c r="I8" s="1296">
        <v>9.9199999999999997E-2</v>
      </c>
      <c r="J8" s="1297">
        <f>G8/$C$4</f>
        <v>0</v>
      </c>
      <c r="K8" s="1298"/>
      <c r="L8" s="1299">
        <v>0.46</v>
      </c>
      <c r="M8" s="1299">
        <f>L8</f>
        <v>0.46</v>
      </c>
      <c r="N8" s="1299">
        <f t="shared" si="0"/>
        <v>0.46</v>
      </c>
      <c r="O8" s="1297">
        <f>N8*C4</f>
        <v>119094000</v>
      </c>
      <c r="P8" s="1300">
        <f>SUM(G48:G52)</f>
        <v>26836000</v>
      </c>
      <c r="Q8" s="1301">
        <f>Q4*5</f>
        <v>20715000</v>
      </c>
      <c r="R8" s="1301">
        <f>R4*5</f>
        <v>24600000</v>
      </c>
      <c r="S8" s="1302">
        <f t="shared" si="1"/>
        <v>23160000</v>
      </c>
      <c r="T8" s="1295"/>
    </row>
    <row r="9" spans="1:20" ht="14.25" customHeight="1">
      <c r="B9" s="1731" t="s">
        <v>463</v>
      </c>
      <c r="C9" s="1738">
        <v>250200000</v>
      </c>
      <c r="D9" s="1738">
        <v>5000000</v>
      </c>
      <c r="E9" s="1738">
        <f>C9-D9</f>
        <v>245200000</v>
      </c>
      <c r="F9" s="1303">
        <v>12</v>
      </c>
      <c r="G9" s="1303"/>
      <c r="H9" s="1304">
        <v>0.151</v>
      </c>
      <c r="I9" s="1304">
        <v>9.7299999999999998E-2</v>
      </c>
      <c r="J9" s="1305">
        <f>G9/$C$9</f>
        <v>0</v>
      </c>
      <c r="K9" s="1303"/>
      <c r="L9" s="1306">
        <v>0.67</v>
      </c>
      <c r="M9" s="1306">
        <f>M4</f>
        <v>0.85838655460000002</v>
      </c>
      <c r="N9" s="1306">
        <f t="shared" si="0"/>
        <v>0.76</v>
      </c>
      <c r="O9" s="1305">
        <f>N9*C9</f>
        <v>190152000</v>
      </c>
      <c r="P9" s="1307">
        <f>SUM(C53:C57)</f>
        <v>6760000</v>
      </c>
      <c r="Q9" s="1308">
        <f>ROUNDUP(1.6%*C9,-3)</f>
        <v>4004000</v>
      </c>
      <c r="R9" s="1308">
        <f>ROUNDUP(1.9%*C9,-3)</f>
        <v>4754000</v>
      </c>
      <c r="S9" s="1309">
        <f>386000*F9</f>
        <v>4632000</v>
      </c>
      <c r="T9" s="1303"/>
    </row>
    <row r="10" spans="1:20" ht="14.25" customHeight="1">
      <c r="B10" s="1732"/>
      <c r="C10" s="1739"/>
      <c r="D10" s="1739"/>
      <c r="E10" s="1739"/>
      <c r="F10" s="1310">
        <v>24</v>
      </c>
      <c r="G10" s="1310"/>
      <c r="H10" s="1311">
        <v>0.14499999999999999</v>
      </c>
      <c r="I10" s="1311">
        <v>9.9500000000000005E-2</v>
      </c>
      <c r="J10" s="1312">
        <f>G10/$C$9</f>
        <v>0</v>
      </c>
      <c r="K10" s="1310"/>
      <c r="L10" s="1313">
        <v>0.62</v>
      </c>
      <c r="M10" s="1313">
        <f t="shared" ref="M10:M12" si="2">M5</f>
        <v>0.7587899159</v>
      </c>
      <c r="N10" s="1313">
        <f t="shared" si="0"/>
        <v>0.69</v>
      </c>
      <c r="O10" s="1312">
        <f>N10*C9</f>
        <v>172638000</v>
      </c>
      <c r="P10" s="1314">
        <f>SUM(D53:D57)</f>
        <v>11949000</v>
      </c>
      <c r="Q10" s="1315">
        <f>Q9*2</f>
        <v>8008000</v>
      </c>
      <c r="R10" s="1315">
        <f>R9*2</f>
        <v>9508000</v>
      </c>
      <c r="S10" s="1316">
        <f t="shared" si="1"/>
        <v>9264000</v>
      </c>
      <c r="T10" s="1310"/>
    </row>
    <row r="11" spans="1:20" ht="14.25" customHeight="1">
      <c r="B11" s="1732"/>
      <c r="C11" s="1739"/>
      <c r="D11" s="1739"/>
      <c r="E11" s="1739"/>
      <c r="F11" s="1310">
        <v>36</v>
      </c>
      <c r="G11" s="1310"/>
      <c r="H11" s="1311">
        <v>0.14399999999999999</v>
      </c>
      <c r="I11" s="1311">
        <v>9.9699999999999997E-2</v>
      </c>
      <c r="J11" s="1312">
        <f>G11/$C$9</f>
        <v>0</v>
      </c>
      <c r="K11" s="1310"/>
      <c r="L11" s="1313">
        <v>0.57999999999999996</v>
      </c>
      <c r="M11" s="1313">
        <f t="shared" si="2"/>
        <v>0.65919327719999998</v>
      </c>
      <c r="N11" s="1313">
        <f t="shared" si="0"/>
        <v>0.62</v>
      </c>
      <c r="O11" s="1312">
        <f>N11*C9</f>
        <v>155124000</v>
      </c>
      <c r="P11" s="1314">
        <f>SUM(E53:E57)</f>
        <v>17183000</v>
      </c>
      <c r="Q11" s="1315">
        <f>Q9*3</f>
        <v>12012000</v>
      </c>
      <c r="R11" s="1315">
        <f>R9*3</f>
        <v>14262000</v>
      </c>
      <c r="S11" s="1316">
        <f t="shared" si="1"/>
        <v>13896000</v>
      </c>
      <c r="T11" s="1310"/>
    </row>
    <row r="12" spans="1:20" ht="14.25" customHeight="1">
      <c r="B12" s="1732"/>
      <c r="C12" s="1739"/>
      <c r="D12" s="1739"/>
      <c r="E12" s="1739"/>
      <c r="F12" s="1310">
        <v>48</v>
      </c>
      <c r="G12" s="1310"/>
      <c r="H12" s="1311">
        <v>0.14399999999999999</v>
      </c>
      <c r="I12" s="1311">
        <v>9.9400000000000002E-2</v>
      </c>
      <c r="J12" s="1312">
        <f>G12/$C$9</f>
        <v>0</v>
      </c>
      <c r="K12" s="1310"/>
      <c r="L12" s="1313">
        <v>0.51</v>
      </c>
      <c r="M12" s="1313">
        <f t="shared" si="2"/>
        <v>0.55959663849999997</v>
      </c>
      <c r="N12" s="1313">
        <f t="shared" si="0"/>
        <v>0.53</v>
      </c>
      <c r="O12" s="1312">
        <f>N12*C9</f>
        <v>132606000</v>
      </c>
      <c r="P12" s="1314">
        <f>SUM(F53:F57)</f>
        <v>21779000</v>
      </c>
      <c r="Q12" s="1317">
        <f>Q9*4</f>
        <v>16016000</v>
      </c>
      <c r="R12" s="1317">
        <f>R9*4</f>
        <v>19016000</v>
      </c>
      <c r="S12" s="1316">
        <f t="shared" si="1"/>
        <v>18528000</v>
      </c>
      <c r="T12" s="1310"/>
    </row>
    <row r="13" spans="1:20" ht="14.25" customHeight="1">
      <c r="B13" s="1733"/>
      <c r="C13" s="1740"/>
      <c r="D13" s="1740"/>
      <c r="E13" s="1740"/>
      <c r="F13" s="1318">
        <v>60</v>
      </c>
      <c r="G13" s="1318"/>
      <c r="H13" s="1319">
        <v>0.14299999999999999</v>
      </c>
      <c r="I13" s="1319">
        <v>9.9199999999999997E-2</v>
      </c>
      <c r="J13" s="1320">
        <f>G13/$C$9</f>
        <v>0</v>
      </c>
      <c r="K13" s="1318"/>
      <c r="L13" s="1321">
        <v>0.46</v>
      </c>
      <c r="M13" s="1321">
        <f>L13</f>
        <v>0.46</v>
      </c>
      <c r="N13" s="1321">
        <f t="shared" si="0"/>
        <v>0.46</v>
      </c>
      <c r="O13" s="1320">
        <f>N13*C9</f>
        <v>115092000</v>
      </c>
      <c r="P13" s="1322">
        <f>SUM(G53:G57)</f>
        <v>26041000</v>
      </c>
      <c r="Q13" s="1323">
        <f>Q9*5</f>
        <v>20020000</v>
      </c>
      <c r="R13" s="1323">
        <f>R9*5</f>
        <v>23770000</v>
      </c>
      <c r="S13" s="1324">
        <f t="shared" si="1"/>
        <v>23160000</v>
      </c>
      <c r="T13" s="1318"/>
    </row>
    <row r="14" spans="1:20" ht="14.25" customHeight="1">
      <c r="B14" s="1728" t="s">
        <v>464</v>
      </c>
      <c r="C14" s="1734">
        <v>240200000</v>
      </c>
      <c r="D14" s="1734">
        <v>5000000</v>
      </c>
      <c r="E14" s="1734">
        <f>C14-D14</f>
        <v>235200000</v>
      </c>
      <c r="F14" s="1279">
        <v>12</v>
      </c>
      <c r="G14" s="1279"/>
      <c r="H14" s="1280">
        <v>0.151</v>
      </c>
      <c r="I14" s="1280">
        <v>9.7299999999999998E-2</v>
      </c>
      <c r="J14" s="1281">
        <f>G14/$C$14</f>
        <v>0</v>
      </c>
      <c r="K14" s="1279"/>
      <c r="L14" s="1282">
        <v>0.7</v>
      </c>
      <c r="M14" s="1325">
        <f>'Special RV'!D32</f>
        <v>0.86485061510000005</v>
      </c>
      <c r="N14" s="1325">
        <f t="shared" si="0"/>
        <v>0.78</v>
      </c>
      <c r="O14" s="1281">
        <f>N14*C14</f>
        <v>187356000</v>
      </c>
      <c r="P14" s="1283">
        <f>SUM(C58:C62)</f>
        <v>6580000</v>
      </c>
      <c r="Q14" s="1284">
        <f>ROUNDUP(1.6%*C14,-3)</f>
        <v>3844000</v>
      </c>
      <c r="R14" s="1284">
        <f>ROUNDUP(1.9%*C14,-3)</f>
        <v>4564000</v>
      </c>
      <c r="S14" s="1285">
        <f>357000*F14</f>
        <v>4284000</v>
      </c>
      <c r="T14" s="1279"/>
    </row>
    <row r="15" spans="1:20" ht="14.25" customHeight="1">
      <c r="B15" s="1729"/>
      <c r="C15" s="1735"/>
      <c r="D15" s="1735"/>
      <c r="E15" s="1735"/>
      <c r="F15" s="1286">
        <v>24</v>
      </c>
      <c r="G15" s="1286"/>
      <c r="H15" s="1287">
        <v>0.14499999999999999</v>
      </c>
      <c r="I15" s="1287">
        <v>9.9500000000000005E-2</v>
      </c>
      <c r="J15" s="1288">
        <f>G15/$C$14</f>
        <v>0</v>
      </c>
      <c r="K15" s="1286"/>
      <c r="L15" s="1289">
        <v>0.65</v>
      </c>
      <c r="M15" s="1289">
        <f>'Special RV'!E32</f>
        <v>0.77363796129999995</v>
      </c>
      <c r="N15" s="1289">
        <f t="shared" si="0"/>
        <v>0.71</v>
      </c>
      <c r="O15" s="1288">
        <f>N15*C14</f>
        <v>170542000</v>
      </c>
      <c r="P15" s="1290">
        <f>SUM(D58:D62)</f>
        <v>12272000</v>
      </c>
      <c r="Q15" s="1291">
        <f>Q14*2</f>
        <v>7688000</v>
      </c>
      <c r="R15" s="1291">
        <f>R14*2</f>
        <v>9128000</v>
      </c>
      <c r="S15" s="1292">
        <f t="shared" ref="S15:S18" si="3">357000*F15</f>
        <v>8568000</v>
      </c>
      <c r="T15" s="1286"/>
    </row>
    <row r="16" spans="1:20" ht="14.25" customHeight="1">
      <c r="B16" s="1729"/>
      <c r="C16" s="1735"/>
      <c r="D16" s="1735"/>
      <c r="E16" s="1735"/>
      <c r="F16" s="1286">
        <v>36</v>
      </c>
      <c r="G16" s="1286"/>
      <c r="H16" s="1287">
        <v>0.14399999999999999</v>
      </c>
      <c r="I16" s="1287">
        <v>9.9699999999999997E-2</v>
      </c>
      <c r="J16" s="1288">
        <f>G16/$C$14</f>
        <v>0</v>
      </c>
      <c r="K16" s="1286"/>
      <c r="L16" s="1289">
        <v>0.59</v>
      </c>
      <c r="M16" s="1289">
        <f>'Special RV'!G32</f>
        <v>0.68242530749999997</v>
      </c>
      <c r="N16" s="1289">
        <f t="shared" si="0"/>
        <v>0.64</v>
      </c>
      <c r="O16" s="1288">
        <f>N16*C14</f>
        <v>153728000</v>
      </c>
      <c r="P16" s="1290">
        <f>SUM(E58:E62)</f>
        <v>17322000</v>
      </c>
      <c r="Q16" s="1291">
        <f>Q14*3</f>
        <v>11532000</v>
      </c>
      <c r="R16" s="1291">
        <f>R14*3</f>
        <v>13692000</v>
      </c>
      <c r="S16" s="1292">
        <f t="shared" si="3"/>
        <v>12852000</v>
      </c>
      <c r="T16" s="1286"/>
    </row>
    <row r="17" spans="2:20" ht="14.25" customHeight="1">
      <c r="B17" s="1729"/>
      <c r="C17" s="1735"/>
      <c r="D17" s="1735"/>
      <c r="E17" s="1735"/>
      <c r="F17" s="1286">
        <v>48</v>
      </c>
      <c r="G17" s="1286"/>
      <c r="H17" s="1287">
        <v>0.14399999999999999</v>
      </c>
      <c r="I17" s="1287">
        <v>9.9400000000000002E-2</v>
      </c>
      <c r="J17" s="1288">
        <f>G17/$C$14</f>
        <v>0</v>
      </c>
      <c r="K17" s="1286"/>
      <c r="L17" s="1289">
        <v>0.53</v>
      </c>
      <c r="M17" s="1289">
        <f>'Special RV'!I32</f>
        <v>0.59121265369999998</v>
      </c>
      <c r="N17" s="1289">
        <f t="shared" si="0"/>
        <v>0.56000000000000005</v>
      </c>
      <c r="O17" s="1288">
        <f>N17*C14</f>
        <v>134512000</v>
      </c>
      <c r="P17" s="1290">
        <f>SUM(F58:F62)</f>
        <v>21758000</v>
      </c>
      <c r="Q17" s="1294">
        <f>Q14*4</f>
        <v>15376000</v>
      </c>
      <c r="R17" s="1294">
        <f>R14*4</f>
        <v>18256000</v>
      </c>
      <c r="S17" s="1292">
        <f t="shared" si="3"/>
        <v>17136000</v>
      </c>
      <c r="T17" s="1286"/>
    </row>
    <row r="18" spans="2:20" ht="14.25" customHeight="1">
      <c r="B18" s="1730"/>
      <c r="C18" s="1736"/>
      <c r="D18" s="1736"/>
      <c r="E18" s="1736"/>
      <c r="F18" s="1295">
        <v>60</v>
      </c>
      <c r="G18" s="1295"/>
      <c r="H18" s="1296">
        <v>0.14299999999999999</v>
      </c>
      <c r="I18" s="1296">
        <v>9.9199999999999997E-2</v>
      </c>
      <c r="J18" s="1297">
        <f>G18/$C$14</f>
        <v>0</v>
      </c>
      <c r="K18" s="1295"/>
      <c r="L18" s="1299">
        <v>0.5</v>
      </c>
      <c r="M18" s="1299">
        <f>L18</f>
        <v>0.5</v>
      </c>
      <c r="N18" s="1299">
        <f t="shared" si="0"/>
        <v>0.5</v>
      </c>
      <c r="O18" s="1297">
        <f>N18*C14</f>
        <v>120100000</v>
      </c>
      <c r="P18" s="1300">
        <f>SUM(G58:G62)</f>
        <v>25955000</v>
      </c>
      <c r="Q18" s="1301">
        <f>Q14*5</f>
        <v>19220000</v>
      </c>
      <c r="R18" s="1301">
        <f>R14*5</f>
        <v>22820000</v>
      </c>
      <c r="S18" s="1302">
        <f t="shared" si="3"/>
        <v>21420000</v>
      </c>
      <c r="T18" s="1295"/>
    </row>
    <row r="19" spans="2:20" ht="14.25" customHeight="1">
      <c r="B19" s="1731" t="s">
        <v>465</v>
      </c>
      <c r="C19" s="1738">
        <v>238000000</v>
      </c>
      <c r="D19" s="1738">
        <v>5000000</v>
      </c>
      <c r="E19" s="1738">
        <f>C19-D19</f>
        <v>233000000</v>
      </c>
      <c r="F19" s="1303">
        <v>12</v>
      </c>
      <c r="G19" s="1303"/>
      <c r="H19" s="1304">
        <v>0.151</v>
      </c>
      <c r="I19" s="1304">
        <v>9.7299999999999998E-2</v>
      </c>
      <c r="J19" s="1305">
        <f>G19/$C$19</f>
        <v>0</v>
      </c>
      <c r="K19" s="1303"/>
      <c r="L19" s="1306">
        <v>0.67</v>
      </c>
      <c r="M19" s="1306">
        <f>M9</f>
        <v>0.85838655460000002</v>
      </c>
      <c r="N19" s="1306">
        <f t="shared" si="0"/>
        <v>0.76</v>
      </c>
      <c r="O19" s="1305">
        <f>N19*C19</f>
        <v>180880000</v>
      </c>
      <c r="P19" s="1307">
        <f>SUM(C63:C67)</f>
        <v>6526000</v>
      </c>
      <c r="Q19" s="1308">
        <f>ROUNDUP(1.6%*C19,-3)</f>
        <v>3808000</v>
      </c>
      <c r="R19" s="1308">
        <f>ROUNDUP(1.9%*C19,-3)</f>
        <v>4522000</v>
      </c>
      <c r="S19" s="1309">
        <f>386000*F19</f>
        <v>4632000</v>
      </c>
      <c r="T19" s="1303"/>
    </row>
    <row r="20" spans="2:20" ht="14.25" customHeight="1">
      <c r="B20" s="1732"/>
      <c r="C20" s="1739"/>
      <c r="D20" s="1739"/>
      <c r="E20" s="1739"/>
      <c r="F20" s="1310">
        <v>24</v>
      </c>
      <c r="G20" s="1310"/>
      <c r="H20" s="1311">
        <v>0.14499999999999999</v>
      </c>
      <c r="I20" s="1311">
        <v>9.9500000000000005E-2</v>
      </c>
      <c r="J20" s="1312">
        <f>G20/$C$19</f>
        <v>0</v>
      </c>
      <c r="K20" s="1310"/>
      <c r="L20" s="1313">
        <v>0.62</v>
      </c>
      <c r="M20" s="1313">
        <f t="shared" ref="M20:M22" si="4">M10</f>
        <v>0.7587899159</v>
      </c>
      <c r="N20" s="1313">
        <f t="shared" si="0"/>
        <v>0.69</v>
      </c>
      <c r="O20" s="1312">
        <f>N20*C19</f>
        <v>164220000</v>
      </c>
      <c r="P20" s="1314">
        <f>SUM(D63:D67)</f>
        <v>12171000</v>
      </c>
      <c r="Q20" s="1315">
        <f>Q19*2</f>
        <v>7616000</v>
      </c>
      <c r="R20" s="1315">
        <f>R19*2</f>
        <v>9044000</v>
      </c>
      <c r="S20" s="1316">
        <f t="shared" ref="S20:S23" si="5">386000*F20</f>
        <v>9264000</v>
      </c>
      <c r="T20" s="1310"/>
    </row>
    <row r="21" spans="2:20" ht="14.25" customHeight="1">
      <c r="B21" s="1732"/>
      <c r="C21" s="1739"/>
      <c r="D21" s="1739"/>
      <c r="E21" s="1739"/>
      <c r="F21" s="1310">
        <v>36</v>
      </c>
      <c r="G21" s="1310"/>
      <c r="H21" s="1311">
        <v>0.14399999999999999</v>
      </c>
      <c r="I21" s="1311">
        <v>9.9699999999999997E-2</v>
      </c>
      <c r="J21" s="1312">
        <f>G21/$C$19</f>
        <v>0</v>
      </c>
      <c r="K21" s="1310"/>
      <c r="L21" s="1313">
        <v>0.57999999999999996</v>
      </c>
      <c r="M21" s="1313">
        <f t="shared" si="4"/>
        <v>0.65919327719999998</v>
      </c>
      <c r="N21" s="1313">
        <f t="shared" si="0"/>
        <v>0.62</v>
      </c>
      <c r="O21" s="1312">
        <f>N21*C19</f>
        <v>147560000</v>
      </c>
      <c r="P21" s="1314">
        <f>SUM(E63:E67)</f>
        <v>17181000</v>
      </c>
      <c r="Q21" s="1315">
        <f>Q19*3</f>
        <v>11424000</v>
      </c>
      <c r="R21" s="1315">
        <f>R19*3</f>
        <v>13566000</v>
      </c>
      <c r="S21" s="1316">
        <f t="shared" si="5"/>
        <v>13896000</v>
      </c>
      <c r="T21" s="1310"/>
    </row>
    <row r="22" spans="2:20" ht="14.25" customHeight="1">
      <c r="B22" s="1732"/>
      <c r="C22" s="1739"/>
      <c r="D22" s="1739"/>
      <c r="E22" s="1739"/>
      <c r="F22" s="1310">
        <v>48</v>
      </c>
      <c r="G22" s="1310"/>
      <c r="H22" s="1311">
        <v>0.14399999999999999</v>
      </c>
      <c r="I22" s="1311">
        <v>9.9400000000000002E-2</v>
      </c>
      <c r="J22" s="1312">
        <f>G22/$C$19</f>
        <v>0</v>
      </c>
      <c r="K22" s="1310"/>
      <c r="L22" s="1313">
        <v>0.51</v>
      </c>
      <c r="M22" s="1313">
        <f t="shared" si="4"/>
        <v>0.55959663849999997</v>
      </c>
      <c r="N22" s="1313">
        <f t="shared" si="0"/>
        <v>0.53</v>
      </c>
      <c r="O22" s="1312">
        <f>N22*C19</f>
        <v>126140000</v>
      </c>
      <c r="P22" s="1314">
        <f>SUM(F63:F67)</f>
        <v>21582000</v>
      </c>
      <c r="Q22" s="1317">
        <f>Q19*4</f>
        <v>15232000</v>
      </c>
      <c r="R22" s="1317">
        <f>R19*4</f>
        <v>18088000</v>
      </c>
      <c r="S22" s="1316">
        <f t="shared" si="5"/>
        <v>18528000</v>
      </c>
      <c r="T22" s="1310"/>
    </row>
    <row r="23" spans="2:20" ht="14.25" customHeight="1">
      <c r="B23" s="1733"/>
      <c r="C23" s="1740"/>
      <c r="D23" s="1740"/>
      <c r="E23" s="1740"/>
      <c r="F23" s="1318">
        <v>60</v>
      </c>
      <c r="G23" s="1318"/>
      <c r="H23" s="1319">
        <v>0.14299999999999999</v>
      </c>
      <c r="I23" s="1319">
        <v>9.9199999999999997E-2</v>
      </c>
      <c r="J23" s="1320">
        <f>G23/$C$19</f>
        <v>0</v>
      </c>
      <c r="K23" s="1318"/>
      <c r="L23" s="1321">
        <v>0.46</v>
      </c>
      <c r="M23" s="1321">
        <f>L23</f>
        <v>0.46</v>
      </c>
      <c r="N23" s="1321">
        <f t="shared" si="0"/>
        <v>0.46</v>
      </c>
      <c r="O23" s="1320">
        <f>N23*C19</f>
        <v>109480000</v>
      </c>
      <c r="P23" s="1322">
        <f>SUM(G63:G67)</f>
        <v>25745000</v>
      </c>
      <c r="Q23" s="1323">
        <f>Q19*5</f>
        <v>19040000</v>
      </c>
      <c r="R23" s="1323">
        <f>R19*5</f>
        <v>22610000</v>
      </c>
      <c r="S23" s="1324">
        <f t="shared" si="5"/>
        <v>23160000</v>
      </c>
      <c r="T23" s="1318"/>
    </row>
    <row r="24" spans="2:20" ht="14.25" customHeight="1">
      <c r="B24" s="1737" t="s">
        <v>466</v>
      </c>
      <c r="C24" s="1742">
        <v>227600000</v>
      </c>
      <c r="D24" s="1742">
        <v>5000000</v>
      </c>
      <c r="E24" s="1742">
        <f>C24-D24</f>
        <v>222600000</v>
      </c>
      <c r="F24" s="1341">
        <v>12</v>
      </c>
      <c r="G24" s="1341"/>
      <c r="H24" s="1280">
        <v>0.151</v>
      </c>
      <c r="I24" s="1280">
        <v>9.7299999999999998E-2</v>
      </c>
      <c r="J24" s="1342">
        <f>G24/$C$24</f>
        <v>0</v>
      </c>
      <c r="K24" s="1341"/>
      <c r="L24" s="1282">
        <v>0.7</v>
      </c>
      <c r="M24" s="1325">
        <f>M14</f>
        <v>0.86485061510000005</v>
      </c>
      <c r="N24" s="1325">
        <f t="shared" si="0"/>
        <v>0.78</v>
      </c>
      <c r="O24" s="1281">
        <f>N24*C24</f>
        <v>177528000</v>
      </c>
      <c r="P24" s="1283">
        <f>SUM(C68:C72)</f>
        <v>6270000</v>
      </c>
      <c r="Q24" s="1284">
        <f>ROUNDUP(1.6%*C24,-3)</f>
        <v>3642000</v>
      </c>
      <c r="R24" s="1284">
        <f>ROUNDUP(1.9%*C24,-3)</f>
        <v>4325000</v>
      </c>
      <c r="S24" s="1285">
        <f>357000*F24</f>
        <v>4284000</v>
      </c>
      <c r="T24" s="1341"/>
    </row>
    <row r="25" spans="2:20" ht="14.25" customHeight="1">
      <c r="B25" s="1729"/>
      <c r="C25" s="1735"/>
      <c r="D25" s="1735"/>
      <c r="E25" s="1735"/>
      <c r="F25" s="1286">
        <v>24</v>
      </c>
      <c r="G25" s="1286"/>
      <c r="H25" s="1287">
        <v>0.14499999999999999</v>
      </c>
      <c r="I25" s="1287">
        <v>9.9500000000000005E-2</v>
      </c>
      <c r="J25" s="1288">
        <f>G25/$C$24</f>
        <v>0</v>
      </c>
      <c r="K25" s="1286"/>
      <c r="L25" s="1289">
        <v>0.65</v>
      </c>
      <c r="M25" s="1325">
        <f t="shared" ref="M25:M27" si="6">M15</f>
        <v>0.77363796129999995</v>
      </c>
      <c r="N25" s="1289">
        <f t="shared" si="0"/>
        <v>0.71</v>
      </c>
      <c r="O25" s="1288">
        <f>N25*C24</f>
        <v>161596000</v>
      </c>
      <c r="P25" s="1290">
        <f>SUM(D68:D72)</f>
        <v>11696000</v>
      </c>
      <c r="Q25" s="1291">
        <f>Q24*2</f>
        <v>7284000</v>
      </c>
      <c r="R25" s="1291">
        <f>R24*2</f>
        <v>8650000</v>
      </c>
      <c r="S25" s="1292">
        <f t="shared" ref="S25:S28" si="7">357000*F25</f>
        <v>8568000</v>
      </c>
      <c r="T25" s="1286"/>
    </row>
    <row r="26" spans="2:20" ht="14.25" customHeight="1">
      <c r="B26" s="1729"/>
      <c r="C26" s="1735"/>
      <c r="D26" s="1735"/>
      <c r="E26" s="1735"/>
      <c r="F26" s="1286">
        <v>36</v>
      </c>
      <c r="G26" s="1286"/>
      <c r="H26" s="1287">
        <v>0.14399999999999999</v>
      </c>
      <c r="I26" s="1287">
        <v>9.9699999999999997E-2</v>
      </c>
      <c r="J26" s="1288">
        <f>G26/$C$24</f>
        <v>0</v>
      </c>
      <c r="K26" s="1286"/>
      <c r="L26" s="1289">
        <v>0.59</v>
      </c>
      <c r="M26" s="1325">
        <f t="shared" si="6"/>
        <v>0.68242530749999997</v>
      </c>
      <c r="N26" s="1289">
        <f t="shared" si="0"/>
        <v>0.64</v>
      </c>
      <c r="O26" s="1288">
        <f>N26*C24</f>
        <v>145664000</v>
      </c>
      <c r="P26" s="1290">
        <f>SUM(E68:E72)</f>
        <v>16513000</v>
      </c>
      <c r="Q26" s="1291">
        <f>Q24*3</f>
        <v>10926000</v>
      </c>
      <c r="R26" s="1291">
        <f>R24*3</f>
        <v>12975000</v>
      </c>
      <c r="S26" s="1292">
        <f t="shared" si="7"/>
        <v>12852000</v>
      </c>
      <c r="T26" s="1286"/>
    </row>
    <row r="27" spans="2:20" ht="14.25" customHeight="1">
      <c r="B27" s="1729"/>
      <c r="C27" s="1735"/>
      <c r="D27" s="1735"/>
      <c r="E27" s="1735"/>
      <c r="F27" s="1286">
        <v>48</v>
      </c>
      <c r="G27" s="1286"/>
      <c r="H27" s="1287">
        <v>0.14399999999999999</v>
      </c>
      <c r="I27" s="1287">
        <v>9.9400000000000002E-2</v>
      </c>
      <c r="J27" s="1288">
        <f>G27/$C$24</f>
        <v>0</v>
      </c>
      <c r="K27" s="1286"/>
      <c r="L27" s="1289">
        <v>0.53</v>
      </c>
      <c r="M27" s="1325">
        <f t="shared" si="6"/>
        <v>0.59121265369999998</v>
      </c>
      <c r="N27" s="1289">
        <f t="shared" si="0"/>
        <v>0.56000000000000005</v>
      </c>
      <c r="O27" s="1288">
        <f>N27*C24</f>
        <v>127456000.00000001</v>
      </c>
      <c r="P27" s="1290">
        <f>SUM(F68:F72)</f>
        <v>20749000</v>
      </c>
      <c r="Q27" s="1294">
        <f>Q24*4</f>
        <v>14568000</v>
      </c>
      <c r="R27" s="1294">
        <f>R24*4</f>
        <v>17300000</v>
      </c>
      <c r="S27" s="1292">
        <f t="shared" si="7"/>
        <v>17136000</v>
      </c>
      <c r="T27" s="1286"/>
    </row>
    <row r="28" spans="2:20" ht="14.25" customHeight="1">
      <c r="B28" s="1741"/>
      <c r="C28" s="1743"/>
      <c r="D28" s="1743"/>
      <c r="E28" s="1743"/>
      <c r="F28" s="1343">
        <v>60</v>
      </c>
      <c r="G28" s="1343"/>
      <c r="H28" s="1296">
        <v>0.14299999999999999</v>
      </c>
      <c r="I28" s="1296">
        <v>9.9199999999999997E-2</v>
      </c>
      <c r="J28" s="1344">
        <f>G28/$C$24</f>
        <v>0</v>
      </c>
      <c r="K28" s="1343"/>
      <c r="L28" s="1299">
        <v>0.5</v>
      </c>
      <c r="M28" s="1299">
        <f>L28</f>
        <v>0.5</v>
      </c>
      <c r="N28" s="1299">
        <f t="shared" si="0"/>
        <v>0.5</v>
      </c>
      <c r="O28" s="1297">
        <f>N28*C24</f>
        <v>113800000</v>
      </c>
      <c r="P28" s="1300">
        <f>SUM(G68:G72)</f>
        <v>24757000</v>
      </c>
      <c r="Q28" s="1301">
        <f>Q24*5</f>
        <v>18210000</v>
      </c>
      <c r="R28" s="1301">
        <f>R24*5</f>
        <v>21625000</v>
      </c>
      <c r="S28" s="1302">
        <f t="shared" si="7"/>
        <v>21420000</v>
      </c>
      <c r="T28" s="1343"/>
    </row>
    <row r="29" spans="2:20" ht="14.25" customHeight="1">
      <c r="B29" s="1731" t="s">
        <v>467</v>
      </c>
      <c r="C29" s="1738">
        <v>231600000</v>
      </c>
      <c r="D29" s="1738">
        <v>5000000</v>
      </c>
      <c r="E29" s="1738">
        <f>C29-D29</f>
        <v>226600000</v>
      </c>
      <c r="F29" s="1303">
        <v>12</v>
      </c>
      <c r="G29" s="1303"/>
      <c r="H29" s="1304">
        <v>0.151</v>
      </c>
      <c r="I29" s="1304">
        <v>9.7299999999999998E-2</v>
      </c>
      <c r="J29" s="1305">
        <f>G29/$C$29</f>
        <v>0</v>
      </c>
      <c r="K29" s="1303"/>
      <c r="L29" s="1306">
        <v>0.67</v>
      </c>
      <c r="M29" s="1306">
        <f>M19</f>
        <v>0.85838655460000002</v>
      </c>
      <c r="N29" s="1306">
        <f t="shared" si="0"/>
        <v>0.76</v>
      </c>
      <c r="O29" s="1305">
        <f>N29*C29</f>
        <v>176016000</v>
      </c>
      <c r="P29" s="1307">
        <f>SUM(C73:C77)</f>
        <v>6368000</v>
      </c>
      <c r="Q29" s="1308">
        <f>ROUNDUP(1.6%*C29,-3)</f>
        <v>3706000</v>
      </c>
      <c r="R29" s="1308">
        <f>ROUNDUP(1.9%*C29,-3)</f>
        <v>4401000</v>
      </c>
      <c r="S29" s="1309">
        <f>386000*F29</f>
        <v>4632000</v>
      </c>
      <c r="T29" s="1303"/>
    </row>
    <row r="30" spans="2:20" ht="14.25" customHeight="1">
      <c r="B30" s="1732"/>
      <c r="C30" s="1739"/>
      <c r="D30" s="1739"/>
      <c r="E30" s="1739"/>
      <c r="F30" s="1310">
        <v>24</v>
      </c>
      <c r="G30" s="1310"/>
      <c r="H30" s="1311">
        <v>0.14499999999999999</v>
      </c>
      <c r="I30" s="1311">
        <v>9.9500000000000005E-2</v>
      </c>
      <c r="J30" s="1312">
        <f>G30/$C$29</f>
        <v>0</v>
      </c>
      <c r="K30" s="1310"/>
      <c r="L30" s="1313">
        <v>0.62</v>
      </c>
      <c r="M30" s="1313">
        <f t="shared" ref="M30:M32" si="8">M20</f>
        <v>0.7587899159</v>
      </c>
      <c r="N30" s="1313">
        <f t="shared" si="0"/>
        <v>0.69</v>
      </c>
      <c r="O30" s="1312">
        <f>N30*C29</f>
        <v>159804000</v>
      </c>
      <c r="P30" s="1314">
        <f>SUM(D73:D77)</f>
        <v>11878000</v>
      </c>
      <c r="Q30" s="1315">
        <f>Q29*2</f>
        <v>7412000</v>
      </c>
      <c r="R30" s="1315">
        <f>R29*2</f>
        <v>8802000</v>
      </c>
      <c r="S30" s="1316">
        <f t="shared" ref="S30:S33" si="9">386000*F30</f>
        <v>9264000</v>
      </c>
      <c r="T30" s="1310"/>
    </row>
    <row r="31" spans="2:20" ht="14.25" customHeight="1">
      <c r="B31" s="1732"/>
      <c r="C31" s="1739"/>
      <c r="D31" s="1739"/>
      <c r="E31" s="1739"/>
      <c r="F31" s="1310">
        <v>36</v>
      </c>
      <c r="G31" s="1310"/>
      <c r="H31" s="1311">
        <v>0.14399999999999999</v>
      </c>
      <c r="I31" s="1311">
        <v>9.9699999999999997E-2</v>
      </c>
      <c r="J31" s="1312">
        <f>G31/$C$29</f>
        <v>0</v>
      </c>
      <c r="K31" s="1310"/>
      <c r="L31" s="1313">
        <v>0.57999999999999996</v>
      </c>
      <c r="M31" s="1313">
        <f t="shared" si="8"/>
        <v>0.65919327719999998</v>
      </c>
      <c r="N31" s="1313">
        <f t="shared" si="0"/>
        <v>0.62</v>
      </c>
      <c r="O31" s="1312">
        <f>N31*C29</f>
        <v>143592000</v>
      </c>
      <c r="P31" s="1314">
        <f>SUM(E73:E77)</f>
        <v>16769000</v>
      </c>
      <c r="Q31" s="1315">
        <f>Q29*3</f>
        <v>11118000</v>
      </c>
      <c r="R31" s="1315">
        <f>R29*3</f>
        <v>13203000</v>
      </c>
      <c r="S31" s="1316">
        <f t="shared" si="9"/>
        <v>13896000</v>
      </c>
      <c r="T31" s="1310"/>
    </row>
    <row r="32" spans="2:20" ht="14.25" customHeight="1">
      <c r="B32" s="1732"/>
      <c r="C32" s="1739"/>
      <c r="D32" s="1739"/>
      <c r="E32" s="1739"/>
      <c r="F32" s="1310">
        <v>48</v>
      </c>
      <c r="G32" s="1310"/>
      <c r="H32" s="1311">
        <v>0.14399999999999999</v>
      </c>
      <c r="I32" s="1311">
        <v>9.9400000000000002E-2</v>
      </c>
      <c r="J32" s="1312">
        <f>G32/$C$29</f>
        <v>0</v>
      </c>
      <c r="K32" s="1310"/>
      <c r="L32" s="1313">
        <v>0.51</v>
      </c>
      <c r="M32" s="1313">
        <f t="shared" si="8"/>
        <v>0.55959663849999997</v>
      </c>
      <c r="N32" s="1313">
        <f t="shared" si="0"/>
        <v>0.53</v>
      </c>
      <c r="O32" s="1312">
        <f>N32*C29</f>
        <v>122748000</v>
      </c>
      <c r="P32" s="1314">
        <f>SUM(F73:F77)</f>
        <v>21069000</v>
      </c>
      <c r="Q32" s="1317">
        <f>Q29*4</f>
        <v>14824000</v>
      </c>
      <c r="R32" s="1317">
        <f>R29*4</f>
        <v>17604000</v>
      </c>
      <c r="S32" s="1316">
        <f t="shared" si="9"/>
        <v>18528000</v>
      </c>
      <c r="T32" s="1310"/>
    </row>
    <row r="33" spans="2:20" ht="14.25" customHeight="1">
      <c r="B33" s="1733"/>
      <c r="C33" s="1740"/>
      <c r="D33" s="1740"/>
      <c r="E33" s="1740"/>
      <c r="F33" s="1318">
        <v>60</v>
      </c>
      <c r="G33" s="1318"/>
      <c r="H33" s="1319">
        <v>0.14299999999999999</v>
      </c>
      <c r="I33" s="1319">
        <v>9.9199999999999997E-2</v>
      </c>
      <c r="J33" s="1320">
        <f>G33/$C$29</f>
        <v>0</v>
      </c>
      <c r="K33" s="1318"/>
      <c r="L33" s="1321">
        <v>0.46</v>
      </c>
      <c r="M33" s="1321">
        <f>L33</f>
        <v>0.46</v>
      </c>
      <c r="N33" s="1321">
        <f t="shared" si="0"/>
        <v>0.46</v>
      </c>
      <c r="O33" s="1320">
        <f>N33*C29</f>
        <v>106536000</v>
      </c>
      <c r="P33" s="1322">
        <f>SUM(G73:G77)</f>
        <v>25137000</v>
      </c>
      <c r="Q33" s="1323">
        <f>Q29*5</f>
        <v>18530000</v>
      </c>
      <c r="R33" s="1323">
        <f>R29*5</f>
        <v>22005000</v>
      </c>
      <c r="S33" s="1324">
        <f t="shared" si="9"/>
        <v>23160000</v>
      </c>
      <c r="T33" s="1318"/>
    </row>
    <row r="34" spans="2:20" ht="14.25" customHeight="1">
      <c r="B34" s="1737" t="s">
        <v>468</v>
      </c>
      <c r="C34" s="1742">
        <v>220600000</v>
      </c>
      <c r="D34" s="1742">
        <v>5000000</v>
      </c>
      <c r="E34" s="1742">
        <f>C34-D34</f>
        <v>215600000</v>
      </c>
      <c r="F34" s="1341">
        <v>12</v>
      </c>
      <c r="G34" s="1341"/>
      <c r="H34" s="1280">
        <v>0.151</v>
      </c>
      <c r="I34" s="1280">
        <v>9.7299999999999998E-2</v>
      </c>
      <c r="J34" s="1342">
        <f>G34/$C$34</f>
        <v>0</v>
      </c>
      <c r="K34" s="1341"/>
      <c r="L34" s="1282">
        <v>0.7</v>
      </c>
      <c r="M34" s="1325">
        <f>M24</f>
        <v>0.86485061510000005</v>
      </c>
      <c r="N34" s="1325">
        <f t="shared" si="0"/>
        <v>0.78</v>
      </c>
      <c r="O34" s="1281">
        <f>N34*C34</f>
        <v>172068000</v>
      </c>
      <c r="P34" s="1283">
        <f>SUM(C78:C82)</f>
        <v>6098000</v>
      </c>
      <c r="Q34" s="1284">
        <f>ROUNDUP(1.6%*C34,-3)</f>
        <v>3530000</v>
      </c>
      <c r="R34" s="1284">
        <f>ROUNDUP(1.9%*C34,-3)</f>
        <v>4192000</v>
      </c>
      <c r="S34" s="1285">
        <f>357000*F34</f>
        <v>4284000</v>
      </c>
      <c r="T34" s="1341"/>
    </row>
    <row r="35" spans="2:20" ht="14.25" customHeight="1">
      <c r="B35" s="1729"/>
      <c r="C35" s="1735"/>
      <c r="D35" s="1735"/>
      <c r="E35" s="1735"/>
      <c r="F35" s="1286">
        <v>24</v>
      </c>
      <c r="G35" s="1286"/>
      <c r="H35" s="1287">
        <v>0.14499999999999999</v>
      </c>
      <c r="I35" s="1287">
        <v>9.9500000000000005E-2</v>
      </c>
      <c r="J35" s="1288">
        <f>G35/$C$34</f>
        <v>0</v>
      </c>
      <c r="K35" s="1286"/>
      <c r="L35" s="1289">
        <v>0.65</v>
      </c>
      <c r="M35" s="1325">
        <f t="shared" ref="M35:M37" si="10">M25</f>
        <v>0.77363796129999995</v>
      </c>
      <c r="N35" s="1289">
        <f t="shared" si="0"/>
        <v>0.71</v>
      </c>
      <c r="O35" s="1288">
        <f>N35*C34</f>
        <v>156626000</v>
      </c>
      <c r="P35" s="1290">
        <f>SUM(D78:D82)</f>
        <v>11375000</v>
      </c>
      <c r="Q35" s="1291">
        <f>Q34*2</f>
        <v>7060000</v>
      </c>
      <c r="R35" s="1291">
        <f>R34*2</f>
        <v>8384000</v>
      </c>
      <c r="S35" s="1292">
        <f t="shared" ref="S35:S38" si="11">357000*F35</f>
        <v>8568000</v>
      </c>
      <c r="T35" s="1286"/>
    </row>
    <row r="36" spans="2:20" ht="14.25" customHeight="1">
      <c r="B36" s="1729"/>
      <c r="C36" s="1735"/>
      <c r="D36" s="1735"/>
      <c r="E36" s="1735"/>
      <c r="F36" s="1286">
        <v>36</v>
      </c>
      <c r="G36" s="1286"/>
      <c r="H36" s="1287">
        <v>0.14399999999999999</v>
      </c>
      <c r="I36" s="1287">
        <v>9.9699999999999997E-2</v>
      </c>
      <c r="J36" s="1288">
        <f>G36/$C$34</f>
        <v>0</v>
      </c>
      <c r="K36" s="1286"/>
      <c r="L36" s="1289">
        <v>0.59</v>
      </c>
      <c r="M36" s="1325">
        <f t="shared" si="10"/>
        <v>0.68242530749999997</v>
      </c>
      <c r="N36" s="1289">
        <f t="shared" si="0"/>
        <v>0.64</v>
      </c>
      <c r="O36" s="1288">
        <f>N36*C34</f>
        <v>141184000</v>
      </c>
      <c r="P36" s="1290">
        <f>SUM(E78:E82)</f>
        <v>16064000</v>
      </c>
      <c r="Q36" s="1291">
        <f>Q34*3</f>
        <v>10590000</v>
      </c>
      <c r="R36" s="1291">
        <f>R34*3</f>
        <v>12576000</v>
      </c>
      <c r="S36" s="1292">
        <f t="shared" si="11"/>
        <v>12852000</v>
      </c>
      <c r="T36" s="1286"/>
    </row>
    <row r="37" spans="2:20" ht="14.25" customHeight="1">
      <c r="B37" s="1729"/>
      <c r="C37" s="1735"/>
      <c r="D37" s="1735"/>
      <c r="E37" s="1735"/>
      <c r="F37" s="1286">
        <v>48</v>
      </c>
      <c r="G37" s="1286"/>
      <c r="H37" s="1287">
        <v>0.14399999999999999</v>
      </c>
      <c r="I37" s="1287">
        <v>9.9400000000000002E-2</v>
      </c>
      <c r="J37" s="1288">
        <f>G37/$C$34</f>
        <v>0</v>
      </c>
      <c r="K37" s="1286"/>
      <c r="L37" s="1289">
        <v>0.53</v>
      </c>
      <c r="M37" s="1325">
        <f t="shared" si="10"/>
        <v>0.59121265369999998</v>
      </c>
      <c r="N37" s="1289">
        <f t="shared" si="0"/>
        <v>0.56000000000000005</v>
      </c>
      <c r="O37" s="1288">
        <f>N37*C34</f>
        <v>123536000.00000001</v>
      </c>
      <c r="P37" s="1290">
        <f>SUM(F78:F82)</f>
        <v>20270000</v>
      </c>
      <c r="Q37" s="1294">
        <f>Q34*4</f>
        <v>14120000</v>
      </c>
      <c r="R37" s="1294">
        <f>R34*4</f>
        <v>16768000</v>
      </c>
      <c r="S37" s="1292">
        <f t="shared" si="11"/>
        <v>17136000</v>
      </c>
      <c r="T37" s="1286"/>
    </row>
    <row r="38" spans="2:20" ht="14.25" customHeight="1">
      <c r="B38" s="1741"/>
      <c r="C38" s="1743"/>
      <c r="D38" s="1743"/>
      <c r="E38" s="1743"/>
      <c r="F38" s="1343">
        <v>60</v>
      </c>
      <c r="G38" s="1343"/>
      <c r="H38" s="1296">
        <v>0.14299999999999999</v>
      </c>
      <c r="I38" s="1296">
        <v>9.9199999999999997E-2</v>
      </c>
      <c r="J38" s="1344">
        <f>G38/$C$34</f>
        <v>0</v>
      </c>
      <c r="K38" s="1343"/>
      <c r="L38" s="1299">
        <v>0.5</v>
      </c>
      <c r="M38" s="1299">
        <f>L38</f>
        <v>0.5</v>
      </c>
      <c r="N38" s="1299">
        <f t="shared" si="0"/>
        <v>0.5</v>
      </c>
      <c r="O38" s="1297">
        <f>N38*C34</f>
        <v>110300000</v>
      </c>
      <c r="P38" s="1300">
        <f>SUM(G78:G82)</f>
        <v>25052000</v>
      </c>
      <c r="Q38" s="1301">
        <f>Q34*5</f>
        <v>17650000</v>
      </c>
      <c r="R38" s="1301">
        <f>R34*5</f>
        <v>20960000</v>
      </c>
      <c r="S38" s="1302">
        <f t="shared" si="11"/>
        <v>21420000</v>
      </c>
      <c r="T38" s="1343"/>
    </row>
    <row r="39" spans="2:20" ht="14.25" customHeight="1">
      <c r="B39" s="1731" t="s">
        <v>469</v>
      </c>
      <c r="C39" s="1738">
        <v>204100000</v>
      </c>
      <c r="D39" s="1738">
        <v>5000000</v>
      </c>
      <c r="E39" s="1738">
        <f>C39-D39</f>
        <v>199100000</v>
      </c>
      <c r="F39" s="1303">
        <v>12</v>
      </c>
      <c r="G39" s="1303"/>
      <c r="H39" s="1304">
        <v>0.151</v>
      </c>
      <c r="I39" s="1304">
        <v>9.7299999999999998E-2</v>
      </c>
      <c r="J39" s="1305">
        <f>G39/$C$39</f>
        <v>0</v>
      </c>
      <c r="K39" s="1303"/>
      <c r="L39" s="1306">
        <v>0.7</v>
      </c>
      <c r="M39" s="1306">
        <f>M34</f>
        <v>0.86485061510000005</v>
      </c>
      <c r="N39" s="1306">
        <f t="shared" si="0"/>
        <v>0.78</v>
      </c>
      <c r="O39" s="1305">
        <f>N39*C39</f>
        <v>159198000</v>
      </c>
      <c r="P39" s="1307">
        <f>SUM(C83:C87)</f>
        <v>5691000</v>
      </c>
      <c r="Q39" s="1308">
        <f>ROUNDUP(1.6%*C39,-3)</f>
        <v>3266000</v>
      </c>
      <c r="R39" s="1308">
        <f>ROUNDUP(1.9%*C39,-3)</f>
        <v>3878000</v>
      </c>
      <c r="S39" s="1309">
        <f>357000*F39</f>
        <v>4284000</v>
      </c>
      <c r="T39" s="1303"/>
    </row>
    <row r="40" spans="2:20" ht="14.25" customHeight="1">
      <c r="B40" s="1732"/>
      <c r="C40" s="1739"/>
      <c r="D40" s="1739"/>
      <c r="E40" s="1739"/>
      <c r="F40" s="1310">
        <v>24</v>
      </c>
      <c r="G40" s="1310"/>
      <c r="H40" s="1311">
        <v>0.14499999999999999</v>
      </c>
      <c r="I40" s="1311">
        <v>9.9500000000000005E-2</v>
      </c>
      <c r="J40" s="1312">
        <f t="shared" ref="J40:J43" si="12">G40/$C$39</f>
        <v>0</v>
      </c>
      <c r="K40" s="1310"/>
      <c r="L40" s="1313">
        <v>0.65</v>
      </c>
      <c r="M40" s="1313">
        <f t="shared" ref="M40:M42" si="13">M35</f>
        <v>0.77363796129999995</v>
      </c>
      <c r="N40" s="1313">
        <f t="shared" si="0"/>
        <v>0.71</v>
      </c>
      <c r="O40" s="1312">
        <f>N40*C39</f>
        <v>144911000</v>
      </c>
      <c r="P40" s="1314">
        <f>SUM(D83:D87)</f>
        <v>10620000</v>
      </c>
      <c r="Q40" s="1315">
        <f>Q39*2</f>
        <v>6532000</v>
      </c>
      <c r="R40" s="1315">
        <f>R39*2</f>
        <v>7756000</v>
      </c>
      <c r="S40" s="1316">
        <f t="shared" ref="S40:S43" si="14">357000*F40</f>
        <v>8568000</v>
      </c>
      <c r="T40" s="1310"/>
    </row>
    <row r="41" spans="2:20" ht="14.25" customHeight="1">
      <c r="B41" s="1732"/>
      <c r="C41" s="1739"/>
      <c r="D41" s="1739"/>
      <c r="E41" s="1739"/>
      <c r="F41" s="1310">
        <v>36</v>
      </c>
      <c r="G41" s="1310"/>
      <c r="H41" s="1311">
        <v>0.14399999999999999</v>
      </c>
      <c r="I41" s="1311">
        <v>9.9699999999999997E-2</v>
      </c>
      <c r="J41" s="1312">
        <f t="shared" si="12"/>
        <v>0</v>
      </c>
      <c r="K41" s="1310"/>
      <c r="L41" s="1313">
        <v>0.59</v>
      </c>
      <c r="M41" s="1313">
        <f t="shared" si="13"/>
        <v>0.68242530749999997</v>
      </c>
      <c r="N41" s="1313">
        <f t="shared" si="0"/>
        <v>0.64</v>
      </c>
      <c r="O41" s="1312">
        <f>N41*C39</f>
        <v>130624000</v>
      </c>
      <c r="P41" s="1314">
        <f>SUM(E83:E87)</f>
        <v>15086000</v>
      </c>
      <c r="Q41" s="1315">
        <f>Q39*3</f>
        <v>9798000</v>
      </c>
      <c r="R41" s="1315">
        <f>R39*3</f>
        <v>11634000</v>
      </c>
      <c r="S41" s="1316">
        <f t="shared" si="14"/>
        <v>12852000</v>
      </c>
      <c r="T41" s="1310"/>
    </row>
    <row r="42" spans="2:20" ht="14.25" customHeight="1">
      <c r="B42" s="1732"/>
      <c r="C42" s="1739"/>
      <c r="D42" s="1739"/>
      <c r="E42" s="1739"/>
      <c r="F42" s="1310">
        <v>48</v>
      </c>
      <c r="G42" s="1310"/>
      <c r="H42" s="1311">
        <v>0.14399999999999999</v>
      </c>
      <c r="I42" s="1311">
        <v>9.9400000000000002E-2</v>
      </c>
      <c r="J42" s="1312">
        <f t="shared" si="12"/>
        <v>0</v>
      </c>
      <c r="K42" s="1310"/>
      <c r="L42" s="1313">
        <v>0.53</v>
      </c>
      <c r="M42" s="1313">
        <f t="shared" si="13"/>
        <v>0.59121265369999998</v>
      </c>
      <c r="N42" s="1313">
        <f t="shared" si="0"/>
        <v>0.56000000000000005</v>
      </c>
      <c r="O42" s="1312">
        <f>N42*C39</f>
        <v>114296000.00000001</v>
      </c>
      <c r="P42" s="1314">
        <f>SUM(F83:F87)</f>
        <v>19909000</v>
      </c>
      <c r="Q42" s="1317">
        <f>Q39*4</f>
        <v>13064000</v>
      </c>
      <c r="R42" s="1317">
        <f>R39*4</f>
        <v>15512000</v>
      </c>
      <c r="S42" s="1316">
        <f t="shared" si="14"/>
        <v>17136000</v>
      </c>
      <c r="T42" s="1310"/>
    </row>
    <row r="43" spans="2:20" ht="14.25" customHeight="1">
      <c r="B43" s="1733"/>
      <c r="C43" s="1740"/>
      <c r="D43" s="1740"/>
      <c r="E43" s="1740"/>
      <c r="F43" s="1318">
        <v>60</v>
      </c>
      <c r="G43" s="1318"/>
      <c r="H43" s="1319">
        <v>0.14299999999999999</v>
      </c>
      <c r="I43" s="1319">
        <v>9.9199999999999997E-2</v>
      </c>
      <c r="J43" s="1320">
        <f t="shared" si="12"/>
        <v>0</v>
      </c>
      <c r="K43" s="1318"/>
      <c r="L43" s="1321">
        <v>0.5</v>
      </c>
      <c r="M43" s="1321">
        <f>L43</f>
        <v>0.5</v>
      </c>
      <c r="N43" s="1321">
        <f t="shared" si="0"/>
        <v>0.5</v>
      </c>
      <c r="O43" s="1320">
        <f>N43*C39</f>
        <v>102050000</v>
      </c>
      <c r="P43" s="1322">
        <f>SUM(G83:G87)</f>
        <v>24379000</v>
      </c>
      <c r="Q43" s="1323">
        <f>Q39*5</f>
        <v>16330000</v>
      </c>
      <c r="R43" s="1323">
        <f>R39*5</f>
        <v>19390000</v>
      </c>
      <c r="S43" s="1324">
        <f t="shared" si="14"/>
        <v>21420000</v>
      </c>
      <c r="T43" s="1318"/>
    </row>
    <row r="46" spans="2:20" ht="12">
      <c r="I46" s="1345" t="s">
        <v>470</v>
      </c>
    </row>
    <row r="47" spans="2:20" ht="12">
      <c r="B47" s="1331" t="s">
        <v>457</v>
      </c>
      <c r="C47" s="1332">
        <v>12</v>
      </c>
      <c r="D47" s="1332">
        <v>24</v>
      </c>
      <c r="E47" s="1332">
        <v>36</v>
      </c>
      <c r="F47" s="1332">
        <v>48</v>
      </c>
      <c r="G47" s="1333">
        <v>60</v>
      </c>
      <c r="I47" s="1345" t="s">
        <v>471</v>
      </c>
    </row>
    <row r="48" spans="2:20">
      <c r="B48" s="1728" t="s">
        <v>462</v>
      </c>
      <c r="C48" s="1334">
        <v>6972000</v>
      </c>
      <c r="D48" s="1334">
        <v>6518000</v>
      </c>
      <c r="E48" s="1334">
        <v>6518000</v>
      </c>
      <c r="F48" s="1334">
        <v>6518000</v>
      </c>
      <c r="G48" s="1334">
        <v>6518000</v>
      </c>
      <c r="I48" s="1346">
        <v>12660000</v>
      </c>
    </row>
    <row r="49" spans="2:9">
      <c r="B49" s="1729"/>
      <c r="C49" s="1335"/>
      <c r="D49" s="1335">
        <v>5801000</v>
      </c>
      <c r="E49" s="1335">
        <v>5338000</v>
      </c>
      <c r="F49" s="1335">
        <v>5338000</v>
      </c>
      <c r="G49" s="1335">
        <v>5338000</v>
      </c>
      <c r="I49" s="1347"/>
    </row>
    <row r="50" spans="2:9">
      <c r="B50" s="1729"/>
      <c r="C50" s="1335"/>
      <c r="D50" s="1335"/>
      <c r="E50" s="1335">
        <v>5859000</v>
      </c>
      <c r="F50" s="1335">
        <v>5454000</v>
      </c>
      <c r="G50" s="1335">
        <v>5454000</v>
      </c>
      <c r="I50" s="1347"/>
    </row>
    <row r="51" spans="2:9">
      <c r="B51" s="1729"/>
      <c r="C51" s="1335"/>
      <c r="D51" s="1335"/>
      <c r="E51" s="1335"/>
      <c r="F51" s="1335">
        <v>5138000</v>
      </c>
      <c r="G51" s="1335">
        <v>4763000</v>
      </c>
      <c r="I51" s="1347"/>
    </row>
    <row r="52" spans="2:9">
      <c r="B52" s="1730"/>
      <c r="C52" s="1336"/>
      <c r="D52" s="1336"/>
      <c r="E52" s="1336"/>
      <c r="F52" s="1336"/>
      <c r="G52" s="1336">
        <v>4763000</v>
      </c>
      <c r="I52" s="1348"/>
    </row>
    <row r="53" spans="2:9">
      <c r="B53" s="1731" t="s">
        <v>463</v>
      </c>
      <c r="C53" s="1337">
        <v>6760000</v>
      </c>
      <c r="D53" s="1337">
        <v>6320000</v>
      </c>
      <c r="E53" s="1337">
        <v>6320000</v>
      </c>
      <c r="F53" s="1337">
        <v>6320000</v>
      </c>
      <c r="G53" s="1337">
        <v>6320000</v>
      </c>
      <c r="I53" s="1346">
        <v>12498000</v>
      </c>
    </row>
    <row r="54" spans="2:9">
      <c r="B54" s="1732"/>
      <c r="C54" s="1338"/>
      <c r="D54" s="1338">
        <v>5629000</v>
      </c>
      <c r="E54" s="1338">
        <v>5179000</v>
      </c>
      <c r="F54" s="1338">
        <v>5179000</v>
      </c>
      <c r="G54" s="1338">
        <v>5179000</v>
      </c>
      <c r="I54" s="1347"/>
    </row>
    <row r="55" spans="2:9">
      <c r="B55" s="1732"/>
      <c r="C55" s="1338"/>
      <c r="D55" s="1338"/>
      <c r="E55" s="1338">
        <v>5684000</v>
      </c>
      <c r="F55" s="1338">
        <v>5292000</v>
      </c>
      <c r="G55" s="1338">
        <v>5292000</v>
      </c>
      <c r="I55" s="1347"/>
    </row>
    <row r="56" spans="2:9">
      <c r="B56" s="1732"/>
      <c r="C56" s="1338"/>
      <c r="D56" s="1338"/>
      <c r="E56" s="1338"/>
      <c r="F56" s="1338">
        <v>4988000</v>
      </c>
      <c r="G56" s="1338">
        <v>4624000</v>
      </c>
      <c r="I56" s="1347"/>
    </row>
    <row r="57" spans="2:9">
      <c r="B57" s="1733"/>
      <c r="C57" s="1339"/>
      <c r="D57" s="1339"/>
      <c r="E57" s="1339"/>
      <c r="F57" s="1339"/>
      <c r="G57" s="1339">
        <v>4626000</v>
      </c>
      <c r="I57" s="1348"/>
    </row>
    <row r="58" spans="2:9">
      <c r="B58" s="1728" t="s">
        <v>464</v>
      </c>
      <c r="C58" s="1340">
        <v>6580000</v>
      </c>
      <c r="D58" s="1340">
        <v>6092000</v>
      </c>
      <c r="E58" s="1340">
        <v>6092000</v>
      </c>
      <c r="F58" s="1340">
        <v>6092000</v>
      </c>
      <c r="G58" s="1340">
        <v>6092000</v>
      </c>
      <c r="I58" s="1346">
        <v>12298000</v>
      </c>
    </row>
    <row r="59" spans="2:9">
      <c r="B59" s="1729"/>
      <c r="C59" s="1335"/>
      <c r="D59" s="1335">
        <v>6180000</v>
      </c>
      <c r="E59" s="1335">
        <v>5746000</v>
      </c>
      <c r="F59" s="1335">
        <v>5746000</v>
      </c>
      <c r="G59" s="1335">
        <v>5746000</v>
      </c>
      <c r="I59" s="1347"/>
    </row>
    <row r="60" spans="2:9">
      <c r="B60" s="1729"/>
      <c r="C60" s="1335"/>
      <c r="D60" s="1335"/>
      <c r="E60" s="1335">
        <v>5484000</v>
      </c>
      <c r="F60" s="1335">
        <v>5105000</v>
      </c>
      <c r="G60" s="1335">
        <v>5105000</v>
      </c>
      <c r="I60" s="1347"/>
    </row>
    <row r="61" spans="2:9">
      <c r="B61" s="1729"/>
      <c r="C61" s="1335"/>
      <c r="D61" s="1335"/>
      <c r="E61" s="1335"/>
      <c r="F61" s="1335">
        <v>4815000</v>
      </c>
      <c r="G61" s="1335">
        <v>4464000</v>
      </c>
      <c r="I61" s="1347"/>
    </row>
    <row r="62" spans="2:9">
      <c r="B62" s="1730"/>
      <c r="C62" s="1336"/>
      <c r="D62" s="1336"/>
      <c r="E62" s="1336"/>
      <c r="F62" s="1336"/>
      <c r="G62" s="1336">
        <v>4548000</v>
      </c>
      <c r="I62" s="1348"/>
    </row>
    <row r="63" spans="2:9">
      <c r="B63" s="1731" t="s">
        <v>465</v>
      </c>
      <c r="C63" s="1337">
        <v>6526000</v>
      </c>
      <c r="D63" s="1337">
        <v>6042000</v>
      </c>
      <c r="E63" s="1337">
        <v>6042000</v>
      </c>
      <c r="F63" s="1337">
        <v>6042000</v>
      </c>
      <c r="G63" s="1337">
        <v>6042000</v>
      </c>
      <c r="I63" s="1346">
        <v>12280000</v>
      </c>
    </row>
    <row r="64" spans="2:9">
      <c r="B64" s="1732"/>
      <c r="C64" s="1338"/>
      <c r="D64" s="1338">
        <v>6129000</v>
      </c>
      <c r="E64" s="1338">
        <v>5699000</v>
      </c>
      <c r="F64" s="1338">
        <v>5699000</v>
      </c>
      <c r="G64" s="1338">
        <v>5699000</v>
      </c>
      <c r="I64" s="1347"/>
    </row>
    <row r="65" spans="2:9">
      <c r="B65" s="1732"/>
      <c r="C65" s="1338"/>
      <c r="D65" s="1338"/>
      <c r="E65" s="1338">
        <v>5440000</v>
      </c>
      <c r="F65" s="1338">
        <v>5064000</v>
      </c>
      <c r="G65" s="1338">
        <v>5064000</v>
      </c>
      <c r="I65" s="1347"/>
    </row>
    <row r="66" spans="2:9">
      <c r="B66" s="1732"/>
      <c r="C66" s="1338"/>
      <c r="D66" s="1338"/>
      <c r="E66" s="1338"/>
      <c r="F66" s="1338">
        <v>4777000</v>
      </c>
      <c r="G66" s="1338">
        <v>4428000</v>
      </c>
      <c r="I66" s="1347"/>
    </row>
    <row r="67" spans="2:9">
      <c r="B67" s="1733"/>
      <c r="C67" s="1339"/>
      <c r="D67" s="1339"/>
      <c r="E67" s="1339"/>
      <c r="F67" s="1339"/>
      <c r="G67" s="1339">
        <v>4512000</v>
      </c>
      <c r="I67" s="1348"/>
    </row>
    <row r="68" spans="2:9">
      <c r="B68" s="1737" t="s">
        <v>466</v>
      </c>
      <c r="C68" s="1340">
        <v>6270000</v>
      </c>
      <c r="D68" s="1340">
        <v>5805000</v>
      </c>
      <c r="E68" s="1340">
        <v>5805000</v>
      </c>
      <c r="F68" s="1340">
        <v>5805000</v>
      </c>
      <c r="G68" s="1340">
        <v>5805000</v>
      </c>
      <c r="I68" s="1346">
        <v>14592000</v>
      </c>
    </row>
    <row r="69" spans="2:9">
      <c r="B69" s="1729"/>
      <c r="C69" s="1335"/>
      <c r="D69" s="1335">
        <v>5891000</v>
      </c>
      <c r="E69" s="1335">
        <v>5477000</v>
      </c>
      <c r="F69" s="1335">
        <v>5477000</v>
      </c>
      <c r="G69" s="1335">
        <v>5477000</v>
      </c>
      <c r="I69" s="1347"/>
    </row>
    <row r="70" spans="2:9">
      <c r="B70" s="1729"/>
      <c r="C70" s="1335"/>
      <c r="D70" s="1335"/>
      <c r="E70" s="1335">
        <v>5231000</v>
      </c>
      <c r="F70" s="1335">
        <v>4869000</v>
      </c>
      <c r="G70" s="1335">
        <v>4869000</v>
      </c>
      <c r="I70" s="1347"/>
    </row>
    <row r="71" spans="2:9">
      <c r="B71" s="1729"/>
      <c r="C71" s="1335"/>
      <c r="D71" s="1335"/>
      <c r="E71" s="1335"/>
      <c r="F71" s="1335">
        <v>4598000</v>
      </c>
      <c r="G71" s="1335">
        <v>4262000</v>
      </c>
      <c r="I71" s="1347"/>
    </row>
    <row r="72" spans="2:9">
      <c r="B72" s="1741"/>
      <c r="C72" s="1336"/>
      <c r="D72" s="1336"/>
      <c r="E72" s="1336"/>
      <c r="F72" s="1336"/>
      <c r="G72" s="1336">
        <v>4344000</v>
      </c>
      <c r="I72" s="1348"/>
    </row>
    <row r="73" spans="2:9">
      <c r="B73" s="1731" t="s">
        <v>467</v>
      </c>
      <c r="C73" s="1337">
        <v>6368000</v>
      </c>
      <c r="D73" s="1337">
        <v>5896000</v>
      </c>
      <c r="E73" s="1337">
        <v>5896000</v>
      </c>
      <c r="F73" s="1337">
        <v>5896000</v>
      </c>
      <c r="G73" s="1337">
        <v>5896000</v>
      </c>
      <c r="I73" s="1346">
        <v>12200000</v>
      </c>
    </row>
    <row r="74" spans="2:9">
      <c r="B74" s="1732"/>
      <c r="C74" s="1338"/>
      <c r="D74" s="1338">
        <v>5982000</v>
      </c>
      <c r="E74" s="1338">
        <v>5562000</v>
      </c>
      <c r="F74" s="1338">
        <v>5562000</v>
      </c>
      <c r="G74" s="1338">
        <v>5562000</v>
      </c>
      <c r="I74" s="1347"/>
    </row>
    <row r="75" spans="2:9">
      <c r="B75" s="1732"/>
      <c r="C75" s="1338"/>
      <c r="D75" s="1338"/>
      <c r="E75" s="1338">
        <v>5311000</v>
      </c>
      <c r="F75" s="1338">
        <v>4944000</v>
      </c>
      <c r="G75" s="1338">
        <v>4944000</v>
      </c>
      <c r="I75" s="1347"/>
    </row>
    <row r="76" spans="2:9">
      <c r="B76" s="1732"/>
      <c r="C76" s="1338"/>
      <c r="D76" s="1338"/>
      <c r="E76" s="1338"/>
      <c r="F76" s="1338">
        <v>4667000</v>
      </c>
      <c r="G76" s="1338">
        <v>4326000</v>
      </c>
      <c r="I76" s="1347"/>
    </row>
    <row r="77" spans="2:9">
      <c r="B77" s="1733"/>
      <c r="C77" s="1339"/>
      <c r="D77" s="1339"/>
      <c r="E77" s="1339"/>
      <c r="F77" s="1339"/>
      <c r="G77" s="1339">
        <v>4409000</v>
      </c>
      <c r="I77" s="1348"/>
    </row>
    <row r="78" spans="2:9">
      <c r="B78" s="1737" t="s">
        <v>468</v>
      </c>
      <c r="C78" s="1340">
        <v>6098000</v>
      </c>
      <c r="D78" s="1340">
        <v>5645000</v>
      </c>
      <c r="E78" s="1340">
        <v>5645000</v>
      </c>
      <c r="F78" s="1340">
        <v>5645000</v>
      </c>
      <c r="G78" s="1340">
        <v>5645000</v>
      </c>
      <c r="I78" s="1346">
        <v>14480000</v>
      </c>
    </row>
    <row r="79" spans="2:9">
      <c r="B79" s="1729"/>
      <c r="C79" s="1335"/>
      <c r="D79" s="1335">
        <v>5730000</v>
      </c>
      <c r="E79" s="1335">
        <v>5328000</v>
      </c>
      <c r="F79" s="1335">
        <v>5328000</v>
      </c>
      <c r="G79" s="1335">
        <v>5328000</v>
      </c>
      <c r="I79" s="1347"/>
    </row>
    <row r="80" spans="2:9">
      <c r="B80" s="1729"/>
      <c r="C80" s="1335"/>
      <c r="D80" s="1335"/>
      <c r="E80" s="1335">
        <v>5091000</v>
      </c>
      <c r="F80" s="1335">
        <v>4739000</v>
      </c>
      <c r="G80" s="1335">
        <v>4739000</v>
      </c>
      <c r="I80" s="1347"/>
    </row>
    <row r="81" spans="2:9">
      <c r="B81" s="1729"/>
      <c r="C81" s="1335"/>
      <c r="D81" s="1335"/>
      <c r="E81" s="1335"/>
      <c r="F81" s="1335">
        <v>4558000</v>
      </c>
      <c r="G81" s="1335">
        <v>4150000</v>
      </c>
      <c r="I81" s="1347"/>
    </row>
    <row r="82" spans="2:9">
      <c r="B82" s="1741"/>
      <c r="C82" s="1336"/>
      <c r="D82" s="1336"/>
      <c r="E82" s="1336"/>
      <c r="F82" s="1336"/>
      <c r="G82" s="1336">
        <v>5190000</v>
      </c>
      <c r="I82" s="1348"/>
    </row>
    <row r="83" spans="2:9">
      <c r="B83" s="1731" t="s">
        <v>469</v>
      </c>
      <c r="C83" s="1337">
        <v>5691000</v>
      </c>
      <c r="D83" s="1337">
        <v>5269000</v>
      </c>
      <c r="E83" s="1337">
        <v>5269000</v>
      </c>
      <c r="F83" s="1337">
        <v>5269000</v>
      </c>
      <c r="G83" s="1337">
        <v>5269000</v>
      </c>
      <c r="I83" s="1346">
        <v>11674000</v>
      </c>
    </row>
    <row r="84" spans="2:9">
      <c r="B84" s="1732"/>
      <c r="C84" s="1338"/>
      <c r="D84" s="1338">
        <v>5351000</v>
      </c>
      <c r="E84" s="1338">
        <v>4975000</v>
      </c>
      <c r="F84" s="1338">
        <v>4975000</v>
      </c>
      <c r="G84" s="1338">
        <v>4975000</v>
      </c>
      <c r="I84" s="1349"/>
    </row>
    <row r="85" spans="2:9">
      <c r="B85" s="1732"/>
      <c r="C85" s="1338"/>
      <c r="D85" s="1338"/>
      <c r="E85" s="1338">
        <v>4842000</v>
      </c>
      <c r="F85" s="1338">
        <v>4430000</v>
      </c>
      <c r="G85" s="1338">
        <v>4430000</v>
      </c>
      <c r="I85" s="1349"/>
    </row>
    <row r="86" spans="2:9">
      <c r="B86" s="1732"/>
      <c r="C86" s="1338"/>
      <c r="D86" s="1338"/>
      <c r="E86" s="1338"/>
      <c r="F86" s="1338">
        <v>5235000</v>
      </c>
      <c r="G86" s="1338">
        <v>4853000</v>
      </c>
      <c r="I86" s="1349"/>
    </row>
    <row r="87" spans="2:9">
      <c r="B87" s="1733"/>
      <c r="C87" s="1339"/>
      <c r="D87" s="1339"/>
      <c r="E87" s="1339"/>
      <c r="F87" s="1339"/>
      <c r="G87" s="1339">
        <v>4852000</v>
      </c>
      <c r="I87" s="1350"/>
    </row>
  </sheetData>
  <mergeCells count="40">
    <mergeCell ref="B4:B8"/>
    <mergeCell ref="C4:C8"/>
    <mergeCell ref="D4:D8"/>
    <mergeCell ref="E4:E8"/>
    <mergeCell ref="B9:B13"/>
    <mergeCell ref="C9:C13"/>
    <mergeCell ref="D9:D13"/>
    <mergeCell ref="E9:E13"/>
    <mergeCell ref="B14:B18"/>
    <mergeCell ref="C14:C18"/>
    <mergeCell ref="D14:D18"/>
    <mergeCell ref="E14:E18"/>
    <mergeCell ref="B19:B23"/>
    <mergeCell ref="C19:C23"/>
    <mergeCell ref="D19:D23"/>
    <mergeCell ref="E19:E23"/>
    <mergeCell ref="B24:B28"/>
    <mergeCell ref="C24:C28"/>
    <mergeCell ref="D24:D28"/>
    <mergeCell ref="E24:E28"/>
    <mergeCell ref="B29:B33"/>
    <mergeCell ref="C29:C33"/>
    <mergeCell ref="D29:D33"/>
    <mergeCell ref="E29:E33"/>
    <mergeCell ref="B34:B38"/>
    <mergeCell ref="C34:C38"/>
    <mergeCell ref="D34:D38"/>
    <mergeCell ref="E34:E38"/>
    <mergeCell ref="B39:B43"/>
    <mergeCell ref="C39:C43"/>
    <mergeCell ref="D39:D43"/>
    <mergeCell ref="E39:E43"/>
    <mergeCell ref="B78:B82"/>
    <mergeCell ref="B83:B87"/>
    <mergeCell ref="B48:B52"/>
    <mergeCell ref="B53:B57"/>
    <mergeCell ref="B58:B62"/>
    <mergeCell ref="B63:B67"/>
    <mergeCell ref="B68:B72"/>
    <mergeCell ref="B73:B77"/>
  </mergeCells>
  <phoneticPr fontId="69"/>
  <pageMargins left="0.7" right="0.7" top="0.75" bottom="0.75" header="0.3" footer="0.3"/>
  <pageSetup paperSize="9" scale="4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workbookViewId="0">
      <selection activeCell="D2" sqref="D2:D14"/>
    </sheetView>
  </sheetViews>
  <sheetFormatPr defaultRowHeight="15"/>
  <cols>
    <col min="3" max="3" width="10.42578125" bestFit="1" customWidth="1"/>
    <col min="4" max="6" width="11.7109375" bestFit="1" customWidth="1"/>
  </cols>
  <sheetData>
    <row r="1" spans="2:6">
      <c r="B1" s="1352" t="s">
        <v>137</v>
      </c>
      <c r="C1" s="1353" t="s">
        <v>472</v>
      </c>
      <c r="D1" s="1353" t="s">
        <v>473</v>
      </c>
      <c r="E1" s="1354" t="s">
        <v>474</v>
      </c>
      <c r="F1" s="1355" t="s">
        <v>475</v>
      </c>
    </row>
    <row r="2" spans="2:6">
      <c r="B2" s="1357">
        <v>0</v>
      </c>
      <c r="C2" s="1358"/>
      <c r="D2" s="1359">
        <f>Input　seet!D25</f>
        <v>208311712.39942348</v>
      </c>
      <c r="E2" s="1356"/>
      <c r="F2" s="1351"/>
    </row>
    <row r="3" spans="2:6">
      <c r="B3" s="1357">
        <f>B2+1</f>
        <v>1</v>
      </c>
      <c r="C3" s="1360">
        <f>-($D$2*0.7)*0.25/12</f>
        <v>-3037879.1391582587</v>
      </c>
      <c r="D3" s="1359">
        <f>D2+C3</f>
        <v>205273833.26026523</v>
      </c>
      <c r="E3" s="1356"/>
      <c r="F3" s="1351"/>
    </row>
    <row r="4" spans="2:6">
      <c r="B4" s="1357">
        <f t="shared" ref="B4:B62" si="0">B3+1</f>
        <v>2</v>
      </c>
      <c r="C4" s="1360">
        <f>IF(B4&gt;Input　seet!$D$6,0,IF(Sheet5!B4&gt;48,0,Sheet5!C3))</f>
        <v>-3037879.1391582587</v>
      </c>
      <c r="D4" s="1359">
        <f t="shared" ref="D4:D37" si="1">D3+C4</f>
        <v>202235954.12110698</v>
      </c>
      <c r="E4" s="1356"/>
      <c r="F4" s="1351"/>
    </row>
    <row r="5" spans="2:6">
      <c r="B5" s="1357">
        <f t="shared" si="0"/>
        <v>3</v>
      </c>
      <c r="C5" s="1360">
        <f>IF(B5&gt;Input　seet!$D$6,0,IF(Sheet5!B5&gt;48,0,Sheet5!C4))</f>
        <v>-3037879.1391582587</v>
      </c>
      <c r="D5" s="1359">
        <f t="shared" si="1"/>
        <v>199198074.98194873</v>
      </c>
      <c r="E5" s="1356"/>
      <c r="F5" s="1351"/>
    </row>
    <row r="6" spans="2:6">
      <c r="B6" s="1357">
        <f t="shared" si="0"/>
        <v>4</v>
      </c>
      <c r="C6" s="1360">
        <f>IF(B6&gt;Input　seet!$D$6,0,IF(Sheet5!B6&gt;48,0,Sheet5!C5))</f>
        <v>-3037879.1391582587</v>
      </c>
      <c r="D6" s="1359">
        <f t="shared" si="1"/>
        <v>196160195.84279048</v>
      </c>
      <c r="E6" s="1356"/>
      <c r="F6" s="1351"/>
    </row>
    <row r="7" spans="2:6">
      <c r="B7" s="1357">
        <f t="shared" si="0"/>
        <v>5</v>
      </c>
      <c r="C7" s="1360">
        <f>IF(B7&gt;Input　seet!$D$6,0,IF(Sheet5!B7&gt;48,0,Sheet5!C6))</f>
        <v>-3037879.1391582587</v>
      </c>
      <c r="D7" s="1359">
        <f t="shared" si="1"/>
        <v>193122316.70363224</v>
      </c>
      <c r="E7" s="1356"/>
      <c r="F7" s="1351"/>
    </row>
    <row r="8" spans="2:6">
      <c r="B8" s="1357">
        <f t="shared" si="0"/>
        <v>6</v>
      </c>
      <c r="C8" s="1360">
        <f>IF(B8&gt;Input　seet!$D$6,0,IF(Sheet5!B8&gt;48,0,Sheet5!C7))</f>
        <v>-3037879.1391582587</v>
      </c>
      <c r="D8" s="1359">
        <f t="shared" si="1"/>
        <v>190084437.56447399</v>
      </c>
      <c r="E8" s="1356"/>
      <c r="F8" s="1351"/>
    </row>
    <row r="9" spans="2:6">
      <c r="B9" s="1357">
        <f t="shared" si="0"/>
        <v>7</v>
      </c>
      <c r="C9" s="1360">
        <f>IF(B9&gt;Input　seet!$D$6,0,IF(Sheet5!B9&gt;48,0,Sheet5!C8))</f>
        <v>-3037879.1391582587</v>
      </c>
      <c r="D9" s="1359">
        <f t="shared" si="1"/>
        <v>187046558.42531574</v>
      </c>
      <c r="E9" s="1356"/>
      <c r="F9" s="1351"/>
    </row>
    <row r="10" spans="2:6">
      <c r="B10" s="1357">
        <f t="shared" si="0"/>
        <v>8</v>
      </c>
      <c r="C10" s="1360">
        <f>IF(B10&gt;Input　seet!$D$6,0,IF(Sheet5!B10&gt;48,0,Sheet5!C9))</f>
        <v>-3037879.1391582587</v>
      </c>
      <c r="D10" s="1359">
        <f t="shared" si="1"/>
        <v>184008679.28615749</v>
      </c>
      <c r="E10" s="1356"/>
      <c r="F10" s="1351"/>
    </row>
    <row r="11" spans="2:6">
      <c r="B11" s="1357">
        <f t="shared" si="0"/>
        <v>9</v>
      </c>
      <c r="C11" s="1360">
        <f>IF(B11&gt;Input　seet!$D$6,0,IF(Sheet5!B11&gt;48,0,Sheet5!C10))</f>
        <v>-3037879.1391582587</v>
      </c>
      <c r="D11" s="1359">
        <f t="shared" si="1"/>
        <v>180970800.14699924</v>
      </c>
      <c r="E11" s="1356"/>
      <c r="F11" s="1351"/>
    </row>
    <row r="12" spans="2:6">
      <c r="B12" s="1357">
        <f t="shared" si="0"/>
        <v>10</v>
      </c>
      <c r="C12" s="1360">
        <f>IF(B12&gt;Input　seet!$D$6,0,IF(Sheet5!B12&gt;48,0,Sheet5!C11))</f>
        <v>-3037879.1391582587</v>
      </c>
      <c r="D12" s="1359">
        <f t="shared" si="1"/>
        <v>177932921.00784099</v>
      </c>
      <c r="E12" s="1356"/>
      <c r="F12" s="1351"/>
    </row>
    <row r="13" spans="2:6">
      <c r="B13" s="1357">
        <f t="shared" si="0"/>
        <v>11</v>
      </c>
      <c r="C13" s="1360">
        <f>IF(B13&gt;Input　seet!$D$6,0,IF(Sheet5!B13&gt;48,0,Sheet5!C12))</f>
        <v>-3037879.1391582587</v>
      </c>
      <c r="D13" s="1359">
        <f t="shared" si="1"/>
        <v>174895041.86868274</v>
      </c>
      <c r="E13" s="1356"/>
      <c r="F13" s="1351"/>
    </row>
    <row r="14" spans="2:6">
      <c r="B14" s="1361">
        <f t="shared" si="0"/>
        <v>12</v>
      </c>
      <c r="C14" s="1360">
        <f>IF(B14&gt;Input　seet!$D$6,0,IF(Sheet5!B14&gt;48,0,Sheet5!C13))</f>
        <v>-3037879.1391582587</v>
      </c>
      <c r="D14" s="1362">
        <f t="shared" si="1"/>
        <v>171857162.72952449</v>
      </c>
      <c r="E14" s="1363"/>
      <c r="F14" s="1364"/>
    </row>
    <row r="15" spans="2:6">
      <c r="B15" s="1357">
        <f t="shared" si="0"/>
        <v>13</v>
      </c>
      <c r="C15" s="1360">
        <f>IF(B15&gt;Input　seet!$D$6,0,IF(Sheet5!B15&gt;48,0,Sheet5!C14))</f>
        <v>-3037879.1391582587</v>
      </c>
      <c r="D15" s="1359">
        <f t="shared" si="1"/>
        <v>168819283.59036624</v>
      </c>
      <c r="E15" s="1356"/>
      <c r="F15" s="1351"/>
    </row>
    <row r="16" spans="2:6">
      <c r="B16" s="1357">
        <f t="shared" si="0"/>
        <v>14</v>
      </c>
      <c r="C16" s="1360">
        <f>IF(B16&gt;Input　seet!$D$6,0,IF(Sheet5!B16&gt;48,0,Sheet5!C15))</f>
        <v>-3037879.1391582587</v>
      </c>
      <c r="D16" s="1359">
        <f t="shared" si="1"/>
        <v>165781404.451208</v>
      </c>
      <c r="E16" s="1356"/>
      <c r="F16" s="1351"/>
    </row>
    <row r="17" spans="2:6">
      <c r="B17" s="1357">
        <f t="shared" si="0"/>
        <v>15</v>
      </c>
      <c r="C17" s="1360">
        <f>IF(B17&gt;Input　seet!$D$6,0,IF(Sheet5!B17&gt;48,0,Sheet5!C16))</f>
        <v>-3037879.1391582587</v>
      </c>
      <c r="D17" s="1359">
        <f t="shared" si="1"/>
        <v>162743525.31204975</v>
      </c>
      <c r="E17" s="1356"/>
      <c r="F17" s="1351"/>
    </row>
    <row r="18" spans="2:6">
      <c r="B18" s="1357">
        <f t="shared" si="0"/>
        <v>16</v>
      </c>
      <c r="C18" s="1360">
        <f>IF(B18&gt;Input　seet!$D$6,0,IF(Sheet5!B18&gt;48,0,Sheet5!C17))</f>
        <v>-3037879.1391582587</v>
      </c>
      <c r="D18" s="1359">
        <f t="shared" si="1"/>
        <v>159705646.1728915</v>
      </c>
      <c r="E18" s="1356"/>
      <c r="F18" s="1351"/>
    </row>
    <row r="19" spans="2:6">
      <c r="B19" s="1357">
        <f t="shared" si="0"/>
        <v>17</v>
      </c>
      <c r="C19" s="1360">
        <f>IF(B19&gt;Input　seet!$D$6,0,IF(Sheet5!B19&gt;48,0,Sheet5!C18))</f>
        <v>-3037879.1391582587</v>
      </c>
      <c r="D19" s="1359">
        <f t="shared" si="1"/>
        <v>156667767.03373325</v>
      </c>
      <c r="E19" s="1356"/>
      <c r="F19" s="1351"/>
    </row>
    <row r="20" spans="2:6">
      <c r="B20" s="1357">
        <f t="shared" si="0"/>
        <v>18</v>
      </c>
      <c r="C20" s="1360">
        <f>IF(B20&gt;Input　seet!$D$6,0,IF(Sheet5!B20&gt;48,0,Sheet5!C19))</f>
        <v>-3037879.1391582587</v>
      </c>
      <c r="D20" s="1359">
        <f t="shared" si="1"/>
        <v>153629887.894575</v>
      </c>
      <c r="E20" s="1356"/>
      <c r="F20" s="1351"/>
    </row>
    <row r="21" spans="2:6">
      <c r="B21" s="1357">
        <f t="shared" si="0"/>
        <v>19</v>
      </c>
      <c r="C21" s="1360">
        <f>IF(B21&gt;Input　seet!$D$6,0,IF(Sheet5!B21&gt;48,0,Sheet5!C20))</f>
        <v>-3037879.1391582587</v>
      </c>
      <c r="D21" s="1359">
        <f t="shared" si="1"/>
        <v>150592008.75541675</v>
      </c>
      <c r="E21" s="1356"/>
      <c r="F21" s="1351"/>
    </row>
    <row r="22" spans="2:6">
      <c r="B22" s="1357">
        <f t="shared" si="0"/>
        <v>20</v>
      </c>
      <c r="C22" s="1360">
        <f>IF(B22&gt;Input　seet!$D$6,0,IF(Sheet5!B22&gt;48,0,Sheet5!C21))</f>
        <v>-3037879.1391582587</v>
      </c>
      <c r="D22" s="1359">
        <f t="shared" si="1"/>
        <v>147554129.6162585</v>
      </c>
      <c r="E22" s="1356"/>
      <c r="F22" s="1351"/>
    </row>
    <row r="23" spans="2:6">
      <c r="B23" s="1357">
        <f t="shared" si="0"/>
        <v>21</v>
      </c>
      <c r="C23" s="1360">
        <f>IF(B23&gt;Input　seet!$D$6,0,IF(Sheet5!B23&gt;48,0,Sheet5!C22))</f>
        <v>-3037879.1391582587</v>
      </c>
      <c r="D23" s="1359">
        <f t="shared" si="1"/>
        <v>144516250.47710025</v>
      </c>
      <c r="E23" s="1356"/>
      <c r="F23" s="1351"/>
    </row>
    <row r="24" spans="2:6">
      <c r="B24" s="1357">
        <f t="shared" si="0"/>
        <v>22</v>
      </c>
      <c r="C24" s="1360">
        <f>IF(B24&gt;Input　seet!$D$6,0,IF(Sheet5!B24&gt;48,0,Sheet5!C23))</f>
        <v>-3037879.1391582587</v>
      </c>
      <c r="D24" s="1359">
        <f t="shared" si="1"/>
        <v>141478371.337942</v>
      </c>
      <c r="E24" s="1356"/>
      <c r="F24" s="1351"/>
    </row>
    <row r="25" spans="2:6">
      <c r="B25" s="1357">
        <f t="shared" si="0"/>
        <v>23</v>
      </c>
      <c r="C25" s="1360">
        <f>IF(B25&gt;Input　seet!$D$6,0,IF(Sheet5!B25&gt;48,0,Sheet5!C24))</f>
        <v>-3037879.1391582587</v>
      </c>
      <c r="D25" s="1359">
        <f t="shared" si="1"/>
        <v>138440492.19878376</v>
      </c>
      <c r="E25" s="1356"/>
      <c r="F25" s="1351"/>
    </row>
    <row r="26" spans="2:6">
      <c r="B26" s="1361">
        <f t="shared" si="0"/>
        <v>24</v>
      </c>
      <c r="C26" s="1360">
        <f>IF(B26&gt;Input　seet!$D$6,0,IF(Sheet5!B26&gt;48,0,Sheet5!C25))</f>
        <v>-3037879.1391582587</v>
      </c>
      <c r="D26" s="1362">
        <f t="shared" si="1"/>
        <v>135402613.05962551</v>
      </c>
      <c r="E26" s="1363"/>
      <c r="F26" s="1364"/>
    </row>
    <row r="27" spans="2:6">
      <c r="B27" s="1357">
        <f t="shared" si="0"/>
        <v>25</v>
      </c>
      <c r="C27" s="1360">
        <f>IF(B27&gt;Input　seet!$D$6,0,IF(Sheet5!B27&gt;48,0,Sheet5!C26))</f>
        <v>-3037879.1391582587</v>
      </c>
      <c r="D27" s="1359">
        <f t="shared" si="1"/>
        <v>132364733.92046724</v>
      </c>
      <c r="E27" s="1356"/>
      <c r="F27" s="1351"/>
    </row>
    <row r="28" spans="2:6">
      <c r="B28" s="1357">
        <f t="shared" si="0"/>
        <v>26</v>
      </c>
      <c r="C28" s="1360">
        <f>IF(B28&gt;Input　seet!$D$6,0,IF(Sheet5!B28&gt;48,0,Sheet5!C27))</f>
        <v>-3037879.1391582587</v>
      </c>
      <c r="D28" s="1359">
        <f t="shared" si="1"/>
        <v>129326854.78130898</v>
      </c>
      <c r="E28" s="1356"/>
      <c r="F28" s="1351"/>
    </row>
    <row r="29" spans="2:6">
      <c r="B29" s="1357">
        <f t="shared" si="0"/>
        <v>27</v>
      </c>
      <c r="C29" s="1360">
        <f>IF(B29&gt;Input　seet!$D$6,0,IF(Sheet5!B29&gt;48,0,Sheet5!C28))</f>
        <v>-3037879.1391582587</v>
      </c>
      <c r="D29" s="1359">
        <f t="shared" si="1"/>
        <v>126288975.64215071</v>
      </c>
      <c r="E29" s="1356"/>
      <c r="F29" s="1351"/>
    </row>
    <row r="30" spans="2:6">
      <c r="B30" s="1357">
        <f t="shared" si="0"/>
        <v>28</v>
      </c>
      <c r="C30" s="1360">
        <f>IF(B30&gt;Input　seet!$D$6,0,IF(Sheet5!B30&gt;48,0,Sheet5!C29))</f>
        <v>-3037879.1391582587</v>
      </c>
      <c r="D30" s="1359">
        <f t="shared" si="1"/>
        <v>123251096.50299245</v>
      </c>
      <c r="E30" s="1356"/>
      <c r="F30" s="1351"/>
    </row>
    <row r="31" spans="2:6">
      <c r="B31" s="1357">
        <f t="shared" si="0"/>
        <v>29</v>
      </c>
      <c r="C31" s="1360">
        <f>IF(B31&gt;Input　seet!$D$6,0,IF(Sheet5!B31&gt;48,0,Sheet5!C30))</f>
        <v>-3037879.1391582587</v>
      </c>
      <c r="D31" s="1359">
        <f t="shared" si="1"/>
        <v>120213217.36383419</v>
      </c>
      <c r="E31" s="1356"/>
      <c r="F31" s="1351"/>
    </row>
    <row r="32" spans="2:6">
      <c r="B32" s="1357">
        <f t="shared" si="0"/>
        <v>30</v>
      </c>
      <c r="C32" s="1360">
        <f>IF(B32&gt;Input　seet!$D$6,0,IF(Sheet5!B32&gt;48,0,Sheet5!C31))</f>
        <v>-3037879.1391582587</v>
      </c>
      <c r="D32" s="1359">
        <f t="shared" si="1"/>
        <v>117175338.22467592</v>
      </c>
      <c r="E32" s="1356"/>
      <c r="F32" s="1351"/>
    </row>
    <row r="33" spans="2:6">
      <c r="B33" s="1357">
        <f t="shared" si="0"/>
        <v>31</v>
      </c>
      <c r="C33" s="1360">
        <f>IF(B33&gt;Input　seet!$D$6,0,IF(Sheet5!B33&gt;48,0,Sheet5!C32))</f>
        <v>-3037879.1391582587</v>
      </c>
      <c r="D33" s="1359">
        <f t="shared" si="1"/>
        <v>114137459.08551766</v>
      </c>
      <c r="E33" s="1356"/>
      <c r="F33" s="1351"/>
    </row>
    <row r="34" spans="2:6">
      <c r="B34" s="1357">
        <f t="shared" si="0"/>
        <v>32</v>
      </c>
      <c r="C34" s="1360">
        <f>IF(B34&gt;Input　seet!$D$6,0,IF(Sheet5!B34&gt;48,0,Sheet5!C33))</f>
        <v>-3037879.1391582587</v>
      </c>
      <c r="D34" s="1359">
        <f t="shared" si="1"/>
        <v>111099579.9463594</v>
      </c>
      <c r="E34" s="1356"/>
      <c r="F34" s="1365"/>
    </row>
    <row r="35" spans="2:6">
      <c r="B35" s="1357">
        <f t="shared" si="0"/>
        <v>33</v>
      </c>
      <c r="C35" s="1360">
        <f>IF(B35&gt;Input　seet!$D$6,0,IF(Sheet5!B35&gt;48,0,Sheet5!C34))</f>
        <v>-3037879.1391582587</v>
      </c>
      <c r="D35" s="1359">
        <f t="shared" si="1"/>
        <v>108061700.80720113</v>
      </c>
      <c r="E35" s="1356"/>
      <c r="F35" s="1365"/>
    </row>
    <row r="36" spans="2:6">
      <c r="B36" s="1357">
        <f t="shared" si="0"/>
        <v>34</v>
      </c>
      <c r="C36" s="1360">
        <f>IF(B36&gt;Input　seet!$D$6,0,IF(Sheet5!B36&gt;48,0,Sheet5!C35))</f>
        <v>-3037879.1391582587</v>
      </c>
      <c r="D36" s="1359">
        <f t="shared" si="1"/>
        <v>105023821.66804287</v>
      </c>
      <c r="E36" s="1356"/>
      <c r="F36" s="1365"/>
    </row>
    <row r="37" spans="2:6">
      <c r="B37" s="1357">
        <f t="shared" si="0"/>
        <v>35</v>
      </c>
      <c r="C37" s="1360">
        <f>IF(B37&gt;Input　seet!$D$6,0,IF(Sheet5!B37&gt;48,0,Sheet5!C36))</f>
        <v>-3037879.1391582587</v>
      </c>
      <c r="D37" s="1359">
        <f t="shared" si="1"/>
        <v>101985942.5288846</v>
      </c>
      <c r="E37" s="1356"/>
      <c r="F37" s="1365"/>
    </row>
    <row r="38" spans="2:6">
      <c r="B38" s="1361">
        <f t="shared" si="0"/>
        <v>36</v>
      </c>
      <c r="C38" s="1360">
        <f>IF(B38&gt;Input　seet!$D$6,0,IF(Sheet5!B38&gt;48,0,Sheet5!C37))</f>
        <v>-3037879.1391582587</v>
      </c>
      <c r="D38" s="1362">
        <f>D37+C38</f>
        <v>98948063.389726341</v>
      </c>
      <c r="E38" s="1363"/>
      <c r="F38" s="1364"/>
    </row>
    <row r="39" spans="2:6">
      <c r="B39" s="1357">
        <f t="shared" si="0"/>
        <v>37</v>
      </c>
      <c r="C39" s="1360">
        <f>IF(B39&gt;Input　seet!$D$6,0,IF(Sheet5!B39&gt;48,0,Sheet5!C38))</f>
        <v>-3037879.1391582587</v>
      </c>
      <c r="D39" s="1366">
        <f>D38+C39</f>
        <v>95910184.250568077</v>
      </c>
      <c r="E39" s="1356"/>
      <c r="F39" s="1367"/>
    </row>
    <row r="40" spans="2:6">
      <c r="B40" s="1357">
        <f t="shared" si="0"/>
        <v>38</v>
      </c>
      <c r="C40" s="1360">
        <f>IF(B40&gt;Input　seet!$D$6,0,IF(Sheet5!B40&gt;48,0,Sheet5!C39))</f>
        <v>-3037879.1391582587</v>
      </c>
      <c r="D40" s="1366">
        <f t="shared" ref="D40:D62" si="2">D39+C40</f>
        <v>92872305.111409813</v>
      </c>
      <c r="E40" s="1356"/>
      <c r="F40" s="1367"/>
    </row>
    <row r="41" spans="2:6">
      <c r="B41" s="1357">
        <f t="shared" si="0"/>
        <v>39</v>
      </c>
      <c r="C41" s="1360">
        <f>IF(B41&gt;Input　seet!$D$6,0,IF(Sheet5!B41&gt;48,0,Sheet5!C40))</f>
        <v>-3037879.1391582587</v>
      </c>
      <c r="D41" s="1366">
        <f t="shared" si="2"/>
        <v>89834425.972251549</v>
      </c>
      <c r="E41" s="1356"/>
      <c r="F41" s="1367"/>
    </row>
    <row r="42" spans="2:6">
      <c r="B42" s="1357">
        <f t="shared" si="0"/>
        <v>40</v>
      </c>
      <c r="C42" s="1360">
        <f>IF(B42&gt;Input　seet!$D$6,0,IF(Sheet5!B42&gt;48,0,Sheet5!C41))</f>
        <v>-3037879.1391582587</v>
      </c>
      <c r="D42" s="1366">
        <f t="shared" si="2"/>
        <v>86796546.833093286</v>
      </c>
      <c r="E42" s="1356"/>
      <c r="F42" s="1367"/>
    </row>
    <row r="43" spans="2:6">
      <c r="B43" s="1357">
        <f t="shared" si="0"/>
        <v>41</v>
      </c>
      <c r="C43" s="1360">
        <f>IF(B43&gt;Input　seet!$D$6,0,IF(Sheet5!B43&gt;48,0,Sheet5!C42))</f>
        <v>-3037879.1391582587</v>
      </c>
      <c r="D43" s="1366">
        <f t="shared" si="2"/>
        <v>83758667.693935022</v>
      </c>
      <c r="E43" s="1356"/>
      <c r="F43" s="1367"/>
    </row>
    <row r="44" spans="2:6">
      <c r="B44" s="1357">
        <f t="shared" si="0"/>
        <v>42</v>
      </c>
      <c r="C44" s="1360">
        <f>IF(B44&gt;Input　seet!$D$6,0,IF(Sheet5!B44&gt;48,0,Sheet5!C43))</f>
        <v>-3037879.1391582587</v>
      </c>
      <c r="D44" s="1366">
        <f t="shared" si="2"/>
        <v>80720788.554776758</v>
      </c>
      <c r="E44" s="1356"/>
      <c r="F44" s="1367"/>
    </row>
    <row r="45" spans="2:6">
      <c r="B45" s="1357">
        <f t="shared" si="0"/>
        <v>43</v>
      </c>
      <c r="C45" s="1360">
        <f>IF(B45&gt;Input　seet!$D$6,0,IF(Sheet5!B45&gt;48,0,Sheet5!C44))</f>
        <v>-3037879.1391582587</v>
      </c>
      <c r="D45" s="1366">
        <f t="shared" si="2"/>
        <v>77682909.415618494</v>
      </c>
      <c r="E45" s="1356"/>
      <c r="F45" s="1367"/>
    </row>
    <row r="46" spans="2:6">
      <c r="B46" s="1357">
        <f t="shared" si="0"/>
        <v>44</v>
      </c>
      <c r="C46" s="1360">
        <f>IF(B46&gt;Input　seet!$D$6,0,IF(Sheet5!B46&gt;48,0,Sheet5!C45))</f>
        <v>-3037879.1391582587</v>
      </c>
      <c r="D46" s="1366">
        <f t="shared" si="2"/>
        <v>74645030.27646023</v>
      </c>
      <c r="E46" s="1356"/>
      <c r="F46" s="1367"/>
    </row>
    <row r="47" spans="2:6">
      <c r="B47" s="1357">
        <f t="shared" si="0"/>
        <v>45</v>
      </c>
      <c r="C47" s="1360">
        <f>IF(B47&gt;Input　seet!$D$6,0,IF(Sheet5!B47&gt;48,0,Sheet5!C46))</f>
        <v>-3037879.1391582587</v>
      </c>
      <c r="D47" s="1366">
        <f t="shared" si="2"/>
        <v>71607151.137301967</v>
      </c>
      <c r="E47" s="1356"/>
      <c r="F47" s="1367"/>
    </row>
    <row r="48" spans="2:6">
      <c r="B48" s="1357">
        <f t="shared" si="0"/>
        <v>46</v>
      </c>
      <c r="C48" s="1360">
        <f>IF(B48&gt;Input　seet!$D$6,0,IF(Sheet5!B48&gt;48,0,Sheet5!C47))</f>
        <v>-3037879.1391582587</v>
      </c>
      <c r="D48" s="1366">
        <f t="shared" si="2"/>
        <v>68569271.998143703</v>
      </c>
      <c r="E48" s="1356"/>
      <c r="F48" s="1367"/>
    </row>
    <row r="49" spans="2:6">
      <c r="B49" s="1357">
        <f t="shared" si="0"/>
        <v>47</v>
      </c>
      <c r="C49" s="1360">
        <f>IF(B49&gt;Input　seet!$D$6,0,IF(Sheet5!B49&gt;48,0,Sheet5!C48))</f>
        <v>-3037879.1391582587</v>
      </c>
      <c r="D49" s="1366">
        <f t="shared" si="2"/>
        <v>65531392.858985446</v>
      </c>
      <c r="E49" s="1356"/>
      <c r="F49" s="1367"/>
    </row>
    <row r="50" spans="2:6">
      <c r="B50" s="1361">
        <f t="shared" si="0"/>
        <v>48</v>
      </c>
      <c r="C50" s="1360">
        <f>IF(B50&gt;Input　seet!$D$6,0,IF(Sheet5!B50&gt;48,0,Sheet5!C49))</f>
        <v>-3037879.1391582587</v>
      </c>
      <c r="D50" s="1362">
        <f t="shared" si="2"/>
        <v>62493513.71982719</v>
      </c>
      <c r="E50" s="1363"/>
      <c r="F50" s="1364"/>
    </row>
    <row r="51" spans="2:6">
      <c r="B51" s="1357">
        <f t="shared" si="0"/>
        <v>49</v>
      </c>
      <c r="C51" s="1360">
        <f>IF(B51&gt;Input　seet!$D$6,0,IF(Sheet5!B51&gt;48,0,Sheet5!C50))</f>
        <v>0</v>
      </c>
      <c r="D51" s="1366">
        <f t="shared" si="2"/>
        <v>62493513.71982719</v>
      </c>
      <c r="E51" s="1368"/>
      <c r="F51" s="1367"/>
    </row>
    <row r="52" spans="2:6">
      <c r="B52" s="1357">
        <f t="shared" si="0"/>
        <v>50</v>
      </c>
      <c r="C52" s="1360">
        <f>IF(B52&gt;Input　seet!$D$6,0,IF(Sheet5!B52&gt;48,0,Sheet5!C51))</f>
        <v>0</v>
      </c>
      <c r="D52" s="1366">
        <f t="shared" si="2"/>
        <v>62493513.71982719</v>
      </c>
      <c r="E52" s="1368"/>
      <c r="F52" s="1367"/>
    </row>
    <row r="53" spans="2:6">
      <c r="B53" s="1357">
        <f t="shared" si="0"/>
        <v>51</v>
      </c>
      <c r="C53" s="1360">
        <f>IF(B53&gt;Input　seet!$D$6,0,IF(Sheet5!B53&gt;48,0,Sheet5!C52))</f>
        <v>0</v>
      </c>
      <c r="D53" s="1366">
        <f t="shared" si="2"/>
        <v>62493513.71982719</v>
      </c>
      <c r="E53" s="1368"/>
      <c r="F53" s="1367"/>
    </row>
    <row r="54" spans="2:6">
      <c r="B54" s="1357">
        <f t="shared" si="0"/>
        <v>52</v>
      </c>
      <c r="C54" s="1360">
        <f>IF(B54&gt;Input　seet!$D$6,0,IF(Sheet5!B54&gt;48,0,Sheet5!C53))</f>
        <v>0</v>
      </c>
      <c r="D54" s="1366">
        <f t="shared" si="2"/>
        <v>62493513.71982719</v>
      </c>
      <c r="E54" s="1368"/>
      <c r="F54" s="1367"/>
    </row>
    <row r="55" spans="2:6">
      <c r="B55" s="1357">
        <f t="shared" si="0"/>
        <v>53</v>
      </c>
      <c r="C55" s="1360">
        <f>IF(B55&gt;Input　seet!$D$6,0,IF(Sheet5!B55&gt;48,0,Sheet5!C54))</f>
        <v>0</v>
      </c>
      <c r="D55" s="1366">
        <f t="shared" si="2"/>
        <v>62493513.71982719</v>
      </c>
      <c r="E55" s="1368"/>
      <c r="F55" s="1367"/>
    </row>
    <row r="56" spans="2:6">
      <c r="B56" s="1357">
        <f t="shared" si="0"/>
        <v>54</v>
      </c>
      <c r="C56" s="1360">
        <f>IF(B56&gt;Input　seet!$D$6,0,IF(Sheet5!B56&gt;48,0,Sheet5!C55))</f>
        <v>0</v>
      </c>
      <c r="D56" s="1366">
        <f t="shared" si="2"/>
        <v>62493513.71982719</v>
      </c>
      <c r="E56" s="1368"/>
      <c r="F56" s="1367"/>
    </row>
    <row r="57" spans="2:6">
      <c r="B57" s="1357">
        <f t="shared" si="0"/>
        <v>55</v>
      </c>
      <c r="C57" s="1360">
        <f>IF(B57&gt;Input　seet!$D$6,0,IF(Sheet5!B57&gt;48,0,Sheet5!C56))</f>
        <v>0</v>
      </c>
      <c r="D57" s="1366">
        <f t="shared" si="2"/>
        <v>62493513.71982719</v>
      </c>
      <c r="E57" s="1368"/>
      <c r="F57" s="1367"/>
    </row>
    <row r="58" spans="2:6">
      <c r="B58" s="1357">
        <f t="shared" si="0"/>
        <v>56</v>
      </c>
      <c r="C58" s="1360">
        <f>IF(B58&gt;Input　seet!$D$6,0,IF(Sheet5!B58&gt;48,0,Sheet5!C57))</f>
        <v>0</v>
      </c>
      <c r="D58" s="1366">
        <f t="shared" si="2"/>
        <v>62493513.71982719</v>
      </c>
      <c r="E58" s="1368"/>
      <c r="F58" s="1367"/>
    </row>
    <row r="59" spans="2:6">
      <c r="B59" s="1357">
        <f t="shared" si="0"/>
        <v>57</v>
      </c>
      <c r="C59" s="1360">
        <f>IF(B59&gt;Input　seet!$D$6,0,IF(Sheet5!B59&gt;48,0,Sheet5!C58))</f>
        <v>0</v>
      </c>
      <c r="D59" s="1366">
        <f t="shared" si="2"/>
        <v>62493513.71982719</v>
      </c>
      <c r="E59" s="1368"/>
      <c r="F59" s="1367"/>
    </row>
    <row r="60" spans="2:6">
      <c r="B60" s="1357">
        <f t="shared" si="0"/>
        <v>58</v>
      </c>
      <c r="C60" s="1360">
        <f>IF(B60&gt;Input　seet!$D$6,0,IF(Sheet5!B60&gt;48,0,Sheet5!C59))</f>
        <v>0</v>
      </c>
      <c r="D60" s="1366">
        <f t="shared" si="2"/>
        <v>62493513.71982719</v>
      </c>
      <c r="E60" s="1368"/>
      <c r="F60" s="1367"/>
    </row>
    <row r="61" spans="2:6">
      <c r="B61" s="1357">
        <f t="shared" si="0"/>
        <v>59</v>
      </c>
      <c r="C61" s="1360">
        <f>IF(B61&gt;Input　seet!$D$6,0,IF(Sheet5!B61&gt;48,0,Sheet5!C60))</f>
        <v>0</v>
      </c>
      <c r="D61" s="1366">
        <f t="shared" si="2"/>
        <v>62493513.71982719</v>
      </c>
      <c r="E61" s="1368"/>
      <c r="F61" s="1367"/>
    </row>
    <row r="62" spans="2:6">
      <c r="B62" s="1361">
        <f t="shared" si="0"/>
        <v>60</v>
      </c>
      <c r="C62" s="1360">
        <f>IF(B62&gt;Input　seet!$D$6,0,IF(Sheet5!B62&gt;48,0,Sheet5!C61))</f>
        <v>0</v>
      </c>
      <c r="D62" s="1362">
        <f t="shared" si="2"/>
        <v>62493513.71982719</v>
      </c>
      <c r="E62" s="1363">
        <f>Calculation!D36</f>
        <v>51616928.36945454</v>
      </c>
      <c r="F62" s="1364">
        <f>E62-D62</f>
        <v>-10876585.35037265</v>
      </c>
    </row>
  </sheetData>
  <phoneticPr fontId="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showGridLines="0" zoomScale="115" zoomScaleNormal="115" workbookViewId="0">
      <selection activeCell="A4" sqref="A4:B4"/>
    </sheetView>
  </sheetViews>
  <sheetFormatPr defaultColWidth="9" defaultRowHeight="11.25"/>
  <cols>
    <col min="1" max="1" width="4.7109375" style="1392" customWidth="1"/>
    <col min="2" max="2" width="21.28515625" style="929" bestFit="1" customWidth="1"/>
    <col min="3" max="3" width="13" style="929" bestFit="1" customWidth="1"/>
    <col min="4" max="4" width="30.28515625" style="930" customWidth="1"/>
    <col min="5" max="8" width="30.28515625" style="931" customWidth="1"/>
    <col min="9" max="9" width="9" style="932"/>
    <col min="10" max="10" width="12.28515625" style="928" bestFit="1" customWidth="1"/>
    <col min="11" max="11" width="12.140625" style="928" bestFit="1" customWidth="1"/>
    <col min="12" max="16384" width="9" style="928"/>
  </cols>
  <sheetData>
    <row r="2" spans="1:11" ht="13.5">
      <c r="A2" s="1387" t="s">
        <v>370</v>
      </c>
      <c r="B2" s="927"/>
    </row>
    <row r="3" spans="1:11" ht="10.5" customHeight="1">
      <c r="A3" s="1388"/>
      <c r="B3" s="927"/>
    </row>
    <row r="4" spans="1:11" ht="13.5">
      <c r="A4" s="1401" t="s">
        <v>328</v>
      </c>
      <c r="B4" s="1401"/>
      <c r="C4" s="983" t="str">
        <f>Input　seet!C3:D3</f>
        <v>Testing without ATPM Discount: 00099/OCN/01/04/2019</v>
      </c>
      <c r="D4" s="984"/>
    </row>
    <row r="5" spans="1:11">
      <c r="A5" s="933"/>
      <c r="B5" s="985"/>
      <c r="C5" s="933"/>
    </row>
    <row r="6" spans="1:11" s="938" customFormat="1" ht="15.75" customHeight="1">
      <c r="A6" s="929"/>
      <c r="D6" s="986" t="s">
        <v>307</v>
      </c>
      <c r="E6" s="987" t="s">
        <v>308</v>
      </c>
      <c r="F6" s="987" t="s">
        <v>309</v>
      </c>
      <c r="G6" s="987" t="s">
        <v>310</v>
      </c>
      <c r="H6" s="987" t="s">
        <v>311</v>
      </c>
      <c r="I6" s="939"/>
    </row>
    <row r="7" spans="1:11" s="938" customFormat="1" ht="25.5" customHeight="1">
      <c r="A7" s="1389"/>
      <c r="B7" s="937"/>
      <c r="D7" s="988" t="s">
        <v>333</v>
      </c>
      <c r="E7" s="989" t="s">
        <v>331</v>
      </c>
      <c r="F7" s="989" t="s">
        <v>334</v>
      </c>
      <c r="G7" s="990" t="s">
        <v>332</v>
      </c>
      <c r="H7" s="989" t="s">
        <v>335</v>
      </c>
      <c r="I7" s="939"/>
    </row>
    <row r="8" spans="1:11" s="938" customFormat="1" ht="15.75" customHeight="1">
      <c r="A8" s="1389"/>
      <c r="B8" s="941" t="s">
        <v>314</v>
      </c>
      <c r="C8" s="942"/>
      <c r="D8" s="943"/>
      <c r="E8" s="944"/>
      <c r="F8" s="944"/>
      <c r="G8" s="945"/>
      <c r="H8" s="944"/>
      <c r="I8" s="939"/>
    </row>
    <row r="9" spans="1:11" s="957" customFormat="1" ht="6" customHeight="1">
      <c r="A9" s="1390"/>
      <c r="B9" s="951"/>
      <c r="C9" s="952"/>
      <c r="D9" s="953"/>
      <c r="E9" s="954"/>
      <c r="F9" s="954"/>
      <c r="G9" s="955"/>
      <c r="H9" s="954"/>
      <c r="I9" s="956"/>
    </row>
    <row r="10" spans="1:11" ht="15.75" customHeight="1">
      <c r="A10" s="1391">
        <v>1</v>
      </c>
      <c r="B10" s="965" t="s">
        <v>305</v>
      </c>
      <c r="C10" s="966"/>
      <c r="D10" s="1179">
        <f>Input　seet!D24</f>
        <v>231735236</v>
      </c>
      <c r="E10" s="967"/>
      <c r="F10" s="967"/>
      <c r="G10" s="967"/>
      <c r="H10" s="967"/>
    </row>
    <row r="11" spans="1:11" ht="15.75" customHeight="1">
      <c r="A11" s="1391">
        <f>A10+1</f>
        <v>2</v>
      </c>
      <c r="B11" s="968" t="s">
        <v>336</v>
      </c>
      <c r="C11" s="969"/>
      <c r="D11" s="970">
        <f>Input　seet!D25</f>
        <v>208311712.39942348</v>
      </c>
      <c r="E11" s="971"/>
      <c r="F11" s="971"/>
      <c r="G11" s="971"/>
      <c r="H11" s="971"/>
    </row>
    <row r="12" spans="1:11" ht="15.75" customHeight="1">
      <c r="A12" s="1391">
        <f t="shared" ref="A12:A14" si="0">A11+1</f>
        <v>3</v>
      </c>
      <c r="B12" s="968" t="s">
        <v>352</v>
      </c>
      <c r="C12" s="969"/>
      <c r="D12" s="1181">
        <f>Input　seet!D6</f>
        <v>48</v>
      </c>
      <c r="E12" s="971"/>
      <c r="F12" s="971"/>
      <c r="G12" s="971"/>
      <c r="H12" s="971"/>
    </row>
    <row r="13" spans="1:11" ht="15.75" customHeight="1">
      <c r="A13" s="1391">
        <f t="shared" si="0"/>
        <v>4</v>
      </c>
      <c r="B13" s="968" t="s">
        <v>15</v>
      </c>
      <c r="C13" s="969"/>
      <c r="D13" s="1180">
        <f>Input　seet!D7</f>
        <v>0.12759999999999999</v>
      </c>
      <c r="E13" s="971"/>
      <c r="F13" s="971"/>
      <c r="G13" s="971"/>
      <c r="H13" s="971"/>
      <c r="J13" s="998"/>
      <c r="K13" s="1001"/>
    </row>
    <row r="14" spans="1:11" ht="15.75" customHeight="1">
      <c r="A14" s="1391">
        <f t="shared" si="0"/>
        <v>5</v>
      </c>
      <c r="B14" s="968" t="s">
        <v>260</v>
      </c>
      <c r="C14" s="969"/>
      <c r="D14" s="1182">
        <f>Input　seet!D8</f>
        <v>8.48E-2</v>
      </c>
      <c r="E14" s="971"/>
      <c r="F14" s="971"/>
      <c r="G14" s="971"/>
      <c r="H14" s="971"/>
    </row>
    <row r="15" spans="1:11" ht="15.75" customHeight="1">
      <c r="A15" s="1391">
        <f>A14+1</f>
        <v>6</v>
      </c>
      <c r="B15" s="968" t="s">
        <v>299</v>
      </c>
      <c r="C15" s="969"/>
      <c r="D15" s="993">
        <f>D13-D14</f>
        <v>4.2799999999999991E-2</v>
      </c>
      <c r="E15" s="971"/>
      <c r="F15" s="971"/>
      <c r="G15" s="971"/>
      <c r="H15" s="971"/>
    </row>
    <row r="16" spans="1:11" ht="6" customHeight="1">
      <c r="B16" s="934"/>
    </row>
    <row r="17" spans="1:11" ht="15.75" customHeight="1">
      <c r="A17" s="1391"/>
      <c r="B17" s="946" t="s">
        <v>227</v>
      </c>
      <c r="C17" s="947"/>
      <c r="D17" s="948"/>
      <c r="E17" s="949"/>
      <c r="F17" s="949"/>
      <c r="G17" s="949"/>
      <c r="H17" s="949"/>
      <c r="K17" s="1000"/>
    </row>
    <row r="18" spans="1:11" s="963" customFormat="1" ht="6" customHeight="1">
      <c r="A18" s="1393"/>
      <c r="B18" s="958"/>
      <c r="C18" s="959"/>
      <c r="D18" s="960"/>
      <c r="E18" s="961"/>
      <c r="F18" s="961"/>
      <c r="G18" s="961"/>
      <c r="H18" s="961"/>
      <c r="I18" s="962"/>
    </row>
    <row r="19" spans="1:11" ht="15.75" customHeight="1">
      <c r="A19" s="1391">
        <f>A15+1</f>
        <v>7</v>
      </c>
      <c r="B19" s="965" t="s">
        <v>337</v>
      </c>
      <c r="C19" s="966"/>
      <c r="D19" s="972">
        <f>Input　seet!D12+Input　seet!D15</f>
        <v>234235236</v>
      </c>
      <c r="E19" s="967"/>
      <c r="F19" s="967"/>
      <c r="G19" s="967"/>
      <c r="H19" s="967"/>
      <c r="K19" s="1000"/>
    </row>
    <row r="20" spans="1:11" ht="15.75" customHeight="1">
      <c r="A20" s="1391">
        <f>A19+1</f>
        <v>8</v>
      </c>
      <c r="B20" s="968" t="s">
        <v>312</v>
      </c>
      <c r="C20" s="969"/>
      <c r="D20" s="997">
        <f>Input　seet!D21</f>
        <v>0.2424</v>
      </c>
      <c r="E20" s="971"/>
      <c r="F20" s="971"/>
      <c r="G20" s="971"/>
      <c r="H20" s="971"/>
    </row>
    <row r="21" spans="1:11" ht="15.75" customHeight="1">
      <c r="A21" s="1391">
        <f t="shared" ref="A21" si="1">A20+1</f>
        <v>9</v>
      </c>
      <c r="B21" s="968" t="s">
        <v>357</v>
      </c>
      <c r="C21" s="969"/>
      <c r="D21" s="973">
        <f>Input　seet!D22</f>
        <v>56778621.2064</v>
      </c>
      <c r="E21" s="971"/>
      <c r="F21" s="971"/>
      <c r="G21" s="971"/>
      <c r="H21" s="971"/>
      <c r="K21" s="998"/>
    </row>
    <row r="22" spans="1:11" ht="6" customHeight="1">
      <c r="A22" s="1391"/>
      <c r="B22" s="934"/>
    </row>
    <row r="23" spans="1:11" ht="15.75" customHeight="1">
      <c r="A23" s="1391"/>
      <c r="B23" s="946" t="s">
        <v>371</v>
      </c>
      <c r="C23" s="947"/>
      <c r="D23" s="948"/>
      <c r="E23" s="949"/>
      <c r="F23" s="949"/>
      <c r="G23" s="949"/>
      <c r="H23" s="949"/>
    </row>
    <row r="24" spans="1:11" s="963" customFormat="1" ht="6" customHeight="1">
      <c r="A24" s="1393"/>
      <c r="B24" s="958"/>
      <c r="C24" s="959"/>
      <c r="D24" s="960"/>
      <c r="E24" s="961"/>
      <c r="F24" s="961"/>
      <c r="G24" s="961"/>
      <c r="H24" s="961"/>
      <c r="I24" s="962"/>
    </row>
    <row r="25" spans="1:11" ht="15.75" customHeight="1">
      <c r="A25" s="1391">
        <v>10</v>
      </c>
      <c r="B25" s="965" t="s">
        <v>330</v>
      </c>
      <c r="C25" s="966"/>
      <c r="D25" s="974">
        <f>'①Tidak termasuk VAT TAX'!J6</f>
        <v>4908835.3984737359</v>
      </c>
      <c r="E25" s="967"/>
      <c r="F25" s="967"/>
      <c r="G25" s="967"/>
      <c r="H25" s="967"/>
    </row>
    <row r="26" spans="1:11" ht="15.75" customHeight="1">
      <c r="A26" s="1391">
        <v>11</v>
      </c>
      <c r="B26" s="968" t="s">
        <v>300</v>
      </c>
      <c r="C26" s="969"/>
      <c r="D26" s="970">
        <f>D25*D12</f>
        <v>235624099.12673932</v>
      </c>
      <c r="E26" s="971"/>
      <c r="F26" s="971"/>
      <c r="G26" s="971"/>
      <c r="H26" s="971"/>
    </row>
    <row r="27" spans="1:11" ht="15.75" customHeight="1">
      <c r="A27" s="1391">
        <f>A26+1</f>
        <v>12</v>
      </c>
      <c r="B27" s="968" t="s">
        <v>329</v>
      </c>
      <c r="C27" s="969"/>
      <c r="D27" s="970"/>
      <c r="E27" s="994">
        <f>'③Termasuk VAT'!AI26</f>
        <v>88685.96373886081</v>
      </c>
      <c r="F27" s="994">
        <f>D25+E27</f>
        <v>4997521.3622125965</v>
      </c>
      <c r="G27" s="994">
        <f>-'⑤Termasuk TAX'!AI26</f>
        <v>-703.00054730491809</v>
      </c>
      <c r="H27" s="995">
        <f>F27+G27</f>
        <v>4996818.3616652917</v>
      </c>
      <c r="K27" s="932"/>
    </row>
    <row r="28" spans="1:11" ht="15.75" customHeight="1">
      <c r="A28" s="1391">
        <v>13</v>
      </c>
      <c r="B28" s="968" t="s">
        <v>301</v>
      </c>
      <c r="C28" s="969"/>
      <c r="D28" s="970"/>
      <c r="E28" s="994">
        <f>E27*D12</f>
        <v>4256926.2594653191</v>
      </c>
      <c r="F28" s="994">
        <f>F27*D12</f>
        <v>239881025.38620463</v>
      </c>
      <c r="G28" s="994">
        <f>G27*D12</f>
        <v>-33744.026270636066</v>
      </c>
      <c r="H28" s="995">
        <f>H27*D12</f>
        <v>239847281.359934</v>
      </c>
    </row>
    <row r="29" spans="1:11" ht="15.75" customHeight="1">
      <c r="A29" s="1391">
        <v>14</v>
      </c>
      <c r="B29" s="968" t="s">
        <v>313</v>
      </c>
      <c r="C29" s="969"/>
      <c r="D29" s="970"/>
      <c r="E29" s="994"/>
      <c r="F29" s="994">
        <f>F27*110%</f>
        <v>5497273.4984338563</v>
      </c>
      <c r="G29" s="994"/>
      <c r="H29" s="995">
        <f>H27*110%</f>
        <v>5496500.1978318216</v>
      </c>
      <c r="J29" s="998"/>
    </row>
    <row r="30" spans="1:11" ht="15.75" customHeight="1">
      <c r="A30" s="1391">
        <v>15</v>
      </c>
      <c r="B30" s="968" t="s">
        <v>301</v>
      </c>
      <c r="C30" s="969"/>
      <c r="D30" s="970"/>
      <c r="E30" s="994"/>
      <c r="F30" s="994">
        <f>F29*$D$12</f>
        <v>263869127.9248251</v>
      </c>
      <c r="G30" s="994"/>
      <c r="H30" s="995">
        <f>H29*$D$12</f>
        <v>263832009.49592745</v>
      </c>
    </row>
    <row r="31" spans="1:11" ht="6" customHeight="1">
      <c r="A31" s="1391"/>
      <c r="B31" s="928"/>
      <c r="F31" s="940"/>
      <c r="G31" s="928"/>
    </row>
    <row r="32" spans="1:11" ht="15.75" customHeight="1">
      <c r="A32" s="1391"/>
      <c r="B32" s="941" t="s">
        <v>317</v>
      </c>
      <c r="C32" s="947"/>
      <c r="D32" s="948"/>
      <c r="E32" s="949"/>
      <c r="F32" s="949"/>
      <c r="G32" s="949"/>
      <c r="H32" s="949"/>
    </row>
    <row r="33" spans="1:9" s="963" customFormat="1" ht="6" customHeight="1">
      <c r="A33" s="1393"/>
      <c r="B33" s="951"/>
      <c r="C33" s="959"/>
      <c r="D33" s="960"/>
      <c r="E33" s="961"/>
      <c r="F33" s="961"/>
      <c r="G33" s="961"/>
      <c r="H33" s="961"/>
      <c r="I33" s="962"/>
    </row>
    <row r="34" spans="1:9" ht="15.75" customHeight="1">
      <c r="A34" s="1391">
        <v>16</v>
      </c>
      <c r="B34" s="975" t="s">
        <v>318</v>
      </c>
      <c r="C34" s="966"/>
      <c r="D34" s="976">
        <f>D25*D12</f>
        <v>235624099.12673932</v>
      </c>
      <c r="E34" s="976"/>
      <c r="F34" s="974">
        <f>F28</f>
        <v>239881025.38620463</v>
      </c>
      <c r="G34" s="974"/>
      <c r="H34" s="974">
        <f>H28</f>
        <v>239847281.359934</v>
      </c>
    </row>
    <row r="35" spans="1:9" ht="15.75" customHeight="1">
      <c r="A35" s="1391">
        <v>17</v>
      </c>
      <c r="B35" s="977" t="s">
        <v>319</v>
      </c>
      <c r="C35" s="969"/>
      <c r="D35" s="970"/>
      <c r="E35" s="973"/>
      <c r="F35" s="973"/>
      <c r="G35" s="973"/>
      <c r="H35" s="973"/>
    </row>
    <row r="36" spans="1:9" ht="15.75" customHeight="1">
      <c r="A36" s="1392">
        <v>18</v>
      </c>
      <c r="B36" s="977" t="s">
        <v>359</v>
      </c>
      <c r="C36" s="991"/>
      <c r="D36" s="973">
        <f>'①Tidak termasuk VAT TAX'!M14/1.1</f>
        <v>51616928.36945454</v>
      </c>
      <c r="E36" s="971"/>
      <c r="F36" s="971"/>
      <c r="G36" s="971"/>
      <c r="H36" s="971"/>
    </row>
    <row r="37" spans="1:9" ht="15.75" customHeight="1">
      <c r="A37" s="1392">
        <v>19</v>
      </c>
      <c r="B37" s="977" t="s">
        <v>320</v>
      </c>
      <c r="C37" s="1184">
        <f>Input　seet!D29</f>
        <v>0.25</v>
      </c>
      <c r="D37" s="970">
        <f>'①Tidak termasuk VAT TAX'!AA11</f>
        <v>0</v>
      </c>
      <c r="E37" s="971"/>
      <c r="F37" s="971"/>
      <c r="G37" s="971"/>
      <c r="H37" s="971"/>
    </row>
    <row r="38" spans="1:9" ht="15.75" customHeight="1">
      <c r="A38" s="1392">
        <v>20</v>
      </c>
      <c r="B38" s="977" t="s">
        <v>486</v>
      </c>
      <c r="C38" s="1397"/>
      <c r="D38" s="970">
        <f>Input　seet!D43</f>
        <v>0</v>
      </c>
      <c r="E38" s="971"/>
      <c r="F38" s="971"/>
      <c r="G38" s="971"/>
      <c r="H38" s="971"/>
    </row>
    <row r="39" spans="1:9" ht="15.75" customHeight="1">
      <c r="A39" s="1391"/>
      <c r="B39" s="981"/>
      <c r="C39" s="992"/>
      <c r="D39" s="980"/>
      <c r="E39" s="971"/>
      <c r="F39" s="971"/>
      <c r="G39" s="971"/>
      <c r="H39" s="971"/>
    </row>
    <row r="40" spans="1:9" ht="15.75" customHeight="1">
      <c r="A40" s="1391">
        <v>21</v>
      </c>
      <c r="B40" s="978" t="s">
        <v>302</v>
      </c>
      <c r="C40" s="969"/>
      <c r="D40" s="970">
        <f>SUM(D34:D38)</f>
        <v>287241027.49619389</v>
      </c>
      <c r="E40" s="973"/>
      <c r="F40" s="973">
        <f>F34+SUM(D35:D38)</f>
        <v>291497953.75565916</v>
      </c>
      <c r="G40" s="973"/>
      <c r="H40" s="973">
        <f>H34+SUM(D35:D38)</f>
        <v>291464209.72938854</v>
      </c>
    </row>
    <row r="41" spans="1:9" ht="6" customHeight="1">
      <c r="A41" s="1394"/>
      <c r="B41" s="936"/>
    </row>
    <row r="42" spans="1:9" ht="15.75" customHeight="1">
      <c r="A42" s="1391"/>
      <c r="B42" s="941" t="s">
        <v>316</v>
      </c>
      <c r="C42" s="947"/>
      <c r="D42" s="948"/>
      <c r="E42" s="949"/>
      <c r="F42" s="949"/>
      <c r="G42" s="949"/>
      <c r="H42" s="949"/>
    </row>
    <row r="43" spans="1:9" s="963" customFormat="1" ht="6" customHeight="1">
      <c r="A43" s="1393"/>
      <c r="B43" s="951"/>
      <c r="C43" s="959"/>
      <c r="D43" s="960"/>
      <c r="E43" s="961"/>
      <c r="F43" s="961"/>
      <c r="G43" s="961"/>
      <c r="H43" s="961"/>
      <c r="I43" s="962"/>
    </row>
    <row r="44" spans="1:9" ht="15.75" customHeight="1">
      <c r="A44" s="1391">
        <v>22</v>
      </c>
      <c r="B44" s="975" t="s">
        <v>321</v>
      </c>
      <c r="C44" s="966"/>
      <c r="D44" s="976">
        <f>-'①Tidak termasuk VAT TAX'!AA8</f>
        <v>0</v>
      </c>
      <c r="E44" s="976"/>
      <c r="F44" s="976"/>
      <c r="G44" s="976"/>
      <c r="H44" s="976"/>
    </row>
    <row r="45" spans="1:9" ht="15.75" customHeight="1">
      <c r="A45" s="1391">
        <v>23</v>
      </c>
      <c r="B45" s="977" t="s">
        <v>322</v>
      </c>
      <c r="C45" s="991"/>
      <c r="D45" s="973">
        <f>'①Tidak termasuk VAT TAX'!E91+'①Tidak termasuk VAT TAX'!G91+'①Tidak termasuk VAT TAX'!I91</f>
        <v>-208311712.39942348</v>
      </c>
      <c r="E45" s="973"/>
      <c r="F45" s="973"/>
      <c r="G45" s="973"/>
      <c r="H45" s="973"/>
    </row>
    <row r="46" spans="1:9" ht="15.75" customHeight="1">
      <c r="A46" s="1391">
        <v>24</v>
      </c>
      <c r="B46" s="977" t="s">
        <v>323</v>
      </c>
      <c r="C46" s="1183">
        <f>Input　seet!D9</f>
        <v>15</v>
      </c>
      <c r="D46" s="973">
        <f>'①Tidak termasuk VAT TAX'!R91</f>
        <v>-736034.71714462957</v>
      </c>
      <c r="E46" s="973"/>
      <c r="F46" s="973"/>
      <c r="G46" s="973"/>
      <c r="H46" s="973"/>
    </row>
    <row r="47" spans="1:9" ht="15.75" customHeight="1">
      <c r="A47" s="1391">
        <v>25</v>
      </c>
      <c r="B47" s="977" t="s">
        <v>324</v>
      </c>
      <c r="C47" s="966"/>
      <c r="D47" s="973">
        <f>'①Tidak termasuk VAT TAX'!M91</f>
        <v>-1285000</v>
      </c>
      <c r="E47" s="973"/>
      <c r="F47" s="973"/>
      <c r="G47" s="973"/>
      <c r="H47" s="973"/>
    </row>
    <row r="48" spans="1:9" ht="15.75" customHeight="1">
      <c r="A48" s="1391">
        <v>26</v>
      </c>
      <c r="B48" s="977" t="s">
        <v>384</v>
      </c>
      <c r="C48" s="966"/>
      <c r="D48" s="973">
        <f>'①Tidak termasuk VAT TAX'!S91</f>
        <v>0</v>
      </c>
      <c r="E48" s="973"/>
      <c r="F48" s="973"/>
      <c r="G48" s="973"/>
      <c r="H48" s="973"/>
    </row>
    <row r="49" spans="1:10" ht="15.75" customHeight="1">
      <c r="A49" s="1391">
        <v>27</v>
      </c>
      <c r="B49" s="977" t="s">
        <v>375</v>
      </c>
      <c r="C49" s="966"/>
      <c r="D49" s="973">
        <f>'①Tidak termasuk VAT TAX'!K91</f>
        <v>0</v>
      </c>
      <c r="E49" s="973"/>
      <c r="F49" s="973"/>
      <c r="G49" s="973"/>
      <c r="H49" s="973"/>
    </row>
    <row r="50" spans="1:10" ht="15.75" customHeight="1">
      <c r="A50" s="1391">
        <v>28</v>
      </c>
      <c r="B50" s="977" t="s">
        <v>325</v>
      </c>
      <c r="C50" s="969"/>
      <c r="D50" s="973">
        <f>'①Tidak termasuk VAT TAX'!P91</f>
        <v>0</v>
      </c>
      <c r="E50" s="973"/>
      <c r="F50" s="973"/>
      <c r="G50" s="973"/>
      <c r="H50" s="973"/>
    </row>
    <row r="51" spans="1:10" ht="15.75" customHeight="1">
      <c r="A51" s="1391">
        <v>29</v>
      </c>
      <c r="B51" s="977" t="s">
        <v>326</v>
      </c>
      <c r="C51" s="969"/>
      <c r="D51" s="973">
        <f>-'①Tidak termasuk VAT TAX'!Q167</f>
        <v>-41655390.070091099</v>
      </c>
      <c r="E51" s="973">
        <f>-'③Termasuk VAT'!T168</f>
        <v>-4256926.2594651924</v>
      </c>
      <c r="F51" s="973">
        <f>D51+E51</f>
        <v>-45912316.329556294</v>
      </c>
      <c r="G51" s="973">
        <f>-'⑤Termasuk TAX'!T168</f>
        <v>33744.02627063496</v>
      </c>
      <c r="H51" s="973">
        <f>SUM(F51:G51)</f>
        <v>-45878572.303285658</v>
      </c>
    </row>
    <row r="52" spans="1:10" ht="15.75" customHeight="1">
      <c r="A52" s="1391">
        <v>30</v>
      </c>
      <c r="B52" s="977" t="s">
        <v>327</v>
      </c>
      <c r="C52" s="969"/>
      <c r="D52" s="973">
        <f>-'①Tidak termasuk VAT TAX'!AA10</f>
        <v>-5242500</v>
      </c>
      <c r="E52" s="973"/>
      <c r="F52" s="973"/>
      <c r="G52" s="973"/>
      <c r="H52" s="973"/>
    </row>
    <row r="53" spans="1:10" ht="15.75" customHeight="1">
      <c r="A53" s="1391">
        <v>31</v>
      </c>
      <c r="B53" s="981"/>
      <c r="C53" s="982"/>
      <c r="D53" s="971"/>
      <c r="E53" s="971"/>
      <c r="F53" s="971"/>
      <c r="G53" s="971"/>
      <c r="H53" s="971"/>
    </row>
    <row r="54" spans="1:10" ht="15.75" customHeight="1">
      <c r="A54" s="1391">
        <v>32</v>
      </c>
      <c r="B54" s="978" t="s">
        <v>302</v>
      </c>
      <c r="C54" s="969"/>
      <c r="D54" s="970">
        <f>SUM(D44:D53)</f>
        <v>-257230637.18665922</v>
      </c>
      <c r="E54" s="973"/>
      <c r="F54" s="973">
        <f>D54+E51</f>
        <v>-261487563.4461244</v>
      </c>
      <c r="G54" s="973"/>
      <c r="H54" s="973">
        <f>F54+G51</f>
        <v>-261453819.41985378</v>
      </c>
    </row>
    <row r="55" spans="1:10" ht="6" customHeight="1">
      <c r="A55" s="1391"/>
      <c r="B55" s="935"/>
    </row>
    <row r="56" spans="1:10" ht="15.75" customHeight="1">
      <c r="A56" s="1391"/>
      <c r="B56" s="950" t="s">
        <v>315</v>
      </c>
      <c r="C56" s="947"/>
      <c r="D56" s="948"/>
      <c r="E56" s="949"/>
      <c r="F56" s="949"/>
      <c r="G56" s="949"/>
      <c r="H56" s="949"/>
    </row>
    <row r="57" spans="1:10" s="963" customFormat="1" ht="6" customHeight="1">
      <c r="A57" s="1393"/>
      <c r="B57" s="964"/>
      <c r="C57" s="959"/>
      <c r="D57" s="960"/>
      <c r="E57" s="961"/>
      <c r="F57" s="961"/>
      <c r="G57" s="961"/>
      <c r="H57" s="961"/>
      <c r="I57" s="962"/>
    </row>
    <row r="58" spans="1:10" ht="15.75" customHeight="1">
      <c r="A58" s="1391">
        <v>33</v>
      </c>
      <c r="B58" s="979" t="s">
        <v>33</v>
      </c>
      <c r="C58" s="966"/>
      <c r="D58" s="972">
        <f>D40+D54</f>
        <v>30010390.309534669</v>
      </c>
      <c r="E58" s="972"/>
      <c r="F58" s="972">
        <f>F40+F54</f>
        <v>30010390.309534758</v>
      </c>
      <c r="G58" s="976"/>
      <c r="H58" s="976">
        <f>H40+H54</f>
        <v>30010390.309534758</v>
      </c>
      <c r="J58" s="932">
        <f>F58-D58</f>
        <v>8.9406967163085938E-8</v>
      </c>
    </row>
    <row r="59" spans="1:10" ht="15.75" customHeight="1">
      <c r="A59" s="1391">
        <v>34</v>
      </c>
      <c r="B59" s="968" t="s">
        <v>265</v>
      </c>
      <c r="C59" s="969"/>
      <c r="D59" s="970"/>
      <c r="E59" s="973"/>
      <c r="F59" s="973">
        <f>F58/$D$12*12</f>
        <v>7502597.5773836896</v>
      </c>
      <c r="G59" s="973"/>
      <c r="H59" s="973">
        <f>H58/$D$12*12</f>
        <v>7502597.5773836896</v>
      </c>
    </row>
    <row r="60" spans="1:10" ht="15.75" customHeight="1">
      <c r="A60" s="1391">
        <v>35</v>
      </c>
      <c r="B60" s="968" t="s">
        <v>303</v>
      </c>
      <c r="C60" s="969"/>
      <c r="D60" s="970"/>
      <c r="E60" s="973"/>
      <c r="F60" s="973">
        <f>(($D$19-$D$21)/2)+$D$21</f>
        <v>145506928.60319999</v>
      </c>
      <c r="G60" s="973"/>
      <c r="H60" s="973">
        <f>(($D$19-$D$21)/2)+$D$21</f>
        <v>145506928.60319999</v>
      </c>
    </row>
    <row r="61" spans="1:10" ht="15.75" customHeight="1">
      <c r="A61" s="1391">
        <v>36</v>
      </c>
      <c r="B61" s="968" t="s">
        <v>304</v>
      </c>
      <c r="C61" s="969"/>
      <c r="D61" s="970"/>
      <c r="E61" s="973"/>
      <c r="F61" s="996">
        <f>F59/F60</f>
        <v>5.1561789183547459E-2</v>
      </c>
      <c r="G61" s="999"/>
      <c r="H61" s="996">
        <f>H59/H60</f>
        <v>5.1561789183547459E-2</v>
      </c>
    </row>
    <row r="62" spans="1:10" ht="6" customHeight="1">
      <c r="A62" s="1391"/>
      <c r="B62" s="928"/>
      <c r="F62" s="928"/>
      <c r="G62" s="928"/>
      <c r="H62" s="928"/>
    </row>
    <row r="63" spans="1:10" ht="15.75" customHeight="1">
      <c r="A63" s="1391"/>
      <c r="B63" s="928"/>
      <c r="F63" s="928"/>
      <c r="G63" s="928"/>
      <c r="H63" s="928"/>
    </row>
    <row r="64" spans="1:10" ht="19.5" customHeight="1">
      <c r="A64" s="1391"/>
      <c r="B64" s="950" t="s">
        <v>480</v>
      </c>
      <c r="C64" s="947"/>
      <c r="D64" s="948"/>
      <c r="E64" s="949"/>
      <c r="F64" s="949"/>
      <c r="G64" s="949"/>
      <c r="H64" s="949"/>
    </row>
    <row r="65" spans="1:9" ht="12">
      <c r="A65" s="1391"/>
      <c r="B65" s="964"/>
      <c r="C65" s="959"/>
      <c r="D65" s="960"/>
      <c r="E65" s="961"/>
      <c r="F65" s="961"/>
      <c r="G65" s="1369" t="s">
        <v>477</v>
      </c>
      <c r="H65" s="1370" t="s">
        <v>58</v>
      </c>
    </row>
    <row r="66" spans="1:9" ht="14.25" customHeight="1">
      <c r="A66" s="1392">
        <v>37</v>
      </c>
      <c r="B66" s="1371" t="s">
        <v>484</v>
      </c>
      <c r="C66" s="1372"/>
      <c r="D66" s="1373"/>
      <c r="E66" s="1373"/>
      <c r="F66" s="1373"/>
      <c r="G66" s="1382">
        <f>H66/(D12/12)</f>
        <v>7502597.5773836896</v>
      </c>
      <c r="H66" s="1382">
        <f>H40+H54+C74+C75+C77</f>
        <v>30010390.309534758</v>
      </c>
    </row>
    <row r="67" spans="1:9" ht="14.25" customHeight="1">
      <c r="A67" s="1392">
        <v>38</v>
      </c>
      <c r="B67" s="968" t="s">
        <v>476</v>
      </c>
      <c r="C67" s="1374">
        <v>-4.2000000000000003E-2</v>
      </c>
      <c r="D67" s="970"/>
      <c r="E67" s="1383"/>
      <c r="F67" s="1383"/>
      <c r="G67" s="1383">
        <f>C67*G70</f>
        <v>-5623114.2865819531</v>
      </c>
      <c r="H67" s="1383">
        <f>(D12/12)*G67</f>
        <v>-22492457.146327812</v>
      </c>
    </row>
    <row r="68" spans="1:9" ht="14.25" customHeight="1">
      <c r="A68" s="1392">
        <v>39</v>
      </c>
      <c r="B68" s="968" t="s">
        <v>478</v>
      </c>
      <c r="C68" s="1374">
        <v>-8.9999999999999993E-3</v>
      </c>
      <c r="D68" s="970"/>
      <c r="E68" s="1383"/>
      <c r="F68" s="1383"/>
      <c r="G68" s="1383">
        <f>C68*G70</f>
        <v>-1204953.0614104182</v>
      </c>
      <c r="H68" s="1383">
        <f>(D12/12)*G68</f>
        <v>-4819812.245641673</v>
      </c>
    </row>
    <row r="69" spans="1:9" ht="14.25" customHeight="1">
      <c r="A69" s="1392">
        <v>40</v>
      </c>
      <c r="B69" s="1375" t="s">
        <v>479</v>
      </c>
      <c r="C69" s="1376"/>
      <c r="D69" s="970"/>
      <c r="E69" s="1383"/>
      <c r="F69" s="1383"/>
      <c r="G69" s="1384">
        <f>SUM(G66:G68)</f>
        <v>674530.22939131828</v>
      </c>
      <c r="H69" s="1384">
        <f>SUM(H66:H68)</f>
        <v>2698120.9175652731</v>
      </c>
    </row>
    <row r="70" spans="1:9" ht="14.25" customHeight="1">
      <c r="A70" s="1392">
        <v>41</v>
      </c>
      <c r="B70" s="968" t="s">
        <v>485</v>
      </c>
      <c r="C70" s="969"/>
      <c r="D70" s="970"/>
      <c r="E70" s="1383"/>
      <c r="F70" s="1383"/>
      <c r="G70" s="1383">
        <f>IF(D12=12,AVERAGE(Sheet5!D3:D14),IF(D12=24,AVERAGE(Sheet5!D3:D26),IF(D12=36,AVERAGE(Sheet5!D3:D38),IF(D12=48,AVERAGE(Sheet5!D3:D50),IF(D12=60,AVERAGE(Sheet5!D3:D62),"ERROR")))))</f>
        <v>133883673.49004649</v>
      </c>
      <c r="H70" s="1383">
        <f>IF(D12=12,AVERAGE(Sheet5!D3:D14),IF(D12=24,AVERAGE(Sheet5!D3:D26),IF(D12=36,AVERAGE(Sheet5!D3:D38),IF(D12=48,AVERAGE(Sheet5!D3:D50),IF(D12=60,AVERAGE(Sheet5!D3:D62),"ERROR")))))</f>
        <v>133883673.49004649</v>
      </c>
    </row>
    <row r="71" spans="1:9" ht="14.25" customHeight="1">
      <c r="A71" s="1392">
        <v>42</v>
      </c>
      <c r="B71" s="1375" t="s">
        <v>304</v>
      </c>
      <c r="C71" s="969"/>
      <c r="D71" s="970"/>
      <c r="E71" s="1383"/>
      <c r="F71" s="1385"/>
      <c r="G71" s="1386">
        <f>G69/G70</f>
        <v>5.0381813690036368E-3</v>
      </c>
      <c r="H71" s="932"/>
      <c r="I71" s="928"/>
    </row>
    <row r="72" spans="1:9">
      <c r="B72" s="934"/>
    </row>
    <row r="74" spans="1:9">
      <c r="B74" s="928" t="s">
        <v>482</v>
      </c>
      <c r="C74" s="929">
        <f>Input　seet!D45</f>
        <v>0</v>
      </c>
    </row>
    <row r="75" spans="1:9">
      <c r="B75" s="928" t="s">
        <v>483</v>
      </c>
      <c r="C75" s="1380">
        <f>-15%*(D37+D44)</f>
        <v>0</v>
      </c>
    </row>
    <row r="77" spans="1:9">
      <c r="C77" s="1381"/>
    </row>
    <row r="86" ht="11.25" customHeight="1"/>
  </sheetData>
  <mergeCells count="1">
    <mergeCell ref="A4:B4"/>
  </mergeCells>
  <phoneticPr fontId="69"/>
  <pageMargins left="0.23622047244094491" right="0.23622047244094491" top="0.19685039370078741" bottom="0.15748031496062992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116"/>
  <sheetViews>
    <sheetView topLeftCell="Q97" zoomScale="106" zoomScaleNormal="106" workbookViewId="0">
      <selection activeCell="W9" sqref="W9"/>
    </sheetView>
  </sheetViews>
  <sheetFormatPr defaultColWidth="9.140625" defaultRowHeight="10.5"/>
  <cols>
    <col min="1" max="1" width="4.28515625" style="80" customWidth="1"/>
    <col min="2" max="2" width="10.140625" style="80" customWidth="1"/>
    <col min="3" max="3" width="8.85546875" style="80" customWidth="1"/>
    <col min="4" max="4" width="11.140625" style="80" customWidth="1"/>
    <col min="5" max="5" width="15" style="80" bestFit="1" customWidth="1"/>
    <col min="6" max="6" width="13.5703125" style="80" customWidth="1"/>
    <col min="7" max="7" width="11.42578125" style="80" bestFit="1" customWidth="1"/>
    <col min="8" max="8" width="11.28515625" style="80" customWidth="1"/>
    <col min="9" max="9" width="15.28515625" style="80" bestFit="1" customWidth="1"/>
    <col min="10" max="12" width="11.85546875" style="80" customWidth="1"/>
    <col min="13" max="13" width="19.140625" style="80" customWidth="1"/>
    <col min="14" max="14" width="15" style="80" customWidth="1"/>
    <col min="15" max="15" width="15.28515625" style="80" customWidth="1"/>
    <col min="16" max="18" width="18.85546875" style="80" customWidth="1"/>
    <col min="19" max="19" width="12.7109375" style="80" customWidth="1"/>
    <col min="20" max="20" width="13.7109375" style="80" customWidth="1"/>
    <col min="21" max="21" width="16.140625" style="80" customWidth="1"/>
    <col min="22" max="22" width="17" style="80" customWidth="1"/>
    <col min="23" max="23" width="15" style="80" customWidth="1"/>
    <col min="24" max="24" width="14.28515625" style="80" customWidth="1"/>
    <col min="25" max="25" width="14.85546875" style="80" customWidth="1"/>
    <col min="26" max="26" width="17.140625" style="80" customWidth="1"/>
    <col min="27" max="27" width="13.5703125" style="80" customWidth="1"/>
    <col min="28" max="29" width="14.85546875" style="80" customWidth="1"/>
    <col min="30" max="30" width="18.85546875" style="80" customWidth="1"/>
    <col min="31" max="31" width="19.42578125" style="80" customWidth="1"/>
    <col min="32" max="32" width="16.140625" style="80" customWidth="1"/>
    <col min="33" max="33" width="14.5703125" style="80" customWidth="1"/>
    <col min="34" max="34" width="20.28515625" style="80" customWidth="1"/>
    <col min="35" max="35" width="13.85546875" style="80" customWidth="1"/>
    <col min="36" max="36" width="19.140625" style="80" customWidth="1"/>
    <col min="37" max="37" width="19.7109375" style="80" customWidth="1"/>
    <col min="38" max="38" width="16.5703125" style="80" customWidth="1"/>
    <col min="39" max="39" width="19.140625" style="80" customWidth="1"/>
    <col min="40" max="42" width="16.5703125" style="80" customWidth="1"/>
    <col min="43" max="43" width="15.7109375" style="80" customWidth="1"/>
    <col min="44" max="44" width="19.42578125" style="80" customWidth="1"/>
    <col min="45" max="45" width="14.85546875" style="273" bestFit="1" customWidth="1"/>
    <col min="46" max="46" width="13.7109375" style="273" bestFit="1" customWidth="1"/>
    <col min="47" max="47" width="13" style="274" customWidth="1"/>
    <col min="48" max="48" width="18.42578125" style="273" customWidth="1"/>
    <col min="49" max="51" width="13.140625" style="273" customWidth="1"/>
    <col min="52" max="52" width="16.42578125" style="273" customWidth="1"/>
    <col min="53" max="53" width="13.140625" style="273" customWidth="1"/>
    <col min="54" max="54" width="15.28515625" style="273" customWidth="1"/>
    <col min="55" max="55" width="14" style="273" bestFit="1" customWidth="1"/>
    <col min="56" max="56" width="17.140625" style="275" customWidth="1"/>
    <col min="57" max="62" width="16.5703125" style="80" customWidth="1"/>
    <col min="63" max="64" width="16.5703125" style="276" customWidth="1"/>
    <col min="65" max="78" width="16.5703125" style="80" customWidth="1"/>
    <col min="79" max="79" width="20.140625" style="80" customWidth="1"/>
    <col min="80" max="80" width="13.28515625" style="277" customWidth="1"/>
    <col min="81" max="81" width="14.85546875" style="277" customWidth="1"/>
    <col min="82" max="82" width="13.85546875" style="277" customWidth="1"/>
    <col min="83" max="83" width="13.5703125" style="277" customWidth="1"/>
    <col min="84" max="84" width="13" style="277" customWidth="1"/>
    <col min="85" max="85" width="13.5703125" style="80" customWidth="1"/>
    <col min="86" max="86" width="7.7109375" style="80" bestFit="1" customWidth="1"/>
    <col min="87" max="256" width="9.140625" style="80"/>
    <col min="257" max="257" width="4.28515625" style="80" customWidth="1"/>
    <col min="258" max="258" width="10.140625" style="80" customWidth="1"/>
    <col min="259" max="259" width="8.85546875" style="80" customWidth="1"/>
    <col min="260" max="260" width="11.140625" style="80" customWidth="1"/>
    <col min="261" max="261" width="15" style="80" bestFit="1" customWidth="1"/>
    <col min="262" max="262" width="13.5703125" style="80" customWidth="1"/>
    <col min="263" max="263" width="11.42578125" style="80" bestFit="1" customWidth="1"/>
    <col min="264" max="264" width="11.28515625" style="80" customWidth="1"/>
    <col min="265" max="265" width="15.28515625" style="80" bestFit="1" customWidth="1"/>
    <col min="266" max="268" width="11.85546875" style="80" customWidth="1"/>
    <col min="269" max="269" width="19.140625" style="80" customWidth="1"/>
    <col min="270" max="270" width="15" style="80" customWidth="1"/>
    <col min="271" max="271" width="15.28515625" style="80" customWidth="1"/>
    <col min="272" max="274" width="18.85546875" style="80" customWidth="1"/>
    <col min="275" max="275" width="12.7109375" style="80" customWidth="1"/>
    <col min="276" max="276" width="13.7109375" style="80" customWidth="1"/>
    <col min="277" max="277" width="16.140625" style="80" customWidth="1"/>
    <col min="278" max="278" width="17" style="80" customWidth="1"/>
    <col min="279" max="279" width="15" style="80" customWidth="1"/>
    <col min="280" max="280" width="14.28515625" style="80" customWidth="1"/>
    <col min="281" max="281" width="14.85546875" style="80" customWidth="1"/>
    <col min="282" max="282" width="17.140625" style="80" customWidth="1"/>
    <col min="283" max="283" width="13.5703125" style="80" customWidth="1"/>
    <col min="284" max="285" width="14.85546875" style="80" customWidth="1"/>
    <col min="286" max="286" width="18.85546875" style="80" customWidth="1"/>
    <col min="287" max="287" width="19.42578125" style="80" customWidth="1"/>
    <col min="288" max="288" width="16.140625" style="80" customWidth="1"/>
    <col min="289" max="289" width="14.5703125" style="80" customWidth="1"/>
    <col min="290" max="290" width="20.28515625" style="80" customWidth="1"/>
    <col min="291" max="291" width="13.85546875" style="80" customWidth="1"/>
    <col min="292" max="292" width="19.140625" style="80" customWidth="1"/>
    <col min="293" max="293" width="19.7109375" style="80" customWidth="1"/>
    <col min="294" max="294" width="16.5703125" style="80" customWidth="1"/>
    <col min="295" max="295" width="19.140625" style="80" customWidth="1"/>
    <col min="296" max="298" width="16.5703125" style="80" customWidth="1"/>
    <col min="299" max="299" width="15.7109375" style="80" customWidth="1"/>
    <col min="300" max="300" width="19.42578125" style="80" customWidth="1"/>
    <col min="301" max="301" width="14.85546875" style="80" bestFit="1" customWidth="1"/>
    <col min="302" max="302" width="13.7109375" style="80" bestFit="1" customWidth="1"/>
    <col min="303" max="303" width="13" style="80" customWidth="1"/>
    <col min="304" max="304" width="18.42578125" style="80" customWidth="1"/>
    <col min="305" max="307" width="13.140625" style="80" customWidth="1"/>
    <col min="308" max="308" width="16.42578125" style="80" customWidth="1"/>
    <col min="309" max="309" width="13.140625" style="80" customWidth="1"/>
    <col min="310" max="310" width="15.28515625" style="80" customWidth="1"/>
    <col min="311" max="311" width="14" style="80" bestFit="1" customWidth="1"/>
    <col min="312" max="312" width="17.140625" style="80" customWidth="1"/>
    <col min="313" max="334" width="16.5703125" style="80" customWidth="1"/>
    <col min="335" max="335" width="20.140625" style="80" customWidth="1"/>
    <col min="336" max="336" width="13.28515625" style="80" customWidth="1"/>
    <col min="337" max="337" width="14.85546875" style="80" customWidth="1"/>
    <col min="338" max="338" width="13.85546875" style="80" customWidth="1"/>
    <col min="339" max="339" width="13.5703125" style="80" customWidth="1"/>
    <col min="340" max="340" width="13" style="80" customWidth="1"/>
    <col min="341" max="341" width="13.5703125" style="80" customWidth="1"/>
    <col min="342" max="342" width="7.7109375" style="80" bestFit="1" customWidth="1"/>
    <col min="343" max="512" width="9.140625" style="80"/>
    <col min="513" max="513" width="4.28515625" style="80" customWidth="1"/>
    <col min="514" max="514" width="10.140625" style="80" customWidth="1"/>
    <col min="515" max="515" width="8.85546875" style="80" customWidth="1"/>
    <col min="516" max="516" width="11.140625" style="80" customWidth="1"/>
    <col min="517" max="517" width="15" style="80" bestFit="1" customWidth="1"/>
    <col min="518" max="518" width="13.5703125" style="80" customWidth="1"/>
    <col min="519" max="519" width="11.42578125" style="80" bestFit="1" customWidth="1"/>
    <col min="520" max="520" width="11.28515625" style="80" customWidth="1"/>
    <col min="521" max="521" width="15.28515625" style="80" bestFit="1" customWidth="1"/>
    <col min="522" max="524" width="11.85546875" style="80" customWidth="1"/>
    <col min="525" max="525" width="19.140625" style="80" customWidth="1"/>
    <col min="526" max="526" width="15" style="80" customWidth="1"/>
    <col min="527" max="527" width="15.28515625" style="80" customWidth="1"/>
    <col min="528" max="530" width="18.85546875" style="80" customWidth="1"/>
    <col min="531" max="531" width="12.7109375" style="80" customWidth="1"/>
    <col min="532" max="532" width="13.7109375" style="80" customWidth="1"/>
    <col min="533" max="533" width="16.140625" style="80" customWidth="1"/>
    <col min="534" max="534" width="17" style="80" customWidth="1"/>
    <col min="535" max="535" width="15" style="80" customWidth="1"/>
    <col min="536" max="536" width="14.28515625" style="80" customWidth="1"/>
    <col min="537" max="537" width="14.85546875" style="80" customWidth="1"/>
    <col min="538" max="538" width="17.140625" style="80" customWidth="1"/>
    <col min="539" max="539" width="13.5703125" style="80" customWidth="1"/>
    <col min="540" max="541" width="14.85546875" style="80" customWidth="1"/>
    <col min="542" max="542" width="18.85546875" style="80" customWidth="1"/>
    <col min="543" max="543" width="19.42578125" style="80" customWidth="1"/>
    <col min="544" max="544" width="16.140625" style="80" customWidth="1"/>
    <col min="545" max="545" width="14.5703125" style="80" customWidth="1"/>
    <col min="546" max="546" width="20.28515625" style="80" customWidth="1"/>
    <col min="547" max="547" width="13.85546875" style="80" customWidth="1"/>
    <col min="548" max="548" width="19.140625" style="80" customWidth="1"/>
    <col min="549" max="549" width="19.7109375" style="80" customWidth="1"/>
    <col min="550" max="550" width="16.5703125" style="80" customWidth="1"/>
    <col min="551" max="551" width="19.140625" style="80" customWidth="1"/>
    <col min="552" max="554" width="16.5703125" style="80" customWidth="1"/>
    <col min="555" max="555" width="15.7109375" style="80" customWidth="1"/>
    <col min="556" max="556" width="19.42578125" style="80" customWidth="1"/>
    <col min="557" max="557" width="14.85546875" style="80" bestFit="1" customWidth="1"/>
    <col min="558" max="558" width="13.7109375" style="80" bestFit="1" customWidth="1"/>
    <col min="559" max="559" width="13" style="80" customWidth="1"/>
    <col min="560" max="560" width="18.42578125" style="80" customWidth="1"/>
    <col min="561" max="563" width="13.140625" style="80" customWidth="1"/>
    <col min="564" max="564" width="16.42578125" style="80" customWidth="1"/>
    <col min="565" max="565" width="13.140625" style="80" customWidth="1"/>
    <col min="566" max="566" width="15.28515625" style="80" customWidth="1"/>
    <col min="567" max="567" width="14" style="80" bestFit="1" customWidth="1"/>
    <col min="568" max="568" width="17.140625" style="80" customWidth="1"/>
    <col min="569" max="590" width="16.5703125" style="80" customWidth="1"/>
    <col min="591" max="591" width="20.140625" style="80" customWidth="1"/>
    <col min="592" max="592" width="13.28515625" style="80" customWidth="1"/>
    <col min="593" max="593" width="14.85546875" style="80" customWidth="1"/>
    <col min="594" max="594" width="13.85546875" style="80" customWidth="1"/>
    <col min="595" max="595" width="13.5703125" style="80" customWidth="1"/>
    <col min="596" max="596" width="13" style="80" customWidth="1"/>
    <col min="597" max="597" width="13.5703125" style="80" customWidth="1"/>
    <col min="598" max="598" width="7.7109375" style="80" bestFit="1" customWidth="1"/>
    <col min="599" max="768" width="9.140625" style="80"/>
    <col min="769" max="769" width="4.28515625" style="80" customWidth="1"/>
    <col min="770" max="770" width="10.140625" style="80" customWidth="1"/>
    <col min="771" max="771" width="8.85546875" style="80" customWidth="1"/>
    <col min="772" max="772" width="11.140625" style="80" customWidth="1"/>
    <col min="773" max="773" width="15" style="80" bestFit="1" customWidth="1"/>
    <col min="774" max="774" width="13.5703125" style="80" customWidth="1"/>
    <col min="775" max="775" width="11.42578125" style="80" bestFit="1" customWidth="1"/>
    <col min="776" max="776" width="11.28515625" style="80" customWidth="1"/>
    <col min="777" max="777" width="15.28515625" style="80" bestFit="1" customWidth="1"/>
    <col min="778" max="780" width="11.85546875" style="80" customWidth="1"/>
    <col min="781" max="781" width="19.140625" style="80" customWidth="1"/>
    <col min="782" max="782" width="15" style="80" customWidth="1"/>
    <col min="783" max="783" width="15.28515625" style="80" customWidth="1"/>
    <col min="784" max="786" width="18.85546875" style="80" customWidth="1"/>
    <col min="787" max="787" width="12.7109375" style="80" customWidth="1"/>
    <col min="788" max="788" width="13.7109375" style="80" customWidth="1"/>
    <col min="789" max="789" width="16.140625" style="80" customWidth="1"/>
    <col min="790" max="790" width="17" style="80" customWidth="1"/>
    <col min="791" max="791" width="15" style="80" customWidth="1"/>
    <col min="792" max="792" width="14.28515625" style="80" customWidth="1"/>
    <col min="793" max="793" width="14.85546875" style="80" customWidth="1"/>
    <col min="794" max="794" width="17.140625" style="80" customWidth="1"/>
    <col min="795" max="795" width="13.5703125" style="80" customWidth="1"/>
    <col min="796" max="797" width="14.85546875" style="80" customWidth="1"/>
    <col min="798" max="798" width="18.85546875" style="80" customWidth="1"/>
    <col min="799" max="799" width="19.42578125" style="80" customWidth="1"/>
    <col min="800" max="800" width="16.140625" style="80" customWidth="1"/>
    <col min="801" max="801" width="14.5703125" style="80" customWidth="1"/>
    <col min="802" max="802" width="20.28515625" style="80" customWidth="1"/>
    <col min="803" max="803" width="13.85546875" style="80" customWidth="1"/>
    <col min="804" max="804" width="19.140625" style="80" customWidth="1"/>
    <col min="805" max="805" width="19.7109375" style="80" customWidth="1"/>
    <col min="806" max="806" width="16.5703125" style="80" customWidth="1"/>
    <col min="807" max="807" width="19.140625" style="80" customWidth="1"/>
    <col min="808" max="810" width="16.5703125" style="80" customWidth="1"/>
    <col min="811" max="811" width="15.7109375" style="80" customWidth="1"/>
    <col min="812" max="812" width="19.42578125" style="80" customWidth="1"/>
    <col min="813" max="813" width="14.85546875" style="80" bestFit="1" customWidth="1"/>
    <col min="814" max="814" width="13.7109375" style="80" bestFit="1" customWidth="1"/>
    <col min="815" max="815" width="13" style="80" customWidth="1"/>
    <col min="816" max="816" width="18.42578125" style="80" customWidth="1"/>
    <col min="817" max="819" width="13.140625" style="80" customWidth="1"/>
    <col min="820" max="820" width="16.42578125" style="80" customWidth="1"/>
    <col min="821" max="821" width="13.140625" style="80" customWidth="1"/>
    <col min="822" max="822" width="15.28515625" style="80" customWidth="1"/>
    <col min="823" max="823" width="14" style="80" bestFit="1" customWidth="1"/>
    <col min="824" max="824" width="17.140625" style="80" customWidth="1"/>
    <col min="825" max="846" width="16.5703125" style="80" customWidth="1"/>
    <col min="847" max="847" width="20.140625" style="80" customWidth="1"/>
    <col min="848" max="848" width="13.28515625" style="80" customWidth="1"/>
    <col min="849" max="849" width="14.85546875" style="80" customWidth="1"/>
    <col min="850" max="850" width="13.85546875" style="80" customWidth="1"/>
    <col min="851" max="851" width="13.5703125" style="80" customWidth="1"/>
    <col min="852" max="852" width="13" style="80" customWidth="1"/>
    <col min="853" max="853" width="13.5703125" style="80" customWidth="1"/>
    <col min="854" max="854" width="7.7109375" style="80" bestFit="1" customWidth="1"/>
    <col min="855" max="1024" width="9.140625" style="80"/>
    <col min="1025" max="1025" width="4.28515625" style="80" customWidth="1"/>
    <col min="1026" max="1026" width="10.140625" style="80" customWidth="1"/>
    <col min="1027" max="1027" width="8.85546875" style="80" customWidth="1"/>
    <col min="1028" max="1028" width="11.140625" style="80" customWidth="1"/>
    <col min="1029" max="1029" width="15" style="80" bestFit="1" customWidth="1"/>
    <col min="1030" max="1030" width="13.5703125" style="80" customWidth="1"/>
    <col min="1031" max="1031" width="11.42578125" style="80" bestFit="1" customWidth="1"/>
    <col min="1032" max="1032" width="11.28515625" style="80" customWidth="1"/>
    <col min="1033" max="1033" width="15.28515625" style="80" bestFit="1" customWidth="1"/>
    <col min="1034" max="1036" width="11.85546875" style="80" customWidth="1"/>
    <col min="1037" max="1037" width="19.140625" style="80" customWidth="1"/>
    <col min="1038" max="1038" width="15" style="80" customWidth="1"/>
    <col min="1039" max="1039" width="15.28515625" style="80" customWidth="1"/>
    <col min="1040" max="1042" width="18.85546875" style="80" customWidth="1"/>
    <col min="1043" max="1043" width="12.7109375" style="80" customWidth="1"/>
    <col min="1044" max="1044" width="13.7109375" style="80" customWidth="1"/>
    <col min="1045" max="1045" width="16.140625" style="80" customWidth="1"/>
    <col min="1046" max="1046" width="17" style="80" customWidth="1"/>
    <col min="1047" max="1047" width="15" style="80" customWidth="1"/>
    <col min="1048" max="1048" width="14.28515625" style="80" customWidth="1"/>
    <col min="1049" max="1049" width="14.85546875" style="80" customWidth="1"/>
    <col min="1050" max="1050" width="17.140625" style="80" customWidth="1"/>
    <col min="1051" max="1051" width="13.5703125" style="80" customWidth="1"/>
    <col min="1052" max="1053" width="14.85546875" style="80" customWidth="1"/>
    <col min="1054" max="1054" width="18.85546875" style="80" customWidth="1"/>
    <col min="1055" max="1055" width="19.42578125" style="80" customWidth="1"/>
    <col min="1056" max="1056" width="16.140625" style="80" customWidth="1"/>
    <col min="1057" max="1057" width="14.5703125" style="80" customWidth="1"/>
    <col min="1058" max="1058" width="20.28515625" style="80" customWidth="1"/>
    <col min="1059" max="1059" width="13.85546875" style="80" customWidth="1"/>
    <col min="1060" max="1060" width="19.140625" style="80" customWidth="1"/>
    <col min="1061" max="1061" width="19.7109375" style="80" customWidth="1"/>
    <col min="1062" max="1062" width="16.5703125" style="80" customWidth="1"/>
    <col min="1063" max="1063" width="19.140625" style="80" customWidth="1"/>
    <col min="1064" max="1066" width="16.5703125" style="80" customWidth="1"/>
    <col min="1067" max="1067" width="15.7109375" style="80" customWidth="1"/>
    <col min="1068" max="1068" width="19.42578125" style="80" customWidth="1"/>
    <col min="1069" max="1069" width="14.85546875" style="80" bestFit="1" customWidth="1"/>
    <col min="1070" max="1070" width="13.7109375" style="80" bestFit="1" customWidth="1"/>
    <col min="1071" max="1071" width="13" style="80" customWidth="1"/>
    <col min="1072" max="1072" width="18.42578125" style="80" customWidth="1"/>
    <col min="1073" max="1075" width="13.140625" style="80" customWidth="1"/>
    <col min="1076" max="1076" width="16.42578125" style="80" customWidth="1"/>
    <col min="1077" max="1077" width="13.140625" style="80" customWidth="1"/>
    <col min="1078" max="1078" width="15.28515625" style="80" customWidth="1"/>
    <col min="1079" max="1079" width="14" style="80" bestFit="1" customWidth="1"/>
    <col min="1080" max="1080" width="17.140625" style="80" customWidth="1"/>
    <col min="1081" max="1102" width="16.5703125" style="80" customWidth="1"/>
    <col min="1103" max="1103" width="20.140625" style="80" customWidth="1"/>
    <col min="1104" max="1104" width="13.28515625" style="80" customWidth="1"/>
    <col min="1105" max="1105" width="14.85546875" style="80" customWidth="1"/>
    <col min="1106" max="1106" width="13.85546875" style="80" customWidth="1"/>
    <col min="1107" max="1107" width="13.5703125" style="80" customWidth="1"/>
    <col min="1108" max="1108" width="13" style="80" customWidth="1"/>
    <col min="1109" max="1109" width="13.5703125" style="80" customWidth="1"/>
    <col min="1110" max="1110" width="7.7109375" style="80" bestFit="1" customWidth="1"/>
    <col min="1111" max="1280" width="9.140625" style="80"/>
    <col min="1281" max="1281" width="4.28515625" style="80" customWidth="1"/>
    <col min="1282" max="1282" width="10.140625" style="80" customWidth="1"/>
    <col min="1283" max="1283" width="8.85546875" style="80" customWidth="1"/>
    <col min="1284" max="1284" width="11.140625" style="80" customWidth="1"/>
    <col min="1285" max="1285" width="15" style="80" bestFit="1" customWidth="1"/>
    <col min="1286" max="1286" width="13.5703125" style="80" customWidth="1"/>
    <col min="1287" max="1287" width="11.42578125" style="80" bestFit="1" customWidth="1"/>
    <col min="1288" max="1288" width="11.28515625" style="80" customWidth="1"/>
    <col min="1289" max="1289" width="15.28515625" style="80" bestFit="1" customWidth="1"/>
    <col min="1290" max="1292" width="11.85546875" style="80" customWidth="1"/>
    <col min="1293" max="1293" width="19.140625" style="80" customWidth="1"/>
    <col min="1294" max="1294" width="15" style="80" customWidth="1"/>
    <col min="1295" max="1295" width="15.28515625" style="80" customWidth="1"/>
    <col min="1296" max="1298" width="18.85546875" style="80" customWidth="1"/>
    <col min="1299" max="1299" width="12.7109375" style="80" customWidth="1"/>
    <col min="1300" max="1300" width="13.7109375" style="80" customWidth="1"/>
    <col min="1301" max="1301" width="16.140625" style="80" customWidth="1"/>
    <col min="1302" max="1302" width="17" style="80" customWidth="1"/>
    <col min="1303" max="1303" width="15" style="80" customWidth="1"/>
    <col min="1304" max="1304" width="14.28515625" style="80" customWidth="1"/>
    <col min="1305" max="1305" width="14.85546875" style="80" customWidth="1"/>
    <col min="1306" max="1306" width="17.140625" style="80" customWidth="1"/>
    <col min="1307" max="1307" width="13.5703125" style="80" customWidth="1"/>
    <col min="1308" max="1309" width="14.85546875" style="80" customWidth="1"/>
    <col min="1310" max="1310" width="18.85546875" style="80" customWidth="1"/>
    <col min="1311" max="1311" width="19.42578125" style="80" customWidth="1"/>
    <col min="1312" max="1312" width="16.140625" style="80" customWidth="1"/>
    <col min="1313" max="1313" width="14.5703125" style="80" customWidth="1"/>
    <col min="1314" max="1314" width="20.28515625" style="80" customWidth="1"/>
    <col min="1315" max="1315" width="13.85546875" style="80" customWidth="1"/>
    <col min="1316" max="1316" width="19.140625" style="80" customWidth="1"/>
    <col min="1317" max="1317" width="19.7109375" style="80" customWidth="1"/>
    <col min="1318" max="1318" width="16.5703125" style="80" customWidth="1"/>
    <col min="1319" max="1319" width="19.140625" style="80" customWidth="1"/>
    <col min="1320" max="1322" width="16.5703125" style="80" customWidth="1"/>
    <col min="1323" max="1323" width="15.7109375" style="80" customWidth="1"/>
    <col min="1324" max="1324" width="19.42578125" style="80" customWidth="1"/>
    <col min="1325" max="1325" width="14.85546875" style="80" bestFit="1" customWidth="1"/>
    <col min="1326" max="1326" width="13.7109375" style="80" bestFit="1" customWidth="1"/>
    <col min="1327" max="1327" width="13" style="80" customWidth="1"/>
    <col min="1328" max="1328" width="18.42578125" style="80" customWidth="1"/>
    <col min="1329" max="1331" width="13.140625" style="80" customWidth="1"/>
    <col min="1332" max="1332" width="16.42578125" style="80" customWidth="1"/>
    <col min="1333" max="1333" width="13.140625" style="80" customWidth="1"/>
    <col min="1334" max="1334" width="15.28515625" style="80" customWidth="1"/>
    <col min="1335" max="1335" width="14" style="80" bestFit="1" customWidth="1"/>
    <col min="1336" max="1336" width="17.140625" style="80" customWidth="1"/>
    <col min="1337" max="1358" width="16.5703125" style="80" customWidth="1"/>
    <col min="1359" max="1359" width="20.140625" style="80" customWidth="1"/>
    <col min="1360" max="1360" width="13.28515625" style="80" customWidth="1"/>
    <col min="1361" max="1361" width="14.85546875" style="80" customWidth="1"/>
    <col min="1362" max="1362" width="13.85546875" style="80" customWidth="1"/>
    <col min="1363" max="1363" width="13.5703125" style="80" customWidth="1"/>
    <col min="1364" max="1364" width="13" style="80" customWidth="1"/>
    <col min="1365" max="1365" width="13.5703125" style="80" customWidth="1"/>
    <col min="1366" max="1366" width="7.7109375" style="80" bestFit="1" customWidth="1"/>
    <col min="1367" max="1536" width="9.140625" style="80"/>
    <col min="1537" max="1537" width="4.28515625" style="80" customWidth="1"/>
    <col min="1538" max="1538" width="10.140625" style="80" customWidth="1"/>
    <col min="1539" max="1539" width="8.85546875" style="80" customWidth="1"/>
    <col min="1540" max="1540" width="11.140625" style="80" customWidth="1"/>
    <col min="1541" max="1541" width="15" style="80" bestFit="1" customWidth="1"/>
    <col min="1542" max="1542" width="13.5703125" style="80" customWidth="1"/>
    <col min="1543" max="1543" width="11.42578125" style="80" bestFit="1" customWidth="1"/>
    <col min="1544" max="1544" width="11.28515625" style="80" customWidth="1"/>
    <col min="1545" max="1545" width="15.28515625" style="80" bestFit="1" customWidth="1"/>
    <col min="1546" max="1548" width="11.85546875" style="80" customWidth="1"/>
    <col min="1549" max="1549" width="19.140625" style="80" customWidth="1"/>
    <col min="1550" max="1550" width="15" style="80" customWidth="1"/>
    <col min="1551" max="1551" width="15.28515625" style="80" customWidth="1"/>
    <col min="1552" max="1554" width="18.85546875" style="80" customWidth="1"/>
    <col min="1555" max="1555" width="12.7109375" style="80" customWidth="1"/>
    <col min="1556" max="1556" width="13.7109375" style="80" customWidth="1"/>
    <col min="1557" max="1557" width="16.140625" style="80" customWidth="1"/>
    <col min="1558" max="1558" width="17" style="80" customWidth="1"/>
    <col min="1559" max="1559" width="15" style="80" customWidth="1"/>
    <col min="1560" max="1560" width="14.28515625" style="80" customWidth="1"/>
    <col min="1561" max="1561" width="14.85546875" style="80" customWidth="1"/>
    <col min="1562" max="1562" width="17.140625" style="80" customWidth="1"/>
    <col min="1563" max="1563" width="13.5703125" style="80" customWidth="1"/>
    <col min="1564" max="1565" width="14.85546875" style="80" customWidth="1"/>
    <col min="1566" max="1566" width="18.85546875" style="80" customWidth="1"/>
    <col min="1567" max="1567" width="19.42578125" style="80" customWidth="1"/>
    <col min="1568" max="1568" width="16.140625" style="80" customWidth="1"/>
    <col min="1569" max="1569" width="14.5703125" style="80" customWidth="1"/>
    <col min="1570" max="1570" width="20.28515625" style="80" customWidth="1"/>
    <col min="1571" max="1571" width="13.85546875" style="80" customWidth="1"/>
    <col min="1572" max="1572" width="19.140625" style="80" customWidth="1"/>
    <col min="1573" max="1573" width="19.7109375" style="80" customWidth="1"/>
    <col min="1574" max="1574" width="16.5703125" style="80" customWidth="1"/>
    <col min="1575" max="1575" width="19.140625" style="80" customWidth="1"/>
    <col min="1576" max="1578" width="16.5703125" style="80" customWidth="1"/>
    <col min="1579" max="1579" width="15.7109375" style="80" customWidth="1"/>
    <col min="1580" max="1580" width="19.42578125" style="80" customWidth="1"/>
    <col min="1581" max="1581" width="14.85546875" style="80" bestFit="1" customWidth="1"/>
    <col min="1582" max="1582" width="13.7109375" style="80" bestFit="1" customWidth="1"/>
    <col min="1583" max="1583" width="13" style="80" customWidth="1"/>
    <col min="1584" max="1584" width="18.42578125" style="80" customWidth="1"/>
    <col min="1585" max="1587" width="13.140625" style="80" customWidth="1"/>
    <col min="1588" max="1588" width="16.42578125" style="80" customWidth="1"/>
    <col min="1589" max="1589" width="13.140625" style="80" customWidth="1"/>
    <col min="1590" max="1590" width="15.28515625" style="80" customWidth="1"/>
    <col min="1591" max="1591" width="14" style="80" bestFit="1" customWidth="1"/>
    <col min="1592" max="1592" width="17.140625" style="80" customWidth="1"/>
    <col min="1593" max="1614" width="16.5703125" style="80" customWidth="1"/>
    <col min="1615" max="1615" width="20.140625" style="80" customWidth="1"/>
    <col min="1616" max="1616" width="13.28515625" style="80" customWidth="1"/>
    <col min="1617" max="1617" width="14.85546875" style="80" customWidth="1"/>
    <col min="1618" max="1618" width="13.85546875" style="80" customWidth="1"/>
    <col min="1619" max="1619" width="13.5703125" style="80" customWidth="1"/>
    <col min="1620" max="1620" width="13" style="80" customWidth="1"/>
    <col min="1621" max="1621" width="13.5703125" style="80" customWidth="1"/>
    <col min="1622" max="1622" width="7.7109375" style="80" bestFit="1" customWidth="1"/>
    <col min="1623" max="1792" width="9.140625" style="80"/>
    <col min="1793" max="1793" width="4.28515625" style="80" customWidth="1"/>
    <col min="1794" max="1794" width="10.140625" style="80" customWidth="1"/>
    <col min="1795" max="1795" width="8.85546875" style="80" customWidth="1"/>
    <col min="1796" max="1796" width="11.140625" style="80" customWidth="1"/>
    <col min="1797" max="1797" width="15" style="80" bestFit="1" customWidth="1"/>
    <col min="1798" max="1798" width="13.5703125" style="80" customWidth="1"/>
    <col min="1799" max="1799" width="11.42578125" style="80" bestFit="1" customWidth="1"/>
    <col min="1800" max="1800" width="11.28515625" style="80" customWidth="1"/>
    <col min="1801" max="1801" width="15.28515625" style="80" bestFit="1" customWidth="1"/>
    <col min="1802" max="1804" width="11.85546875" style="80" customWidth="1"/>
    <col min="1805" max="1805" width="19.140625" style="80" customWidth="1"/>
    <col min="1806" max="1806" width="15" style="80" customWidth="1"/>
    <col min="1807" max="1807" width="15.28515625" style="80" customWidth="1"/>
    <col min="1808" max="1810" width="18.85546875" style="80" customWidth="1"/>
    <col min="1811" max="1811" width="12.7109375" style="80" customWidth="1"/>
    <col min="1812" max="1812" width="13.7109375" style="80" customWidth="1"/>
    <col min="1813" max="1813" width="16.140625" style="80" customWidth="1"/>
    <col min="1814" max="1814" width="17" style="80" customWidth="1"/>
    <col min="1815" max="1815" width="15" style="80" customWidth="1"/>
    <col min="1816" max="1816" width="14.28515625" style="80" customWidth="1"/>
    <col min="1817" max="1817" width="14.85546875" style="80" customWidth="1"/>
    <col min="1818" max="1818" width="17.140625" style="80" customWidth="1"/>
    <col min="1819" max="1819" width="13.5703125" style="80" customWidth="1"/>
    <col min="1820" max="1821" width="14.85546875" style="80" customWidth="1"/>
    <col min="1822" max="1822" width="18.85546875" style="80" customWidth="1"/>
    <col min="1823" max="1823" width="19.42578125" style="80" customWidth="1"/>
    <col min="1824" max="1824" width="16.140625" style="80" customWidth="1"/>
    <col min="1825" max="1825" width="14.5703125" style="80" customWidth="1"/>
    <col min="1826" max="1826" width="20.28515625" style="80" customWidth="1"/>
    <col min="1827" max="1827" width="13.85546875" style="80" customWidth="1"/>
    <col min="1828" max="1828" width="19.140625" style="80" customWidth="1"/>
    <col min="1829" max="1829" width="19.7109375" style="80" customWidth="1"/>
    <col min="1830" max="1830" width="16.5703125" style="80" customWidth="1"/>
    <col min="1831" max="1831" width="19.140625" style="80" customWidth="1"/>
    <col min="1832" max="1834" width="16.5703125" style="80" customWidth="1"/>
    <col min="1835" max="1835" width="15.7109375" style="80" customWidth="1"/>
    <col min="1836" max="1836" width="19.42578125" style="80" customWidth="1"/>
    <col min="1837" max="1837" width="14.85546875" style="80" bestFit="1" customWidth="1"/>
    <col min="1838" max="1838" width="13.7109375" style="80" bestFit="1" customWidth="1"/>
    <col min="1839" max="1839" width="13" style="80" customWidth="1"/>
    <col min="1840" max="1840" width="18.42578125" style="80" customWidth="1"/>
    <col min="1841" max="1843" width="13.140625" style="80" customWidth="1"/>
    <col min="1844" max="1844" width="16.42578125" style="80" customWidth="1"/>
    <col min="1845" max="1845" width="13.140625" style="80" customWidth="1"/>
    <col min="1846" max="1846" width="15.28515625" style="80" customWidth="1"/>
    <col min="1847" max="1847" width="14" style="80" bestFit="1" customWidth="1"/>
    <col min="1848" max="1848" width="17.140625" style="80" customWidth="1"/>
    <col min="1849" max="1870" width="16.5703125" style="80" customWidth="1"/>
    <col min="1871" max="1871" width="20.140625" style="80" customWidth="1"/>
    <col min="1872" max="1872" width="13.28515625" style="80" customWidth="1"/>
    <col min="1873" max="1873" width="14.85546875" style="80" customWidth="1"/>
    <col min="1874" max="1874" width="13.85546875" style="80" customWidth="1"/>
    <col min="1875" max="1875" width="13.5703125" style="80" customWidth="1"/>
    <col min="1876" max="1876" width="13" style="80" customWidth="1"/>
    <col min="1877" max="1877" width="13.5703125" style="80" customWidth="1"/>
    <col min="1878" max="1878" width="7.7109375" style="80" bestFit="1" customWidth="1"/>
    <col min="1879" max="2048" width="9.140625" style="80"/>
    <col min="2049" max="2049" width="4.28515625" style="80" customWidth="1"/>
    <col min="2050" max="2050" width="10.140625" style="80" customWidth="1"/>
    <col min="2051" max="2051" width="8.85546875" style="80" customWidth="1"/>
    <col min="2052" max="2052" width="11.140625" style="80" customWidth="1"/>
    <col min="2053" max="2053" width="15" style="80" bestFit="1" customWidth="1"/>
    <col min="2054" max="2054" width="13.5703125" style="80" customWidth="1"/>
    <col min="2055" max="2055" width="11.42578125" style="80" bestFit="1" customWidth="1"/>
    <col min="2056" max="2056" width="11.28515625" style="80" customWidth="1"/>
    <col min="2057" max="2057" width="15.28515625" style="80" bestFit="1" customWidth="1"/>
    <col min="2058" max="2060" width="11.85546875" style="80" customWidth="1"/>
    <col min="2061" max="2061" width="19.140625" style="80" customWidth="1"/>
    <col min="2062" max="2062" width="15" style="80" customWidth="1"/>
    <col min="2063" max="2063" width="15.28515625" style="80" customWidth="1"/>
    <col min="2064" max="2066" width="18.85546875" style="80" customWidth="1"/>
    <col min="2067" max="2067" width="12.7109375" style="80" customWidth="1"/>
    <col min="2068" max="2068" width="13.7109375" style="80" customWidth="1"/>
    <col min="2069" max="2069" width="16.140625" style="80" customWidth="1"/>
    <col min="2070" max="2070" width="17" style="80" customWidth="1"/>
    <col min="2071" max="2071" width="15" style="80" customWidth="1"/>
    <col min="2072" max="2072" width="14.28515625" style="80" customWidth="1"/>
    <col min="2073" max="2073" width="14.85546875" style="80" customWidth="1"/>
    <col min="2074" max="2074" width="17.140625" style="80" customWidth="1"/>
    <col min="2075" max="2075" width="13.5703125" style="80" customWidth="1"/>
    <col min="2076" max="2077" width="14.85546875" style="80" customWidth="1"/>
    <col min="2078" max="2078" width="18.85546875" style="80" customWidth="1"/>
    <col min="2079" max="2079" width="19.42578125" style="80" customWidth="1"/>
    <col min="2080" max="2080" width="16.140625" style="80" customWidth="1"/>
    <col min="2081" max="2081" width="14.5703125" style="80" customWidth="1"/>
    <col min="2082" max="2082" width="20.28515625" style="80" customWidth="1"/>
    <col min="2083" max="2083" width="13.85546875" style="80" customWidth="1"/>
    <col min="2084" max="2084" width="19.140625" style="80" customWidth="1"/>
    <col min="2085" max="2085" width="19.7109375" style="80" customWidth="1"/>
    <col min="2086" max="2086" width="16.5703125" style="80" customWidth="1"/>
    <col min="2087" max="2087" width="19.140625" style="80" customWidth="1"/>
    <col min="2088" max="2090" width="16.5703125" style="80" customWidth="1"/>
    <col min="2091" max="2091" width="15.7109375" style="80" customWidth="1"/>
    <col min="2092" max="2092" width="19.42578125" style="80" customWidth="1"/>
    <col min="2093" max="2093" width="14.85546875" style="80" bestFit="1" customWidth="1"/>
    <col min="2094" max="2094" width="13.7109375" style="80" bestFit="1" customWidth="1"/>
    <col min="2095" max="2095" width="13" style="80" customWidth="1"/>
    <col min="2096" max="2096" width="18.42578125" style="80" customWidth="1"/>
    <col min="2097" max="2099" width="13.140625" style="80" customWidth="1"/>
    <col min="2100" max="2100" width="16.42578125" style="80" customWidth="1"/>
    <col min="2101" max="2101" width="13.140625" style="80" customWidth="1"/>
    <col min="2102" max="2102" width="15.28515625" style="80" customWidth="1"/>
    <col min="2103" max="2103" width="14" style="80" bestFit="1" customWidth="1"/>
    <col min="2104" max="2104" width="17.140625" style="80" customWidth="1"/>
    <col min="2105" max="2126" width="16.5703125" style="80" customWidth="1"/>
    <col min="2127" max="2127" width="20.140625" style="80" customWidth="1"/>
    <col min="2128" max="2128" width="13.28515625" style="80" customWidth="1"/>
    <col min="2129" max="2129" width="14.85546875" style="80" customWidth="1"/>
    <col min="2130" max="2130" width="13.85546875" style="80" customWidth="1"/>
    <col min="2131" max="2131" width="13.5703125" style="80" customWidth="1"/>
    <col min="2132" max="2132" width="13" style="80" customWidth="1"/>
    <col min="2133" max="2133" width="13.5703125" style="80" customWidth="1"/>
    <col min="2134" max="2134" width="7.7109375" style="80" bestFit="1" customWidth="1"/>
    <col min="2135" max="2304" width="9.140625" style="80"/>
    <col min="2305" max="2305" width="4.28515625" style="80" customWidth="1"/>
    <col min="2306" max="2306" width="10.140625" style="80" customWidth="1"/>
    <col min="2307" max="2307" width="8.85546875" style="80" customWidth="1"/>
    <col min="2308" max="2308" width="11.140625" style="80" customWidth="1"/>
    <col min="2309" max="2309" width="15" style="80" bestFit="1" customWidth="1"/>
    <col min="2310" max="2310" width="13.5703125" style="80" customWidth="1"/>
    <col min="2311" max="2311" width="11.42578125" style="80" bestFit="1" customWidth="1"/>
    <col min="2312" max="2312" width="11.28515625" style="80" customWidth="1"/>
    <col min="2313" max="2313" width="15.28515625" style="80" bestFit="1" customWidth="1"/>
    <col min="2314" max="2316" width="11.85546875" style="80" customWidth="1"/>
    <col min="2317" max="2317" width="19.140625" style="80" customWidth="1"/>
    <col min="2318" max="2318" width="15" style="80" customWidth="1"/>
    <col min="2319" max="2319" width="15.28515625" style="80" customWidth="1"/>
    <col min="2320" max="2322" width="18.85546875" style="80" customWidth="1"/>
    <col min="2323" max="2323" width="12.7109375" style="80" customWidth="1"/>
    <col min="2324" max="2324" width="13.7109375" style="80" customWidth="1"/>
    <col min="2325" max="2325" width="16.140625" style="80" customWidth="1"/>
    <col min="2326" max="2326" width="17" style="80" customWidth="1"/>
    <col min="2327" max="2327" width="15" style="80" customWidth="1"/>
    <col min="2328" max="2328" width="14.28515625" style="80" customWidth="1"/>
    <col min="2329" max="2329" width="14.85546875" style="80" customWidth="1"/>
    <col min="2330" max="2330" width="17.140625" style="80" customWidth="1"/>
    <col min="2331" max="2331" width="13.5703125" style="80" customWidth="1"/>
    <col min="2332" max="2333" width="14.85546875" style="80" customWidth="1"/>
    <col min="2334" max="2334" width="18.85546875" style="80" customWidth="1"/>
    <col min="2335" max="2335" width="19.42578125" style="80" customWidth="1"/>
    <col min="2336" max="2336" width="16.140625" style="80" customWidth="1"/>
    <col min="2337" max="2337" width="14.5703125" style="80" customWidth="1"/>
    <col min="2338" max="2338" width="20.28515625" style="80" customWidth="1"/>
    <col min="2339" max="2339" width="13.85546875" style="80" customWidth="1"/>
    <col min="2340" max="2340" width="19.140625" style="80" customWidth="1"/>
    <col min="2341" max="2341" width="19.7109375" style="80" customWidth="1"/>
    <col min="2342" max="2342" width="16.5703125" style="80" customWidth="1"/>
    <col min="2343" max="2343" width="19.140625" style="80" customWidth="1"/>
    <col min="2344" max="2346" width="16.5703125" style="80" customWidth="1"/>
    <col min="2347" max="2347" width="15.7109375" style="80" customWidth="1"/>
    <col min="2348" max="2348" width="19.42578125" style="80" customWidth="1"/>
    <col min="2349" max="2349" width="14.85546875" style="80" bestFit="1" customWidth="1"/>
    <col min="2350" max="2350" width="13.7109375" style="80" bestFit="1" customWidth="1"/>
    <col min="2351" max="2351" width="13" style="80" customWidth="1"/>
    <col min="2352" max="2352" width="18.42578125" style="80" customWidth="1"/>
    <col min="2353" max="2355" width="13.140625" style="80" customWidth="1"/>
    <col min="2356" max="2356" width="16.42578125" style="80" customWidth="1"/>
    <col min="2357" max="2357" width="13.140625" style="80" customWidth="1"/>
    <col min="2358" max="2358" width="15.28515625" style="80" customWidth="1"/>
    <col min="2359" max="2359" width="14" style="80" bestFit="1" customWidth="1"/>
    <col min="2360" max="2360" width="17.140625" style="80" customWidth="1"/>
    <col min="2361" max="2382" width="16.5703125" style="80" customWidth="1"/>
    <col min="2383" max="2383" width="20.140625" style="80" customWidth="1"/>
    <col min="2384" max="2384" width="13.28515625" style="80" customWidth="1"/>
    <col min="2385" max="2385" width="14.85546875" style="80" customWidth="1"/>
    <col min="2386" max="2386" width="13.85546875" style="80" customWidth="1"/>
    <col min="2387" max="2387" width="13.5703125" style="80" customWidth="1"/>
    <col min="2388" max="2388" width="13" style="80" customWidth="1"/>
    <col min="2389" max="2389" width="13.5703125" style="80" customWidth="1"/>
    <col min="2390" max="2390" width="7.7109375" style="80" bestFit="1" customWidth="1"/>
    <col min="2391" max="2560" width="9.140625" style="80"/>
    <col min="2561" max="2561" width="4.28515625" style="80" customWidth="1"/>
    <col min="2562" max="2562" width="10.140625" style="80" customWidth="1"/>
    <col min="2563" max="2563" width="8.85546875" style="80" customWidth="1"/>
    <col min="2564" max="2564" width="11.140625" style="80" customWidth="1"/>
    <col min="2565" max="2565" width="15" style="80" bestFit="1" customWidth="1"/>
    <col min="2566" max="2566" width="13.5703125" style="80" customWidth="1"/>
    <col min="2567" max="2567" width="11.42578125" style="80" bestFit="1" customWidth="1"/>
    <col min="2568" max="2568" width="11.28515625" style="80" customWidth="1"/>
    <col min="2569" max="2569" width="15.28515625" style="80" bestFit="1" customWidth="1"/>
    <col min="2570" max="2572" width="11.85546875" style="80" customWidth="1"/>
    <col min="2573" max="2573" width="19.140625" style="80" customWidth="1"/>
    <col min="2574" max="2574" width="15" style="80" customWidth="1"/>
    <col min="2575" max="2575" width="15.28515625" style="80" customWidth="1"/>
    <col min="2576" max="2578" width="18.85546875" style="80" customWidth="1"/>
    <col min="2579" max="2579" width="12.7109375" style="80" customWidth="1"/>
    <col min="2580" max="2580" width="13.7109375" style="80" customWidth="1"/>
    <col min="2581" max="2581" width="16.140625" style="80" customWidth="1"/>
    <col min="2582" max="2582" width="17" style="80" customWidth="1"/>
    <col min="2583" max="2583" width="15" style="80" customWidth="1"/>
    <col min="2584" max="2584" width="14.28515625" style="80" customWidth="1"/>
    <col min="2585" max="2585" width="14.85546875" style="80" customWidth="1"/>
    <col min="2586" max="2586" width="17.140625" style="80" customWidth="1"/>
    <col min="2587" max="2587" width="13.5703125" style="80" customWidth="1"/>
    <col min="2588" max="2589" width="14.85546875" style="80" customWidth="1"/>
    <col min="2590" max="2590" width="18.85546875" style="80" customWidth="1"/>
    <col min="2591" max="2591" width="19.42578125" style="80" customWidth="1"/>
    <col min="2592" max="2592" width="16.140625" style="80" customWidth="1"/>
    <col min="2593" max="2593" width="14.5703125" style="80" customWidth="1"/>
    <col min="2594" max="2594" width="20.28515625" style="80" customWidth="1"/>
    <col min="2595" max="2595" width="13.85546875" style="80" customWidth="1"/>
    <col min="2596" max="2596" width="19.140625" style="80" customWidth="1"/>
    <col min="2597" max="2597" width="19.7109375" style="80" customWidth="1"/>
    <col min="2598" max="2598" width="16.5703125" style="80" customWidth="1"/>
    <col min="2599" max="2599" width="19.140625" style="80" customWidth="1"/>
    <col min="2600" max="2602" width="16.5703125" style="80" customWidth="1"/>
    <col min="2603" max="2603" width="15.7109375" style="80" customWidth="1"/>
    <col min="2604" max="2604" width="19.42578125" style="80" customWidth="1"/>
    <col min="2605" max="2605" width="14.85546875" style="80" bestFit="1" customWidth="1"/>
    <col min="2606" max="2606" width="13.7109375" style="80" bestFit="1" customWidth="1"/>
    <col min="2607" max="2607" width="13" style="80" customWidth="1"/>
    <col min="2608" max="2608" width="18.42578125" style="80" customWidth="1"/>
    <col min="2609" max="2611" width="13.140625" style="80" customWidth="1"/>
    <col min="2612" max="2612" width="16.42578125" style="80" customWidth="1"/>
    <col min="2613" max="2613" width="13.140625" style="80" customWidth="1"/>
    <col min="2614" max="2614" width="15.28515625" style="80" customWidth="1"/>
    <col min="2615" max="2615" width="14" style="80" bestFit="1" customWidth="1"/>
    <col min="2616" max="2616" width="17.140625" style="80" customWidth="1"/>
    <col min="2617" max="2638" width="16.5703125" style="80" customWidth="1"/>
    <col min="2639" max="2639" width="20.140625" style="80" customWidth="1"/>
    <col min="2640" max="2640" width="13.28515625" style="80" customWidth="1"/>
    <col min="2641" max="2641" width="14.85546875" style="80" customWidth="1"/>
    <col min="2642" max="2642" width="13.85546875" style="80" customWidth="1"/>
    <col min="2643" max="2643" width="13.5703125" style="80" customWidth="1"/>
    <col min="2644" max="2644" width="13" style="80" customWidth="1"/>
    <col min="2645" max="2645" width="13.5703125" style="80" customWidth="1"/>
    <col min="2646" max="2646" width="7.7109375" style="80" bestFit="1" customWidth="1"/>
    <col min="2647" max="2816" width="9.140625" style="80"/>
    <col min="2817" max="2817" width="4.28515625" style="80" customWidth="1"/>
    <col min="2818" max="2818" width="10.140625" style="80" customWidth="1"/>
    <col min="2819" max="2819" width="8.85546875" style="80" customWidth="1"/>
    <col min="2820" max="2820" width="11.140625" style="80" customWidth="1"/>
    <col min="2821" max="2821" width="15" style="80" bestFit="1" customWidth="1"/>
    <col min="2822" max="2822" width="13.5703125" style="80" customWidth="1"/>
    <col min="2823" max="2823" width="11.42578125" style="80" bestFit="1" customWidth="1"/>
    <col min="2824" max="2824" width="11.28515625" style="80" customWidth="1"/>
    <col min="2825" max="2825" width="15.28515625" style="80" bestFit="1" customWidth="1"/>
    <col min="2826" max="2828" width="11.85546875" style="80" customWidth="1"/>
    <col min="2829" max="2829" width="19.140625" style="80" customWidth="1"/>
    <col min="2830" max="2830" width="15" style="80" customWidth="1"/>
    <col min="2831" max="2831" width="15.28515625" style="80" customWidth="1"/>
    <col min="2832" max="2834" width="18.85546875" style="80" customWidth="1"/>
    <col min="2835" max="2835" width="12.7109375" style="80" customWidth="1"/>
    <col min="2836" max="2836" width="13.7109375" style="80" customWidth="1"/>
    <col min="2837" max="2837" width="16.140625" style="80" customWidth="1"/>
    <col min="2838" max="2838" width="17" style="80" customWidth="1"/>
    <col min="2839" max="2839" width="15" style="80" customWidth="1"/>
    <col min="2840" max="2840" width="14.28515625" style="80" customWidth="1"/>
    <col min="2841" max="2841" width="14.85546875" style="80" customWidth="1"/>
    <col min="2842" max="2842" width="17.140625" style="80" customWidth="1"/>
    <col min="2843" max="2843" width="13.5703125" style="80" customWidth="1"/>
    <col min="2844" max="2845" width="14.85546875" style="80" customWidth="1"/>
    <col min="2846" max="2846" width="18.85546875" style="80" customWidth="1"/>
    <col min="2847" max="2847" width="19.42578125" style="80" customWidth="1"/>
    <col min="2848" max="2848" width="16.140625" style="80" customWidth="1"/>
    <col min="2849" max="2849" width="14.5703125" style="80" customWidth="1"/>
    <col min="2850" max="2850" width="20.28515625" style="80" customWidth="1"/>
    <col min="2851" max="2851" width="13.85546875" style="80" customWidth="1"/>
    <col min="2852" max="2852" width="19.140625" style="80" customWidth="1"/>
    <col min="2853" max="2853" width="19.7109375" style="80" customWidth="1"/>
    <col min="2854" max="2854" width="16.5703125" style="80" customWidth="1"/>
    <col min="2855" max="2855" width="19.140625" style="80" customWidth="1"/>
    <col min="2856" max="2858" width="16.5703125" style="80" customWidth="1"/>
    <col min="2859" max="2859" width="15.7109375" style="80" customWidth="1"/>
    <col min="2860" max="2860" width="19.42578125" style="80" customWidth="1"/>
    <col min="2861" max="2861" width="14.85546875" style="80" bestFit="1" customWidth="1"/>
    <col min="2862" max="2862" width="13.7109375" style="80" bestFit="1" customWidth="1"/>
    <col min="2863" max="2863" width="13" style="80" customWidth="1"/>
    <col min="2864" max="2864" width="18.42578125" style="80" customWidth="1"/>
    <col min="2865" max="2867" width="13.140625" style="80" customWidth="1"/>
    <col min="2868" max="2868" width="16.42578125" style="80" customWidth="1"/>
    <col min="2869" max="2869" width="13.140625" style="80" customWidth="1"/>
    <col min="2870" max="2870" width="15.28515625" style="80" customWidth="1"/>
    <col min="2871" max="2871" width="14" style="80" bestFit="1" customWidth="1"/>
    <col min="2872" max="2872" width="17.140625" style="80" customWidth="1"/>
    <col min="2873" max="2894" width="16.5703125" style="80" customWidth="1"/>
    <col min="2895" max="2895" width="20.140625" style="80" customWidth="1"/>
    <col min="2896" max="2896" width="13.28515625" style="80" customWidth="1"/>
    <col min="2897" max="2897" width="14.85546875" style="80" customWidth="1"/>
    <col min="2898" max="2898" width="13.85546875" style="80" customWidth="1"/>
    <col min="2899" max="2899" width="13.5703125" style="80" customWidth="1"/>
    <col min="2900" max="2900" width="13" style="80" customWidth="1"/>
    <col min="2901" max="2901" width="13.5703125" style="80" customWidth="1"/>
    <col min="2902" max="2902" width="7.7109375" style="80" bestFit="1" customWidth="1"/>
    <col min="2903" max="3072" width="9.140625" style="80"/>
    <col min="3073" max="3073" width="4.28515625" style="80" customWidth="1"/>
    <col min="3074" max="3074" width="10.140625" style="80" customWidth="1"/>
    <col min="3075" max="3075" width="8.85546875" style="80" customWidth="1"/>
    <col min="3076" max="3076" width="11.140625" style="80" customWidth="1"/>
    <col min="3077" max="3077" width="15" style="80" bestFit="1" customWidth="1"/>
    <col min="3078" max="3078" width="13.5703125" style="80" customWidth="1"/>
    <col min="3079" max="3079" width="11.42578125" style="80" bestFit="1" customWidth="1"/>
    <col min="3080" max="3080" width="11.28515625" style="80" customWidth="1"/>
    <col min="3081" max="3081" width="15.28515625" style="80" bestFit="1" customWidth="1"/>
    <col min="3082" max="3084" width="11.85546875" style="80" customWidth="1"/>
    <col min="3085" max="3085" width="19.140625" style="80" customWidth="1"/>
    <col min="3086" max="3086" width="15" style="80" customWidth="1"/>
    <col min="3087" max="3087" width="15.28515625" style="80" customWidth="1"/>
    <col min="3088" max="3090" width="18.85546875" style="80" customWidth="1"/>
    <col min="3091" max="3091" width="12.7109375" style="80" customWidth="1"/>
    <col min="3092" max="3092" width="13.7109375" style="80" customWidth="1"/>
    <col min="3093" max="3093" width="16.140625" style="80" customWidth="1"/>
    <col min="3094" max="3094" width="17" style="80" customWidth="1"/>
    <col min="3095" max="3095" width="15" style="80" customWidth="1"/>
    <col min="3096" max="3096" width="14.28515625" style="80" customWidth="1"/>
    <col min="3097" max="3097" width="14.85546875" style="80" customWidth="1"/>
    <col min="3098" max="3098" width="17.140625" style="80" customWidth="1"/>
    <col min="3099" max="3099" width="13.5703125" style="80" customWidth="1"/>
    <col min="3100" max="3101" width="14.85546875" style="80" customWidth="1"/>
    <col min="3102" max="3102" width="18.85546875" style="80" customWidth="1"/>
    <col min="3103" max="3103" width="19.42578125" style="80" customWidth="1"/>
    <col min="3104" max="3104" width="16.140625" style="80" customWidth="1"/>
    <col min="3105" max="3105" width="14.5703125" style="80" customWidth="1"/>
    <col min="3106" max="3106" width="20.28515625" style="80" customWidth="1"/>
    <col min="3107" max="3107" width="13.85546875" style="80" customWidth="1"/>
    <col min="3108" max="3108" width="19.140625" style="80" customWidth="1"/>
    <col min="3109" max="3109" width="19.7109375" style="80" customWidth="1"/>
    <col min="3110" max="3110" width="16.5703125" style="80" customWidth="1"/>
    <col min="3111" max="3111" width="19.140625" style="80" customWidth="1"/>
    <col min="3112" max="3114" width="16.5703125" style="80" customWidth="1"/>
    <col min="3115" max="3115" width="15.7109375" style="80" customWidth="1"/>
    <col min="3116" max="3116" width="19.42578125" style="80" customWidth="1"/>
    <col min="3117" max="3117" width="14.85546875" style="80" bestFit="1" customWidth="1"/>
    <col min="3118" max="3118" width="13.7109375" style="80" bestFit="1" customWidth="1"/>
    <col min="3119" max="3119" width="13" style="80" customWidth="1"/>
    <col min="3120" max="3120" width="18.42578125" style="80" customWidth="1"/>
    <col min="3121" max="3123" width="13.140625" style="80" customWidth="1"/>
    <col min="3124" max="3124" width="16.42578125" style="80" customWidth="1"/>
    <col min="3125" max="3125" width="13.140625" style="80" customWidth="1"/>
    <col min="3126" max="3126" width="15.28515625" style="80" customWidth="1"/>
    <col min="3127" max="3127" width="14" style="80" bestFit="1" customWidth="1"/>
    <col min="3128" max="3128" width="17.140625" style="80" customWidth="1"/>
    <col min="3129" max="3150" width="16.5703125" style="80" customWidth="1"/>
    <col min="3151" max="3151" width="20.140625" style="80" customWidth="1"/>
    <col min="3152" max="3152" width="13.28515625" style="80" customWidth="1"/>
    <col min="3153" max="3153" width="14.85546875" style="80" customWidth="1"/>
    <col min="3154" max="3154" width="13.85546875" style="80" customWidth="1"/>
    <col min="3155" max="3155" width="13.5703125" style="80" customWidth="1"/>
    <col min="3156" max="3156" width="13" style="80" customWidth="1"/>
    <col min="3157" max="3157" width="13.5703125" style="80" customWidth="1"/>
    <col min="3158" max="3158" width="7.7109375" style="80" bestFit="1" customWidth="1"/>
    <col min="3159" max="3328" width="9.140625" style="80"/>
    <col min="3329" max="3329" width="4.28515625" style="80" customWidth="1"/>
    <col min="3330" max="3330" width="10.140625" style="80" customWidth="1"/>
    <col min="3331" max="3331" width="8.85546875" style="80" customWidth="1"/>
    <col min="3332" max="3332" width="11.140625" style="80" customWidth="1"/>
    <col min="3333" max="3333" width="15" style="80" bestFit="1" customWidth="1"/>
    <col min="3334" max="3334" width="13.5703125" style="80" customWidth="1"/>
    <col min="3335" max="3335" width="11.42578125" style="80" bestFit="1" customWidth="1"/>
    <col min="3336" max="3336" width="11.28515625" style="80" customWidth="1"/>
    <col min="3337" max="3337" width="15.28515625" style="80" bestFit="1" customWidth="1"/>
    <col min="3338" max="3340" width="11.85546875" style="80" customWidth="1"/>
    <col min="3341" max="3341" width="19.140625" style="80" customWidth="1"/>
    <col min="3342" max="3342" width="15" style="80" customWidth="1"/>
    <col min="3343" max="3343" width="15.28515625" style="80" customWidth="1"/>
    <col min="3344" max="3346" width="18.85546875" style="80" customWidth="1"/>
    <col min="3347" max="3347" width="12.7109375" style="80" customWidth="1"/>
    <col min="3348" max="3348" width="13.7109375" style="80" customWidth="1"/>
    <col min="3349" max="3349" width="16.140625" style="80" customWidth="1"/>
    <col min="3350" max="3350" width="17" style="80" customWidth="1"/>
    <col min="3351" max="3351" width="15" style="80" customWidth="1"/>
    <col min="3352" max="3352" width="14.28515625" style="80" customWidth="1"/>
    <col min="3353" max="3353" width="14.85546875" style="80" customWidth="1"/>
    <col min="3354" max="3354" width="17.140625" style="80" customWidth="1"/>
    <col min="3355" max="3355" width="13.5703125" style="80" customWidth="1"/>
    <col min="3356" max="3357" width="14.85546875" style="80" customWidth="1"/>
    <col min="3358" max="3358" width="18.85546875" style="80" customWidth="1"/>
    <col min="3359" max="3359" width="19.42578125" style="80" customWidth="1"/>
    <col min="3360" max="3360" width="16.140625" style="80" customWidth="1"/>
    <col min="3361" max="3361" width="14.5703125" style="80" customWidth="1"/>
    <col min="3362" max="3362" width="20.28515625" style="80" customWidth="1"/>
    <col min="3363" max="3363" width="13.85546875" style="80" customWidth="1"/>
    <col min="3364" max="3364" width="19.140625" style="80" customWidth="1"/>
    <col min="3365" max="3365" width="19.7109375" style="80" customWidth="1"/>
    <col min="3366" max="3366" width="16.5703125" style="80" customWidth="1"/>
    <col min="3367" max="3367" width="19.140625" style="80" customWidth="1"/>
    <col min="3368" max="3370" width="16.5703125" style="80" customWidth="1"/>
    <col min="3371" max="3371" width="15.7109375" style="80" customWidth="1"/>
    <col min="3372" max="3372" width="19.42578125" style="80" customWidth="1"/>
    <col min="3373" max="3373" width="14.85546875" style="80" bestFit="1" customWidth="1"/>
    <col min="3374" max="3374" width="13.7109375" style="80" bestFit="1" customWidth="1"/>
    <col min="3375" max="3375" width="13" style="80" customWidth="1"/>
    <col min="3376" max="3376" width="18.42578125" style="80" customWidth="1"/>
    <col min="3377" max="3379" width="13.140625" style="80" customWidth="1"/>
    <col min="3380" max="3380" width="16.42578125" style="80" customWidth="1"/>
    <col min="3381" max="3381" width="13.140625" style="80" customWidth="1"/>
    <col min="3382" max="3382" width="15.28515625" style="80" customWidth="1"/>
    <col min="3383" max="3383" width="14" style="80" bestFit="1" customWidth="1"/>
    <col min="3384" max="3384" width="17.140625" style="80" customWidth="1"/>
    <col min="3385" max="3406" width="16.5703125" style="80" customWidth="1"/>
    <col min="3407" max="3407" width="20.140625" style="80" customWidth="1"/>
    <col min="3408" max="3408" width="13.28515625" style="80" customWidth="1"/>
    <col min="3409" max="3409" width="14.85546875" style="80" customWidth="1"/>
    <col min="3410" max="3410" width="13.85546875" style="80" customWidth="1"/>
    <col min="3411" max="3411" width="13.5703125" style="80" customWidth="1"/>
    <col min="3412" max="3412" width="13" style="80" customWidth="1"/>
    <col min="3413" max="3413" width="13.5703125" style="80" customWidth="1"/>
    <col min="3414" max="3414" width="7.7109375" style="80" bestFit="1" customWidth="1"/>
    <col min="3415" max="3584" width="9.140625" style="80"/>
    <col min="3585" max="3585" width="4.28515625" style="80" customWidth="1"/>
    <col min="3586" max="3586" width="10.140625" style="80" customWidth="1"/>
    <col min="3587" max="3587" width="8.85546875" style="80" customWidth="1"/>
    <col min="3588" max="3588" width="11.140625" style="80" customWidth="1"/>
    <col min="3589" max="3589" width="15" style="80" bestFit="1" customWidth="1"/>
    <col min="3590" max="3590" width="13.5703125" style="80" customWidth="1"/>
    <col min="3591" max="3591" width="11.42578125" style="80" bestFit="1" customWidth="1"/>
    <col min="3592" max="3592" width="11.28515625" style="80" customWidth="1"/>
    <col min="3593" max="3593" width="15.28515625" style="80" bestFit="1" customWidth="1"/>
    <col min="3594" max="3596" width="11.85546875" style="80" customWidth="1"/>
    <col min="3597" max="3597" width="19.140625" style="80" customWidth="1"/>
    <col min="3598" max="3598" width="15" style="80" customWidth="1"/>
    <col min="3599" max="3599" width="15.28515625" style="80" customWidth="1"/>
    <col min="3600" max="3602" width="18.85546875" style="80" customWidth="1"/>
    <col min="3603" max="3603" width="12.7109375" style="80" customWidth="1"/>
    <col min="3604" max="3604" width="13.7109375" style="80" customWidth="1"/>
    <col min="3605" max="3605" width="16.140625" style="80" customWidth="1"/>
    <col min="3606" max="3606" width="17" style="80" customWidth="1"/>
    <col min="3607" max="3607" width="15" style="80" customWidth="1"/>
    <col min="3608" max="3608" width="14.28515625" style="80" customWidth="1"/>
    <col min="3609" max="3609" width="14.85546875" style="80" customWidth="1"/>
    <col min="3610" max="3610" width="17.140625" style="80" customWidth="1"/>
    <col min="3611" max="3611" width="13.5703125" style="80" customWidth="1"/>
    <col min="3612" max="3613" width="14.85546875" style="80" customWidth="1"/>
    <col min="3614" max="3614" width="18.85546875" style="80" customWidth="1"/>
    <col min="3615" max="3615" width="19.42578125" style="80" customWidth="1"/>
    <col min="3616" max="3616" width="16.140625" style="80" customWidth="1"/>
    <col min="3617" max="3617" width="14.5703125" style="80" customWidth="1"/>
    <col min="3618" max="3618" width="20.28515625" style="80" customWidth="1"/>
    <col min="3619" max="3619" width="13.85546875" style="80" customWidth="1"/>
    <col min="3620" max="3620" width="19.140625" style="80" customWidth="1"/>
    <col min="3621" max="3621" width="19.7109375" style="80" customWidth="1"/>
    <col min="3622" max="3622" width="16.5703125" style="80" customWidth="1"/>
    <col min="3623" max="3623" width="19.140625" style="80" customWidth="1"/>
    <col min="3624" max="3626" width="16.5703125" style="80" customWidth="1"/>
    <col min="3627" max="3627" width="15.7109375" style="80" customWidth="1"/>
    <col min="3628" max="3628" width="19.42578125" style="80" customWidth="1"/>
    <col min="3629" max="3629" width="14.85546875" style="80" bestFit="1" customWidth="1"/>
    <col min="3630" max="3630" width="13.7109375" style="80" bestFit="1" customWidth="1"/>
    <col min="3631" max="3631" width="13" style="80" customWidth="1"/>
    <col min="3632" max="3632" width="18.42578125" style="80" customWidth="1"/>
    <col min="3633" max="3635" width="13.140625" style="80" customWidth="1"/>
    <col min="3636" max="3636" width="16.42578125" style="80" customWidth="1"/>
    <col min="3637" max="3637" width="13.140625" style="80" customWidth="1"/>
    <col min="3638" max="3638" width="15.28515625" style="80" customWidth="1"/>
    <col min="3639" max="3639" width="14" style="80" bestFit="1" customWidth="1"/>
    <col min="3640" max="3640" width="17.140625" style="80" customWidth="1"/>
    <col min="3641" max="3662" width="16.5703125" style="80" customWidth="1"/>
    <col min="3663" max="3663" width="20.140625" style="80" customWidth="1"/>
    <col min="3664" max="3664" width="13.28515625" style="80" customWidth="1"/>
    <col min="3665" max="3665" width="14.85546875" style="80" customWidth="1"/>
    <col min="3666" max="3666" width="13.85546875" style="80" customWidth="1"/>
    <col min="3667" max="3667" width="13.5703125" style="80" customWidth="1"/>
    <col min="3668" max="3668" width="13" style="80" customWidth="1"/>
    <col min="3669" max="3669" width="13.5703125" style="80" customWidth="1"/>
    <col min="3670" max="3670" width="7.7109375" style="80" bestFit="1" customWidth="1"/>
    <col min="3671" max="3840" width="9.140625" style="80"/>
    <col min="3841" max="3841" width="4.28515625" style="80" customWidth="1"/>
    <col min="3842" max="3842" width="10.140625" style="80" customWidth="1"/>
    <col min="3843" max="3843" width="8.85546875" style="80" customWidth="1"/>
    <col min="3844" max="3844" width="11.140625" style="80" customWidth="1"/>
    <col min="3845" max="3845" width="15" style="80" bestFit="1" customWidth="1"/>
    <col min="3846" max="3846" width="13.5703125" style="80" customWidth="1"/>
    <col min="3847" max="3847" width="11.42578125" style="80" bestFit="1" customWidth="1"/>
    <col min="3848" max="3848" width="11.28515625" style="80" customWidth="1"/>
    <col min="3849" max="3849" width="15.28515625" style="80" bestFit="1" customWidth="1"/>
    <col min="3850" max="3852" width="11.85546875" style="80" customWidth="1"/>
    <col min="3853" max="3853" width="19.140625" style="80" customWidth="1"/>
    <col min="3854" max="3854" width="15" style="80" customWidth="1"/>
    <col min="3855" max="3855" width="15.28515625" style="80" customWidth="1"/>
    <col min="3856" max="3858" width="18.85546875" style="80" customWidth="1"/>
    <col min="3859" max="3859" width="12.7109375" style="80" customWidth="1"/>
    <col min="3860" max="3860" width="13.7109375" style="80" customWidth="1"/>
    <col min="3861" max="3861" width="16.140625" style="80" customWidth="1"/>
    <col min="3862" max="3862" width="17" style="80" customWidth="1"/>
    <col min="3863" max="3863" width="15" style="80" customWidth="1"/>
    <col min="3864" max="3864" width="14.28515625" style="80" customWidth="1"/>
    <col min="3865" max="3865" width="14.85546875" style="80" customWidth="1"/>
    <col min="3866" max="3866" width="17.140625" style="80" customWidth="1"/>
    <col min="3867" max="3867" width="13.5703125" style="80" customWidth="1"/>
    <col min="3868" max="3869" width="14.85546875" style="80" customWidth="1"/>
    <col min="3870" max="3870" width="18.85546875" style="80" customWidth="1"/>
    <col min="3871" max="3871" width="19.42578125" style="80" customWidth="1"/>
    <col min="3872" max="3872" width="16.140625" style="80" customWidth="1"/>
    <col min="3873" max="3873" width="14.5703125" style="80" customWidth="1"/>
    <col min="3874" max="3874" width="20.28515625" style="80" customWidth="1"/>
    <col min="3875" max="3875" width="13.85546875" style="80" customWidth="1"/>
    <col min="3876" max="3876" width="19.140625" style="80" customWidth="1"/>
    <col min="3877" max="3877" width="19.7109375" style="80" customWidth="1"/>
    <col min="3878" max="3878" width="16.5703125" style="80" customWidth="1"/>
    <col min="3879" max="3879" width="19.140625" style="80" customWidth="1"/>
    <col min="3880" max="3882" width="16.5703125" style="80" customWidth="1"/>
    <col min="3883" max="3883" width="15.7109375" style="80" customWidth="1"/>
    <col min="3884" max="3884" width="19.42578125" style="80" customWidth="1"/>
    <col min="3885" max="3885" width="14.85546875" style="80" bestFit="1" customWidth="1"/>
    <col min="3886" max="3886" width="13.7109375" style="80" bestFit="1" customWidth="1"/>
    <col min="3887" max="3887" width="13" style="80" customWidth="1"/>
    <col min="3888" max="3888" width="18.42578125" style="80" customWidth="1"/>
    <col min="3889" max="3891" width="13.140625" style="80" customWidth="1"/>
    <col min="3892" max="3892" width="16.42578125" style="80" customWidth="1"/>
    <col min="3893" max="3893" width="13.140625" style="80" customWidth="1"/>
    <col min="3894" max="3894" width="15.28515625" style="80" customWidth="1"/>
    <col min="3895" max="3895" width="14" style="80" bestFit="1" customWidth="1"/>
    <col min="3896" max="3896" width="17.140625" style="80" customWidth="1"/>
    <col min="3897" max="3918" width="16.5703125" style="80" customWidth="1"/>
    <col min="3919" max="3919" width="20.140625" style="80" customWidth="1"/>
    <col min="3920" max="3920" width="13.28515625" style="80" customWidth="1"/>
    <col min="3921" max="3921" width="14.85546875" style="80" customWidth="1"/>
    <col min="3922" max="3922" width="13.85546875" style="80" customWidth="1"/>
    <col min="3923" max="3923" width="13.5703125" style="80" customWidth="1"/>
    <col min="3924" max="3924" width="13" style="80" customWidth="1"/>
    <col min="3925" max="3925" width="13.5703125" style="80" customWidth="1"/>
    <col min="3926" max="3926" width="7.7109375" style="80" bestFit="1" customWidth="1"/>
    <col min="3927" max="4096" width="9.140625" style="80"/>
    <col min="4097" max="4097" width="4.28515625" style="80" customWidth="1"/>
    <col min="4098" max="4098" width="10.140625" style="80" customWidth="1"/>
    <col min="4099" max="4099" width="8.85546875" style="80" customWidth="1"/>
    <col min="4100" max="4100" width="11.140625" style="80" customWidth="1"/>
    <col min="4101" max="4101" width="15" style="80" bestFit="1" customWidth="1"/>
    <col min="4102" max="4102" width="13.5703125" style="80" customWidth="1"/>
    <col min="4103" max="4103" width="11.42578125" style="80" bestFit="1" customWidth="1"/>
    <col min="4104" max="4104" width="11.28515625" style="80" customWidth="1"/>
    <col min="4105" max="4105" width="15.28515625" style="80" bestFit="1" customWidth="1"/>
    <col min="4106" max="4108" width="11.85546875" style="80" customWidth="1"/>
    <col min="4109" max="4109" width="19.140625" style="80" customWidth="1"/>
    <col min="4110" max="4110" width="15" style="80" customWidth="1"/>
    <col min="4111" max="4111" width="15.28515625" style="80" customWidth="1"/>
    <col min="4112" max="4114" width="18.85546875" style="80" customWidth="1"/>
    <col min="4115" max="4115" width="12.7109375" style="80" customWidth="1"/>
    <col min="4116" max="4116" width="13.7109375" style="80" customWidth="1"/>
    <col min="4117" max="4117" width="16.140625" style="80" customWidth="1"/>
    <col min="4118" max="4118" width="17" style="80" customWidth="1"/>
    <col min="4119" max="4119" width="15" style="80" customWidth="1"/>
    <col min="4120" max="4120" width="14.28515625" style="80" customWidth="1"/>
    <col min="4121" max="4121" width="14.85546875" style="80" customWidth="1"/>
    <col min="4122" max="4122" width="17.140625" style="80" customWidth="1"/>
    <col min="4123" max="4123" width="13.5703125" style="80" customWidth="1"/>
    <col min="4124" max="4125" width="14.85546875" style="80" customWidth="1"/>
    <col min="4126" max="4126" width="18.85546875" style="80" customWidth="1"/>
    <col min="4127" max="4127" width="19.42578125" style="80" customWidth="1"/>
    <col min="4128" max="4128" width="16.140625" style="80" customWidth="1"/>
    <col min="4129" max="4129" width="14.5703125" style="80" customWidth="1"/>
    <col min="4130" max="4130" width="20.28515625" style="80" customWidth="1"/>
    <col min="4131" max="4131" width="13.85546875" style="80" customWidth="1"/>
    <col min="4132" max="4132" width="19.140625" style="80" customWidth="1"/>
    <col min="4133" max="4133" width="19.7109375" style="80" customWidth="1"/>
    <col min="4134" max="4134" width="16.5703125" style="80" customWidth="1"/>
    <col min="4135" max="4135" width="19.140625" style="80" customWidth="1"/>
    <col min="4136" max="4138" width="16.5703125" style="80" customWidth="1"/>
    <col min="4139" max="4139" width="15.7109375" style="80" customWidth="1"/>
    <col min="4140" max="4140" width="19.42578125" style="80" customWidth="1"/>
    <col min="4141" max="4141" width="14.85546875" style="80" bestFit="1" customWidth="1"/>
    <col min="4142" max="4142" width="13.7109375" style="80" bestFit="1" customWidth="1"/>
    <col min="4143" max="4143" width="13" style="80" customWidth="1"/>
    <col min="4144" max="4144" width="18.42578125" style="80" customWidth="1"/>
    <col min="4145" max="4147" width="13.140625" style="80" customWidth="1"/>
    <col min="4148" max="4148" width="16.42578125" style="80" customWidth="1"/>
    <col min="4149" max="4149" width="13.140625" style="80" customWidth="1"/>
    <col min="4150" max="4150" width="15.28515625" style="80" customWidth="1"/>
    <col min="4151" max="4151" width="14" style="80" bestFit="1" customWidth="1"/>
    <col min="4152" max="4152" width="17.140625" style="80" customWidth="1"/>
    <col min="4153" max="4174" width="16.5703125" style="80" customWidth="1"/>
    <col min="4175" max="4175" width="20.140625" style="80" customWidth="1"/>
    <col min="4176" max="4176" width="13.28515625" style="80" customWidth="1"/>
    <col min="4177" max="4177" width="14.85546875" style="80" customWidth="1"/>
    <col min="4178" max="4178" width="13.85546875" style="80" customWidth="1"/>
    <col min="4179" max="4179" width="13.5703125" style="80" customWidth="1"/>
    <col min="4180" max="4180" width="13" style="80" customWidth="1"/>
    <col min="4181" max="4181" width="13.5703125" style="80" customWidth="1"/>
    <col min="4182" max="4182" width="7.7109375" style="80" bestFit="1" customWidth="1"/>
    <col min="4183" max="4352" width="9.140625" style="80"/>
    <col min="4353" max="4353" width="4.28515625" style="80" customWidth="1"/>
    <col min="4354" max="4354" width="10.140625" style="80" customWidth="1"/>
    <col min="4355" max="4355" width="8.85546875" style="80" customWidth="1"/>
    <col min="4356" max="4356" width="11.140625" style="80" customWidth="1"/>
    <col min="4357" max="4357" width="15" style="80" bestFit="1" customWidth="1"/>
    <col min="4358" max="4358" width="13.5703125" style="80" customWidth="1"/>
    <col min="4359" max="4359" width="11.42578125" style="80" bestFit="1" customWidth="1"/>
    <col min="4360" max="4360" width="11.28515625" style="80" customWidth="1"/>
    <col min="4361" max="4361" width="15.28515625" style="80" bestFit="1" customWidth="1"/>
    <col min="4362" max="4364" width="11.85546875" style="80" customWidth="1"/>
    <col min="4365" max="4365" width="19.140625" style="80" customWidth="1"/>
    <col min="4366" max="4366" width="15" style="80" customWidth="1"/>
    <col min="4367" max="4367" width="15.28515625" style="80" customWidth="1"/>
    <col min="4368" max="4370" width="18.85546875" style="80" customWidth="1"/>
    <col min="4371" max="4371" width="12.7109375" style="80" customWidth="1"/>
    <col min="4372" max="4372" width="13.7109375" style="80" customWidth="1"/>
    <col min="4373" max="4373" width="16.140625" style="80" customWidth="1"/>
    <col min="4374" max="4374" width="17" style="80" customWidth="1"/>
    <col min="4375" max="4375" width="15" style="80" customWidth="1"/>
    <col min="4376" max="4376" width="14.28515625" style="80" customWidth="1"/>
    <col min="4377" max="4377" width="14.85546875" style="80" customWidth="1"/>
    <col min="4378" max="4378" width="17.140625" style="80" customWidth="1"/>
    <col min="4379" max="4379" width="13.5703125" style="80" customWidth="1"/>
    <col min="4380" max="4381" width="14.85546875" style="80" customWidth="1"/>
    <col min="4382" max="4382" width="18.85546875" style="80" customWidth="1"/>
    <col min="4383" max="4383" width="19.42578125" style="80" customWidth="1"/>
    <col min="4384" max="4384" width="16.140625" style="80" customWidth="1"/>
    <col min="4385" max="4385" width="14.5703125" style="80" customWidth="1"/>
    <col min="4386" max="4386" width="20.28515625" style="80" customWidth="1"/>
    <col min="4387" max="4387" width="13.85546875" style="80" customWidth="1"/>
    <col min="4388" max="4388" width="19.140625" style="80" customWidth="1"/>
    <col min="4389" max="4389" width="19.7109375" style="80" customWidth="1"/>
    <col min="4390" max="4390" width="16.5703125" style="80" customWidth="1"/>
    <col min="4391" max="4391" width="19.140625" style="80" customWidth="1"/>
    <col min="4392" max="4394" width="16.5703125" style="80" customWidth="1"/>
    <col min="4395" max="4395" width="15.7109375" style="80" customWidth="1"/>
    <col min="4396" max="4396" width="19.42578125" style="80" customWidth="1"/>
    <col min="4397" max="4397" width="14.85546875" style="80" bestFit="1" customWidth="1"/>
    <col min="4398" max="4398" width="13.7109375" style="80" bestFit="1" customWidth="1"/>
    <col min="4399" max="4399" width="13" style="80" customWidth="1"/>
    <col min="4400" max="4400" width="18.42578125" style="80" customWidth="1"/>
    <col min="4401" max="4403" width="13.140625" style="80" customWidth="1"/>
    <col min="4404" max="4404" width="16.42578125" style="80" customWidth="1"/>
    <col min="4405" max="4405" width="13.140625" style="80" customWidth="1"/>
    <col min="4406" max="4406" width="15.28515625" style="80" customWidth="1"/>
    <col min="4407" max="4407" width="14" style="80" bestFit="1" customWidth="1"/>
    <col min="4408" max="4408" width="17.140625" style="80" customWidth="1"/>
    <col min="4409" max="4430" width="16.5703125" style="80" customWidth="1"/>
    <col min="4431" max="4431" width="20.140625" style="80" customWidth="1"/>
    <col min="4432" max="4432" width="13.28515625" style="80" customWidth="1"/>
    <col min="4433" max="4433" width="14.85546875" style="80" customWidth="1"/>
    <col min="4434" max="4434" width="13.85546875" style="80" customWidth="1"/>
    <col min="4435" max="4435" width="13.5703125" style="80" customWidth="1"/>
    <col min="4436" max="4436" width="13" style="80" customWidth="1"/>
    <col min="4437" max="4437" width="13.5703125" style="80" customWidth="1"/>
    <col min="4438" max="4438" width="7.7109375" style="80" bestFit="1" customWidth="1"/>
    <col min="4439" max="4608" width="9.140625" style="80"/>
    <col min="4609" max="4609" width="4.28515625" style="80" customWidth="1"/>
    <col min="4610" max="4610" width="10.140625" style="80" customWidth="1"/>
    <col min="4611" max="4611" width="8.85546875" style="80" customWidth="1"/>
    <col min="4612" max="4612" width="11.140625" style="80" customWidth="1"/>
    <col min="4613" max="4613" width="15" style="80" bestFit="1" customWidth="1"/>
    <col min="4614" max="4614" width="13.5703125" style="80" customWidth="1"/>
    <col min="4615" max="4615" width="11.42578125" style="80" bestFit="1" customWidth="1"/>
    <col min="4616" max="4616" width="11.28515625" style="80" customWidth="1"/>
    <col min="4617" max="4617" width="15.28515625" style="80" bestFit="1" customWidth="1"/>
    <col min="4618" max="4620" width="11.85546875" style="80" customWidth="1"/>
    <col min="4621" max="4621" width="19.140625" style="80" customWidth="1"/>
    <col min="4622" max="4622" width="15" style="80" customWidth="1"/>
    <col min="4623" max="4623" width="15.28515625" style="80" customWidth="1"/>
    <col min="4624" max="4626" width="18.85546875" style="80" customWidth="1"/>
    <col min="4627" max="4627" width="12.7109375" style="80" customWidth="1"/>
    <col min="4628" max="4628" width="13.7109375" style="80" customWidth="1"/>
    <col min="4629" max="4629" width="16.140625" style="80" customWidth="1"/>
    <col min="4630" max="4630" width="17" style="80" customWidth="1"/>
    <col min="4631" max="4631" width="15" style="80" customWidth="1"/>
    <col min="4632" max="4632" width="14.28515625" style="80" customWidth="1"/>
    <col min="4633" max="4633" width="14.85546875" style="80" customWidth="1"/>
    <col min="4634" max="4634" width="17.140625" style="80" customWidth="1"/>
    <col min="4635" max="4635" width="13.5703125" style="80" customWidth="1"/>
    <col min="4636" max="4637" width="14.85546875" style="80" customWidth="1"/>
    <col min="4638" max="4638" width="18.85546875" style="80" customWidth="1"/>
    <col min="4639" max="4639" width="19.42578125" style="80" customWidth="1"/>
    <col min="4640" max="4640" width="16.140625" style="80" customWidth="1"/>
    <col min="4641" max="4641" width="14.5703125" style="80" customWidth="1"/>
    <col min="4642" max="4642" width="20.28515625" style="80" customWidth="1"/>
    <col min="4643" max="4643" width="13.85546875" style="80" customWidth="1"/>
    <col min="4644" max="4644" width="19.140625" style="80" customWidth="1"/>
    <col min="4645" max="4645" width="19.7109375" style="80" customWidth="1"/>
    <col min="4646" max="4646" width="16.5703125" style="80" customWidth="1"/>
    <col min="4647" max="4647" width="19.140625" style="80" customWidth="1"/>
    <col min="4648" max="4650" width="16.5703125" style="80" customWidth="1"/>
    <col min="4651" max="4651" width="15.7109375" style="80" customWidth="1"/>
    <col min="4652" max="4652" width="19.42578125" style="80" customWidth="1"/>
    <col min="4653" max="4653" width="14.85546875" style="80" bestFit="1" customWidth="1"/>
    <col min="4654" max="4654" width="13.7109375" style="80" bestFit="1" customWidth="1"/>
    <col min="4655" max="4655" width="13" style="80" customWidth="1"/>
    <col min="4656" max="4656" width="18.42578125" style="80" customWidth="1"/>
    <col min="4657" max="4659" width="13.140625" style="80" customWidth="1"/>
    <col min="4660" max="4660" width="16.42578125" style="80" customWidth="1"/>
    <col min="4661" max="4661" width="13.140625" style="80" customWidth="1"/>
    <col min="4662" max="4662" width="15.28515625" style="80" customWidth="1"/>
    <col min="4663" max="4663" width="14" style="80" bestFit="1" customWidth="1"/>
    <col min="4664" max="4664" width="17.140625" style="80" customWidth="1"/>
    <col min="4665" max="4686" width="16.5703125" style="80" customWidth="1"/>
    <col min="4687" max="4687" width="20.140625" style="80" customWidth="1"/>
    <col min="4688" max="4688" width="13.28515625" style="80" customWidth="1"/>
    <col min="4689" max="4689" width="14.85546875" style="80" customWidth="1"/>
    <col min="4690" max="4690" width="13.85546875" style="80" customWidth="1"/>
    <col min="4691" max="4691" width="13.5703125" style="80" customWidth="1"/>
    <col min="4692" max="4692" width="13" style="80" customWidth="1"/>
    <col min="4693" max="4693" width="13.5703125" style="80" customWidth="1"/>
    <col min="4694" max="4694" width="7.7109375" style="80" bestFit="1" customWidth="1"/>
    <col min="4695" max="4864" width="9.140625" style="80"/>
    <col min="4865" max="4865" width="4.28515625" style="80" customWidth="1"/>
    <col min="4866" max="4866" width="10.140625" style="80" customWidth="1"/>
    <col min="4867" max="4867" width="8.85546875" style="80" customWidth="1"/>
    <col min="4868" max="4868" width="11.140625" style="80" customWidth="1"/>
    <col min="4869" max="4869" width="15" style="80" bestFit="1" customWidth="1"/>
    <col min="4870" max="4870" width="13.5703125" style="80" customWidth="1"/>
    <col min="4871" max="4871" width="11.42578125" style="80" bestFit="1" customWidth="1"/>
    <col min="4872" max="4872" width="11.28515625" style="80" customWidth="1"/>
    <col min="4873" max="4873" width="15.28515625" style="80" bestFit="1" customWidth="1"/>
    <col min="4874" max="4876" width="11.85546875" style="80" customWidth="1"/>
    <col min="4877" max="4877" width="19.140625" style="80" customWidth="1"/>
    <col min="4878" max="4878" width="15" style="80" customWidth="1"/>
    <col min="4879" max="4879" width="15.28515625" style="80" customWidth="1"/>
    <col min="4880" max="4882" width="18.85546875" style="80" customWidth="1"/>
    <col min="4883" max="4883" width="12.7109375" style="80" customWidth="1"/>
    <col min="4884" max="4884" width="13.7109375" style="80" customWidth="1"/>
    <col min="4885" max="4885" width="16.140625" style="80" customWidth="1"/>
    <col min="4886" max="4886" width="17" style="80" customWidth="1"/>
    <col min="4887" max="4887" width="15" style="80" customWidth="1"/>
    <col min="4888" max="4888" width="14.28515625" style="80" customWidth="1"/>
    <col min="4889" max="4889" width="14.85546875" style="80" customWidth="1"/>
    <col min="4890" max="4890" width="17.140625" style="80" customWidth="1"/>
    <col min="4891" max="4891" width="13.5703125" style="80" customWidth="1"/>
    <col min="4892" max="4893" width="14.85546875" style="80" customWidth="1"/>
    <col min="4894" max="4894" width="18.85546875" style="80" customWidth="1"/>
    <col min="4895" max="4895" width="19.42578125" style="80" customWidth="1"/>
    <col min="4896" max="4896" width="16.140625" style="80" customWidth="1"/>
    <col min="4897" max="4897" width="14.5703125" style="80" customWidth="1"/>
    <col min="4898" max="4898" width="20.28515625" style="80" customWidth="1"/>
    <col min="4899" max="4899" width="13.85546875" style="80" customWidth="1"/>
    <col min="4900" max="4900" width="19.140625" style="80" customWidth="1"/>
    <col min="4901" max="4901" width="19.7109375" style="80" customWidth="1"/>
    <col min="4902" max="4902" width="16.5703125" style="80" customWidth="1"/>
    <col min="4903" max="4903" width="19.140625" style="80" customWidth="1"/>
    <col min="4904" max="4906" width="16.5703125" style="80" customWidth="1"/>
    <col min="4907" max="4907" width="15.7109375" style="80" customWidth="1"/>
    <col min="4908" max="4908" width="19.42578125" style="80" customWidth="1"/>
    <col min="4909" max="4909" width="14.85546875" style="80" bestFit="1" customWidth="1"/>
    <col min="4910" max="4910" width="13.7109375" style="80" bestFit="1" customWidth="1"/>
    <col min="4911" max="4911" width="13" style="80" customWidth="1"/>
    <col min="4912" max="4912" width="18.42578125" style="80" customWidth="1"/>
    <col min="4913" max="4915" width="13.140625" style="80" customWidth="1"/>
    <col min="4916" max="4916" width="16.42578125" style="80" customWidth="1"/>
    <col min="4917" max="4917" width="13.140625" style="80" customWidth="1"/>
    <col min="4918" max="4918" width="15.28515625" style="80" customWidth="1"/>
    <col min="4919" max="4919" width="14" style="80" bestFit="1" customWidth="1"/>
    <col min="4920" max="4920" width="17.140625" style="80" customWidth="1"/>
    <col min="4921" max="4942" width="16.5703125" style="80" customWidth="1"/>
    <col min="4943" max="4943" width="20.140625" style="80" customWidth="1"/>
    <col min="4944" max="4944" width="13.28515625" style="80" customWidth="1"/>
    <col min="4945" max="4945" width="14.85546875" style="80" customWidth="1"/>
    <col min="4946" max="4946" width="13.85546875" style="80" customWidth="1"/>
    <col min="4947" max="4947" width="13.5703125" style="80" customWidth="1"/>
    <col min="4948" max="4948" width="13" style="80" customWidth="1"/>
    <col min="4949" max="4949" width="13.5703125" style="80" customWidth="1"/>
    <col min="4950" max="4950" width="7.7109375" style="80" bestFit="1" customWidth="1"/>
    <col min="4951" max="5120" width="9.140625" style="80"/>
    <col min="5121" max="5121" width="4.28515625" style="80" customWidth="1"/>
    <col min="5122" max="5122" width="10.140625" style="80" customWidth="1"/>
    <col min="5123" max="5123" width="8.85546875" style="80" customWidth="1"/>
    <col min="5124" max="5124" width="11.140625" style="80" customWidth="1"/>
    <col min="5125" max="5125" width="15" style="80" bestFit="1" customWidth="1"/>
    <col min="5126" max="5126" width="13.5703125" style="80" customWidth="1"/>
    <col min="5127" max="5127" width="11.42578125" style="80" bestFit="1" customWidth="1"/>
    <col min="5128" max="5128" width="11.28515625" style="80" customWidth="1"/>
    <col min="5129" max="5129" width="15.28515625" style="80" bestFit="1" customWidth="1"/>
    <col min="5130" max="5132" width="11.85546875" style="80" customWidth="1"/>
    <col min="5133" max="5133" width="19.140625" style="80" customWidth="1"/>
    <col min="5134" max="5134" width="15" style="80" customWidth="1"/>
    <col min="5135" max="5135" width="15.28515625" style="80" customWidth="1"/>
    <col min="5136" max="5138" width="18.85546875" style="80" customWidth="1"/>
    <col min="5139" max="5139" width="12.7109375" style="80" customWidth="1"/>
    <col min="5140" max="5140" width="13.7109375" style="80" customWidth="1"/>
    <col min="5141" max="5141" width="16.140625" style="80" customWidth="1"/>
    <col min="5142" max="5142" width="17" style="80" customWidth="1"/>
    <col min="5143" max="5143" width="15" style="80" customWidth="1"/>
    <col min="5144" max="5144" width="14.28515625" style="80" customWidth="1"/>
    <col min="5145" max="5145" width="14.85546875" style="80" customWidth="1"/>
    <col min="5146" max="5146" width="17.140625" style="80" customWidth="1"/>
    <col min="5147" max="5147" width="13.5703125" style="80" customWidth="1"/>
    <col min="5148" max="5149" width="14.85546875" style="80" customWidth="1"/>
    <col min="5150" max="5150" width="18.85546875" style="80" customWidth="1"/>
    <col min="5151" max="5151" width="19.42578125" style="80" customWidth="1"/>
    <col min="5152" max="5152" width="16.140625" style="80" customWidth="1"/>
    <col min="5153" max="5153" width="14.5703125" style="80" customWidth="1"/>
    <col min="5154" max="5154" width="20.28515625" style="80" customWidth="1"/>
    <col min="5155" max="5155" width="13.85546875" style="80" customWidth="1"/>
    <col min="5156" max="5156" width="19.140625" style="80" customWidth="1"/>
    <col min="5157" max="5157" width="19.7109375" style="80" customWidth="1"/>
    <col min="5158" max="5158" width="16.5703125" style="80" customWidth="1"/>
    <col min="5159" max="5159" width="19.140625" style="80" customWidth="1"/>
    <col min="5160" max="5162" width="16.5703125" style="80" customWidth="1"/>
    <col min="5163" max="5163" width="15.7109375" style="80" customWidth="1"/>
    <col min="5164" max="5164" width="19.42578125" style="80" customWidth="1"/>
    <col min="5165" max="5165" width="14.85546875" style="80" bestFit="1" customWidth="1"/>
    <col min="5166" max="5166" width="13.7109375" style="80" bestFit="1" customWidth="1"/>
    <col min="5167" max="5167" width="13" style="80" customWidth="1"/>
    <col min="5168" max="5168" width="18.42578125" style="80" customWidth="1"/>
    <col min="5169" max="5171" width="13.140625" style="80" customWidth="1"/>
    <col min="5172" max="5172" width="16.42578125" style="80" customWidth="1"/>
    <col min="5173" max="5173" width="13.140625" style="80" customWidth="1"/>
    <col min="5174" max="5174" width="15.28515625" style="80" customWidth="1"/>
    <col min="5175" max="5175" width="14" style="80" bestFit="1" customWidth="1"/>
    <col min="5176" max="5176" width="17.140625" style="80" customWidth="1"/>
    <col min="5177" max="5198" width="16.5703125" style="80" customWidth="1"/>
    <col min="5199" max="5199" width="20.140625" style="80" customWidth="1"/>
    <col min="5200" max="5200" width="13.28515625" style="80" customWidth="1"/>
    <col min="5201" max="5201" width="14.85546875" style="80" customWidth="1"/>
    <col min="5202" max="5202" width="13.85546875" style="80" customWidth="1"/>
    <col min="5203" max="5203" width="13.5703125" style="80" customWidth="1"/>
    <col min="5204" max="5204" width="13" style="80" customWidth="1"/>
    <col min="5205" max="5205" width="13.5703125" style="80" customWidth="1"/>
    <col min="5206" max="5206" width="7.7109375" style="80" bestFit="1" customWidth="1"/>
    <col min="5207" max="5376" width="9.140625" style="80"/>
    <col min="5377" max="5377" width="4.28515625" style="80" customWidth="1"/>
    <col min="5378" max="5378" width="10.140625" style="80" customWidth="1"/>
    <col min="5379" max="5379" width="8.85546875" style="80" customWidth="1"/>
    <col min="5380" max="5380" width="11.140625" style="80" customWidth="1"/>
    <col min="5381" max="5381" width="15" style="80" bestFit="1" customWidth="1"/>
    <col min="5382" max="5382" width="13.5703125" style="80" customWidth="1"/>
    <col min="5383" max="5383" width="11.42578125" style="80" bestFit="1" customWidth="1"/>
    <col min="5384" max="5384" width="11.28515625" style="80" customWidth="1"/>
    <col min="5385" max="5385" width="15.28515625" style="80" bestFit="1" customWidth="1"/>
    <col min="5386" max="5388" width="11.85546875" style="80" customWidth="1"/>
    <col min="5389" max="5389" width="19.140625" style="80" customWidth="1"/>
    <col min="5390" max="5390" width="15" style="80" customWidth="1"/>
    <col min="5391" max="5391" width="15.28515625" style="80" customWidth="1"/>
    <col min="5392" max="5394" width="18.85546875" style="80" customWidth="1"/>
    <col min="5395" max="5395" width="12.7109375" style="80" customWidth="1"/>
    <col min="5396" max="5396" width="13.7109375" style="80" customWidth="1"/>
    <col min="5397" max="5397" width="16.140625" style="80" customWidth="1"/>
    <col min="5398" max="5398" width="17" style="80" customWidth="1"/>
    <col min="5399" max="5399" width="15" style="80" customWidth="1"/>
    <col min="5400" max="5400" width="14.28515625" style="80" customWidth="1"/>
    <col min="5401" max="5401" width="14.85546875" style="80" customWidth="1"/>
    <col min="5402" max="5402" width="17.140625" style="80" customWidth="1"/>
    <col min="5403" max="5403" width="13.5703125" style="80" customWidth="1"/>
    <col min="5404" max="5405" width="14.85546875" style="80" customWidth="1"/>
    <col min="5406" max="5406" width="18.85546875" style="80" customWidth="1"/>
    <col min="5407" max="5407" width="19.42578125" style="80" customWidth="1"/>
    <col min="5408" max="5408" width="16.140625" style="80" customWidth="1"/>
    <col min="5409" max="5409" width="14.5703125" style="80" customWidth="1"/>
    <col min="5410" max="5410" width="20.28515625" style="80" customWidth="1"/>
    <col min="5411" max="5411" width="13.85546875" style="80" customWidth="1"/>
    <col min="5412" max="5412" width="19.140625" style="80" customWidth="1"/>
    <col min="5413" max="5413" width="19.7109375" style="80" customWidth="1"/>
    <col min="5414" max="5414" width="16.5703125" style="80" customWidth="1"/>
    <col min="5415" max="5415" width="19.140625" style="80" customWidth="1"/>
    <col min="5416" max="5418" width="16.5703125" style="80" customWidth="1"/>
    <col min="5419" max="5419" width="15.7109375" style="80" customWidth="1"/>
    <col min="5420" max="5420" width="19.42578125" style="80" customWidth="1"/>
    <col min="5421" max="5421" width="14.85546875" style="80" bestFit="1" customWidth="1"/>
    <col min="5422" max="5422" width="13.7109375" style="80" bestFit="1" customWidth="1"/>
    <col min="5423" max="5423" width="13" style="80" customWidth="1"/>
    <col min="5424" max="5424" width="18.42578125" style="80" customWidth="1"/>
    <col min="5425" max="5427" width="13.140625" style="80" customWidth="1"/>
    <col min="5428" max="5428" width="16.42578125" style="80" customWidth="1"/>
    <col min="5429" max="5429" width="13.140625" style="80" customWidth="1"/>
    <col min="5430" max="5430" width="15.28515625" style="80" customWidth="1"/>
    <col min="5431" max="5431" width="14" style="80" bestFit="1" customWidth="1"/>
    <col min="5432" max="5432" width="17.140625" style="80" customWidth="1"/>
    <col min="5433" max="5454" width="16.5703125" style="80" customWidth="1"/>
    <col min="5455" max="5455" width="20.140625" style="80" customWidth="1"/>
    <col min="5456" max="5456" width="13.28515625" style="80" customWidth="1"/>
    <col min="5457" max="5457" width="14.85546875" style="80" customWidth="1"/>
    <col min="5458" max="5458" width="13.85546875" style="80" customWidth="1"/>
    <col min="5459" max="5459" width="13.5703125" style="80" customWidth="1"/>
    <col min="5460" max="5460" width="13" style="80" customWidth="1"/>
    <col min="5461" max="5461" width="13.5703125" style="80" customWidth="1"/>
    <col min="5462" max="5462" width="7.7109375" style="80" bestFit="1" customWidth="1"/>
    <col min="5463" max="5632" width="9.140625" style="80"/>
    <col min="5633" max="5633" width="4.28515625" style="80" customWidth="1"/>
    <col min="5634" max="5634" width="10.140625" style="80" customWidth="1"/>
    <col min="5635" max="5635" width="8.85546875" style="80" customWidth="1"/>
    <col min="5636" max="5636" width="11.140625" style="80" customWidth="1"/>
    <col min="5637" max="5637" width="15" style="80" bestFit="1" customWidth="1"/>
    <col min="5638" max="5638" width="13.5703125" style="80" customWidth="1"/>
    <col min="5639" max="5639" width="11.42578125" style="80" bestFit="1" customWidth="1"/>
    <col min="5640" max="5640" width="11.28515625" style="80" customWidth="1"/>
    <col min="5641" max="5641" width="15.28515625" style="80" bestFit="1" customWidth="1"/>
    <col min="5642" max="5644" width="11.85546875" style="80" customWidth="1"/>
    <col min="5645" max="5645" width="19.140625" style="80" customWidth="1"/>
    <col min="5646" max="5646" width="15" style="80" customWidth="1"/>
    <col min="5647" max="5647" width="15.28515625" style="80" customWidth="1"/>
    <col min="5648" max="5650" width="18.85546875" style="80" customWidth="1"/>
    <col min="5651" max="5651" width="12.7109375" style="80" customWidth="1"/>
    <col min="5652" max="5652" width="13.7109375" style="80" customWidth="1"/>
    <col min="5653" max="5653" width="16.140625" style="80" customWidth="1"/>
    <col min="5654" max="5654" width="17" style="80" customWidth="1"/>
    <col min="5655" max="5655" width="15" style="80" customWidth="1"/>
    <col min="5656" max="5656" width="14.28515625" style="80" customWidth="1"/>
    <col min="5657" max="5657" width="14.85546875" style="80" customWidth="1"/>
    <col min="5658" max="5658" width="17.140625" style="80" customWidth="1"/>
    <col min="5659" max="5659" width="13.5703125" style="80" customWidth="1"/>
    <col min="5660" max="5661" width="14.85546875" style="80" customWidth="1"/>
    <col min="5662" max="5662" width="18.85546875" style="80" customWidth="1"/>
    <col min="5663" max="5663" width="19.42578125" style="80" customWidth="1"/>
    <col min="5664" max="5664" width="16.140625" style="80" customWidth="1"/>
    <col min="5665" max="5665" width="14.5703125" style="80" customWidth="1"/>
    <col min="5666" max="5666" width="20.28515625" style="80" customWidth="1"/>
    <col min="5667" max="5667" width="13.85546875" style="80" customWidth="1"/>
    <col min="5668" max="5668" width="19.140625" style="80" customWidth="1"/>
    <col min="5669" max="5669" width="19.7109375" style="80" customWidth="1"/>
    <col min="5670" max="5670" width="16.5703125" style="80" customWidth="1"/>
    <col min="5671" max="5671" width="19.140625" style="80" customWidth="1"/>
    <col min="5672" max="5674" width="16.5703125" style="80" customWidth="1"/>
    <col min="5675" max="5675" width="15.7109375" style="80" customWidth="1"/>
    <col min="5676" max="5676" width="19.42578125" style="80" customWidth="1"/>
    <col min="5677" max="5677" width="14.85546875" style="80" bestFit="1" customWidth="1"/>
    <col min="5678" max="5678" width="13.7109375" style="80" bestFit="1" customWidth="1"/>
    <col min="5679" max="5679" width="13" style="80" customWidth="1"/>
    <col min="5680" max="5680" width="18.42578125" style="80" customWidth="1"/>
    <col min="5681" max="5683" width="13.140625" style="80" customWidth="1"/>
    <col min="5684" max="5684" width="16.42578125" style="80" customWidth="1"/>
    <col min="5685" max="5685" width="13.140625" style="80" customWidth="1"/>
    <col min="5686" max="5686" width="15.28515625" style="80" customWidth="1"/>
    <col min="5687" max="5687" width="14" style="80" bestFit="1" customWidth="1"/>
    <col min="5688" max="5688" width="17.140625" style="80" customWidth="1"/>
    <col min="5689" max="5710" width="16.5703125" style="80" customWidth="1"/>
    <col min="5711" max="5711" width="20.140625" style="80" customWidth="1"/>
    <col min="5712" max="5712" width="13.28515625" style="80" customWidth="1"/>
    <col min="5713" max="5713" width="14.85546875" style="80" customWidth="1"/>
    <col min="5714" max="5714" width="13.85546875" style="80" customWidth="1"/>
    <col min="5715" max="5715" width="13.5703125" style="80" customWidth="1"/>
    <col min="5716" max="5716" width="13" style="80" customWidth="1"/>
    <col min="5717" max="5717" width="13.5703125" style="80" customWidth="1"/>
    <col min="5718" max="5718" width="7.7109375" style="80" bestFit="1" customWidth="1"/>
    <col min="5719" max="5888" width="9.140625" style="80"/>
    <col min="5889" max="5889" width="4.28515625" style="80" customWidth="1"/>
    <col min="5890" max="5890" width="10.140625" style="80" customWidth="1"/>
    <col min="5891" max="5891" width="8.85546875" style="80" customWidth="1"/>
    <col min="5892" max="5892" width="11.140625" style="80" customWidth="1"/>
    <col min="5893" max="5893" width="15" style="80" bestFit="1" customWidth="1"/>
    <col min="5894" max="5894" width="13.5703125" style="80" customWidth="1"/>
    <col min="5895" max="5895" width="11.42578125" style="80" bestFit="1" customWidth="1"/>
    <col min="5896" max="5896" width="11.28515625" style="80" customWidth="1"/>
    <col min="5897" max="5897" width="15.28515625" style="80" bestFit="1" customWidth="1"/>
    <col min="5898" max="5900" width="11.85546875" style="80" customWidth="1"/>
    <col min="5901" max="5901" width="19.140625" style="80" customWidth="1"/>
    <col min="5902" max="5902" width="15" style="80" customWidth="1"/>
    <col min="5903" max="5903" width="15.28515625" style="80" customWidth="1"/>
    <col min="5904" max="5906" width="18.85546875" style="80" customWidth="1"/>
    <col min="5907" max="5907" width="12.7109375" style="80" customWidth="1"/>
    <col min="5908" max="5908" width="13.7109375" style="80" customWidth="1"/>
    <col min="5909" max="5909" width="16.140625" style="80" customWidth="1"/>
    <col min="5910" max="5910" width="17" style="80" customWidth="1"/>
    <col min="5911" max="5911" width="15" style="80" customWidth="1"/>
    <col min="5912" max="5912" width="14.28515625" style="80" customWidth="1"/>
    <col min="5913" max="5913" width="14.85546875" style="80" customWidth="1"/>
    <col min="5914" max="5914" width="17.140625" style="80" customWidth="1"/>
    <col min="5915" max="5915" width="13.5703125" style="80" customWidth="1"/>
    <col min="5916" max="5917" width="14.85546875" style="80" customWidth="1"/>
    <col min="5918" max="5918" width="18.85546875" style="80" customWidth="1"/>
    <col min="5919" max="5919" width="19.42578125" style="80" customWidth="1"/>
    <col min="5920" max="5920" width="16.140625" style="80" customWidth="1"/>
    <col min="5921" max="5921" width="14.5703125" style="80" customWidth="1"/>
    <col min="5922" max="5922" width="20.28515625" style="80" customWidth="1"/>
    <col min="5923" max="5923" width="13.85546875" style="80" customWidth="1"/>
    <col min="5924" max="5924" width="19.140625" style="80" customWidth="1"/>
    <col min="5925" max="5925" width="19.7109375" style="80" customWidth="1"/>
    <col min="5926" max="5926" width="16.5703125" style="80" customWidth="1"/>
    <col min="5927" max="5927" width="19.140625" style="80" customWidth="1"/>
    <col min="5928" max="5930" width="16.5703125" style="80" customWidth="1"/>
    <col min="5931" max="5931" width="15.7109375" style="80" customWidth="1"/>
    <col min="5932" max="5932" width="19.42578125" style="80" customWidth="1"/>
    <col min="5933" max="5933" width="14.85546875" style="80" bestFit="1" customWidth="1"/>
    <col min="5934" max="5934" width="13.7109375" style="80" bestFit="1" customWidth="1"/>
    <col min="5935" max="5935" width="13" style="80" customWidth="1"/>
    <col min="5936" max="5936" width="18.42578125" style="80" customWidth="1"/>
    <col min="5937" max="5939" width="13.140625" style="80" customWidth="1"/>
    <col min="5940" max="5940" width="16.42578125" style="80" customWidth="1"/>
    <col min="5941" max="5941" width="13.140625" style="80" customWidth="1"/>
    <col min="5942" max="5942" width="15.28515625" style="80" customWidth="1"/>
    <col min="5943" max="5943" width="14" style="80" bestFit="1" customWidth="1"/>
    <col min="5944" max="5944" width="17.140625" style="80" customWidth="1"/>
    <col min="5945" max="5966" width="16.5703125" style="80" customWidth="1"/>
    <col min="5967" max="5967" width="20.140625" style="80" customWidth="1"/>
    <col min="5968" max="5968" width="13.28515625" style="80" customWidth="1"/>
    <col min="5969" max="5969" width="14.85546875" style="80" customWidth="1"/>
    <col min="5970" max="5970" width="13.85546875" style="80" customWidth="1"/>
    <col min="5971" max="5971" width="13.5703125" style="80" customWidth="1"/>
    <col min="5972" max="5972" width="13" style="80" customWidth="1"/>
    <col min="5973" max="5973" width="13.5703125" style="80" customWidth="1"/>
    <col min="5974" max="5974" width="7.7109375" style="80" bestFit="1" customWidth="1"/>
    <col min="5975" max="6144" width="9.140625" style="80"/>
    <col min="6145" max="6145" width="4.28515625" style="80" customWidth="1"/>
    <col min="6146" max="6146" width="10.140625" style="80" customWidth="1"/>
    <col min="6147" max="6147" width="8.85546875" style="80" customWidth="1"/>
    <col min="6148" max="6148" width="11.140625" style="80" customWidth="1"/>
    <col min="6149" max="6149" width="15" style="80" bestFit="1" customWidth="1"/>
    <col min="6150" max="6150" width="13.5703125" style="80" customWidth="1"/>
    <col min="6151" max="6151" width="11.42578125" style="80" bestFit="1" customWidth="1"/>
    <col min="6152" max="6152" width="11.28515625" style="80" customWidth="1"/>
    <col min="6153" max="6153" width="15.28515625" style="80" bestFit="1" customWidth="1"/>
    <col min="6154" max="6156" width="11.85546875" style="80" customWidth="1"/>
    <col min="6157" max="6157" width="19.140625" style="80" customWidth="1"/>
    <col min="6158" max="6158" width="15" style="80" customWidth="1"/>
    <col min="6159" max="6159" width="15.28515625" style="80" customWidth="1"/>
    <col min="6160" max="6162" width="18.85546875" style="80" customWidth="1"/>
    <col min="6163" max="6163" width="12.7109375" style="80" customWidth="1"/>
    <col min="6164" max="6164" width="13.7109375" style="80" customWidth="1"/>
    <col min="6165" max="6165" width="16.140625" style="80" customWidth="1"/>
    <col min="6166" max="6166" width="17" style="80" customWidth="1"/>
    <col min="6167" max="6167" width="15" style="80" customWidth="1"/>
    <col min="6168" max="6168" width="14.28515625" style="80" customWidth="1"/>
    <col min="6169" max="6169" width="14.85546875" style="80" customWidth="1"/>
    <col min="6170" max="6170" width="17.140625" style="80" customWidth="1"/>
    <col min="6171" max="6171" width="13.5703125" style="80" customWidth="1"/>
    <col min="6172" max="6173" width="14.85546875" style="80" customWidth="1"/>
    <col min="6174" max="6174" width="18.85546875" style="80" customWidth="1"/>
    <col min="6175" max="6175" width="19.42578125" style="80" customWidth="1"/>
    <col min="6176" max="6176" width="16.140625" style="80" customWidth="1"/>
    <col min="6177" max="6177" width="14.5703125" style="80" customWidth="1"/>
    <col min="6178" max="6178" width="20.28515625" style="80" customWidth="1"/>
    <col min="6179" max="6179" width="13.85546875" style="80" customWidth="1"/>
    <col min="6180" max="6180" width="19.140625" style="80" customWidth="1"/>
    <col min="6181" max="6181" width="19.7109375" style="80" customWidth="1"/>
    <col min="6182" max="6182" width="16.5703125" style="80" customWidth="1"/>
    <col min="6183" max="6183" width="19.140625" style="80" customWidth="1"/>
    <col min="6184" max="6186" width="16.5703125" style="80" customWidth="1"/>
    <col min="6187" max="6187" width="15.7109375" style="80" customWidth="1"/>
    <col min="6188" max="6188" width="19.42578125" style="80" customWidth="1"/>
    <col min="6189" max="6189" width="14.85546875" style="80" bestFit="1" customWidth="1"/>
    <col min="6190" max="6190" width="13.7109375" style="80" bestFit="1" customWidth="1"/>
    <col min="6191" max="6191" width="13" style="80" customWidth="1"/>
    <col min="6192" max="6192" width="18.42578125" style="80" customWidth="1"/>
    <col min="6193" max="6195" width="13.140625" style="80" customWidth="1"/>
    <col min="6196" max="6196" width="16.42578125" style="80" customWidth="1"/>
    <col min="6197" max="6197" width="13.140625" style="80" customWidth="1"/>
    <col min="6198" max="6198" width="15.28515625" style="80" customWidth="1"/>
    <col min="6199" max="6199" width="14" style="80" bestFit="1" customWidth="1"/>
    <col min="6200" max="6200" width="17.140625" style="80" customWidth="1"/>
    <col min="6201" max="6222" width="16.5703125" style="80" customWidth="1"/>
    <col min="6223" max="6223" width="20.140625" style="80" customWidth="1"/>
    <col min="6224" max="6224" width="13.28515625" style="80" customWidth="1"/>
    <col min="6225" max="6225" width="14.85546875" style="80" customWidth="1"/>
    <col min="6226" max="6226" width="13.85546875" style="80" customWidth="1"/>
    <col min="6227" max="6227" width="13.5703125" style="80" customWidth="1"/>
    <col min="6228" max="6228" width="13" style="80" customWidth="1"/>
    <col min="6229" max="6229" width="13.5703125" style="80" customWidth="1"/>
    <col min="6230" max="6230" width="7.7109375" style="80" bestFit="1" customWidth="1"/>
    <col min="6231" max="6400" width="9.140625" style="80"/>
    <col min="6401" max="6401" width="4.28515625" style="80" customWidth="1"/>
    <col min="6402" max="6402" width="10.140625" style="80" customWidth="1"/>
    <col min="6403" max="6403" width="8.85546875" style="80" customWidth="1"/>
    <col min="6404" max="6404" width="11.140625" style="80" customWidth="1"/>
    <col min="6405" max="6405" width="15" style="80" bestFit="1" customWidth="1"/>
    <col min="6406" max="6406" width="13.5703125" style="80" customWidth="1"/>
    <col min="6407" max="6407" width="11.42578125" style="80" bestFit="1" customWidth="1"/>
    <col min="6408" max="6408" width="11.28515625" style="80" customWidth="1"/>
    <col min="6409" max="6409" width="15.28515625" style="80" bestFit="1" customWidth="1"/>
    <col min="6410" max="6412" width="11.85546875" style="80" customWidth="1"/>
    <col min="6413" max="6413" width="19.140625" style="80" customWidth="1"/>
    <col min="6414" max="6414" width="15" style="80" customWidth="1"/>
    <col min="6415" max="6415" width="15.28515625" style="80" customWidth="1"/>
    <col min="6416" max="6418" width="18.85546875" style="80" customWidth="1"/>
    <col min="6419" max="6419" width="12.7109375" style="80" customWidth="1"/>
    <col min="6420" max="6420" width="13.7109375" style="80" customWidth="1"/>
    <col min="6421" max="6421" width="16.140625" style="80" customWidth="1"/>
    <col min="6422" max="6422" width="17" style="80" customWidth="1"/>
    <col min="6423" max="6423" width="15" style="80" customWidth="1"/>
    <col min="6424" max="6424" width="14.28515625" style="80" customWidth="1"/>
    <col min="6425" max="6425" width="14.85546875" style="80" customWidth="1"/>
    <col min="6426" max="6426" width="17.140625" style="80" customWidth="1"/>
    <col min="6427" max="6427" width="13.5703125" style="80" customWidth="1"/>
    <col min="6428" max="6429" width="14.85546875" style="80" customWidth="1"/>
    <col min="6430" max="6430" width="18.85546875" style="80" customWidth="1"/>
    <col min="6431" max="6431" width="19.42578125" style="80" customWidth="1"/>
    <col min="6432" max="6432" width="16.140625" style="80" customWidth="1"/>
    <col min="6433" max="6433" width="14.5703125" style="80" customWidth="1"/>
    <col min="6434" max="6434" width="20.28515625" style="80" customWidth="1"/>
    <col min="6435" max="6435" width="13.85546875" style="80" customWidth="1"/>
    <col min="6436" max="6436" width="19.140625" style="80" customWidth="1"/>
    <col min="6437" max="6437" width="19.7109375" style="80" customWidth="1"/>
    <col min="6438" max="6438" width="16.5703125" style="80" customWidth="1"/>
    <col min="6439" max="6439" width="19.140625" style="80" customWidth="1"/>
    <col min="6440" max="6442" width="16.5703125" style="80" customWidth="1"/>
    <col min="6443" max="6443" width="15.7109375" style="80" customWidth="1"/>
    <col min="6444" max="6444" width="19.42578125" style="80" customWidth="1"/>
    <col min="6445" max="6445" width="14.85546875" style="80" bestFit="1" customWidth="1"/>
    <col min="6446" max="6446" width="13.7109375" style="80" bestFit="1" customWidth="1"/>
    <col min="6447" max="6447" width="13" style="80" customWidth="1"/>
    <col min="6448" max="6448" width="18.42578125" style="80" customWidth="1"/>
    <col min="6449" max="6451" width="13.140625" style="80" customWidth="1"/>
    <col min="6452" max="6452" width="16.42578125" style="80" customWidth="1"/>
    <col min="6453" max="6453" width="13.140625" style="80" customWidth="1"/>
    <col min="6454" max="6454" width="15.28515625" style="80" customWidth="1"/>
    <col min="6455" max="6455" width="14" style="80" bestFit="1" customWidth="1"/>
    <col min="6456" max="6456" width="17.140625" style="80" customWidth="1"/>
    <col min="6457" max="6478" width="16.5703125" style="80" customWidth="1"/>
    <col min="6479" max="6479" width="20.140625" style="80" customWidth="1"/>
    <col min="6480" max="6480" width="13.28515625" style="80" customWidth="1"/>
    <col min="6481" max="6481" width="14.85546875" style="80" customWidth="1"/>
    <col min="6482" max="6482" width="13.85546875" style="80" customWidth="1"/>
    <col min="6483" max="6483" width="13.5703125" style="80" customWidth="1"/>
    <col min="6484" max="6484" width="13" style="80" customWidth="1"/>
    <col min="6485" max="6485" width="13.5703125" style="80" customWidth="1"/>
    <col min="6486" max="6486" width="7.7109375" style="80" bestFit="1" customWidth="1"/>
    <col min="6487" max="6656" width="9.140625" style="80"/>
    <col min="6657" max="6657" width="4.28515625" style="80" customWidth="1"/>
    <col min="6658" max="6658" width="10.140625" style="80" customWidth="1"/>
    <col min="6659" max="6659" width="8.85546875" style="80" customWidth="1"/>
    <col min="6660" max="6660" width="11.140625" style="80" customWidth="1"/>
    <col min="6661" max="6661" width="15" style="80" bestFit="1" customWidth="1"/>
    <col min="6662" max="6662" width="13.5703125" style="80" customWidth="1"/>
    <col min="6663" max="6663" width="11.42578125" style="80" bestFit="1" customWidth="1"/>
    <col min="6664" max="6664" width="11.28515625" style="80" customWidth="1"/>
    <col min="6665" max="6665" width="15.28515625" style="80" bestFit="1" customWidth="1"/>
    <col min="6666" max="6668" width="11.85546875" style="80" customWidth="1"/>
    <col min="6669" max="6669" width="19.140625" style="80" customWidth="1"/>
    <col min="6670" max="6670" width="15" style="80" customWidth="1"/>
    <col min="6671" max="6671" width="15.28515625" style="80" customWidth="1"/>
    <col min="6672" max="6674" width="18.85546875" style="80" customWidth="1"/>
    <col min="6675" max="6675" width="12.7109375" style="80" customWidth="1"/>
    <col min="6676" max="6676" width="13.7109375" style="80" customWidth="1"/>
    <col min="6677" max="6677" width="16.140625" style="80" customWidth="1"/>
    <col min="6678" max="6678" width="17" style="80" customWidth="1"/>
    <col min="6679" max="6679" width="15" style="80" customWidth="1"/>
    <col min="6680" max="6680" width="14.28515625" style="80" customWidth="1"/>
    <col min="6681" max="6681" width="14.85546875" style="80" customWidth="1"/>
    <col min="6682" max="6682" width="17.140625" style="80" customWidth="1"/>
    <col min="6683" max="6683" width="13.5703125" style="80" customWidth="1"/>
    <col min="6684" max="6685" width="14.85546875" style="80" customWidth="1"/>
    <col min="6686" max="6686" width="18.85546875" style="80" customWidth="1"/>
    <col min="6687" max="6687" width="19.42578125" style="80" customWidth="1"/>
    <col min="6688" max="6688" width="16.140625" style="80" customWidth="1"/>
    <col min="6689" max="6689" width="14.5703125" style="80" customWidth="1"/>
    <col min="6690" max="6690" width="20.28515625" style="80" customWidth="1"/>
    <col min="6691" max="6691" width="13.85546875" style="80" customWidth="1"/>
    <col min="6692" max="6692" width="19.140625" style="80" customWidth="1"/>
    <col min="6693" max="6693" width="19.7109375" style="80" customWidth="1"/>
    <col min="6694" max="6694" width="16.5703125" style="80" customWidth="1"/>
    <col min="6695" max="6695" width="19.140625" style="80" customWidth="1"/>
    <col min="6696" max="6698" width="16.5703125" style="80" customWidth="1"/>
    <col min="6699" max="6699" width="15.7109375" style="80" customWidth="1"/>
    <col min="6700" max="6700" width="19.42578125" style="80" customWidth="1"/>
    <col min="6701" max="6701" width="14.85546875" style="80" bestFit="1" customWidth="1"/>
    <col min="6702" max="6702" width="13.7109375" style="80" bestFit="1" customWidth="1"/>
    <col min="6703" max="6703" width="13" style="80" customWidth="1"/>
    <col min="6704" max="6704" width="18.42578125" style="80" customWidth="1"/>
    <col min="6705" max="6707" width="13.140625" style="80" customWidth="1"/>
    <col min="6708" max="6708" width="16.42578125" style="80" customWidth="1"/>
    <col min="6709" max="6709" width="13.140625" style="80" customWidth="1"/>
    <col min="6710" max="6710" width="15.28515625" style="80" customWidth="1"/>
    <col min="6711" max="6711" width="14" style="80" bestFit="1" customWidth="1"/>
    <col min="6712" max="6712" width="17.140625" style="80" customWidth="1"/>
    <col min="6713" max="6734" width="16.5703125" style="80" customWidth="1"/>
    <col min="6735" max="6735" width="20.140625" style="80" customWidth="1"/>
    <col min="6736" max="6736" width="13.28515625" style="80" customWidth="1"/>
    <col min="6737" max="6737" width="14.85546875" style="80" customWidth="1"/>
    <col min="6738" max="6738" width="13.85546875" style="80" customWidth="1"/>
    <col min="6739" max="6739" width="13.5703125" style="80" customWidth="1"/>
    <col min="6740" max="6740" width="13" style="80" customWidth="1"/>
    <col min="6741" max="6741" width="13.5703125" style="80" customWidth="1"/>
    <col min="6742" max="6742" width="7.7109375" style="80" bestFit="1" customWidth="1"/>
    <col min="6743" max="6912" width="9.140625" style="80"/>
    <col min="6913" max="6913" width="4.28515625" style="80" customWidth="1"/>
    <col min="6914" max="6914" width="10.140625" style="80" customWidth="1"/>
    <col min="6915" max="6915" width="8.85546875" style="80" customWidth="1"/>
    <col min="6916" max="6916" width="11.140625" style="80" customWidth="1"/>
    <col min="6917" max="6917" width="15" style="80" bestFit="1" customWidth="1"/>
    <col min="6918" max="6918" width="13.5703125" style="80" customWidth="1"/>
    <col min="6919" max="6919" width="11.42578125" style="80" bestFit="1" customWidth="1"/>
    <col min="6920" max="6920" width="11.28515625" style="80" customWidth="1"/>
    <col min="6921" max="6921" width="15.28515625" style="80" bestFit="1" customWidth="1"/>
    <col min="6922" max="6924" width="11.85546875" style="80" customWidth="1"/>
    <col min="6925" max="6925" width="19.140625" style="80" customWidth="1"/>
    <col min="6926" max="6926" width="15" style="80" customWidth="1"/>
    <col min="6927" max="6927" width="15.28515625" style="80" customWidth="1"/>
    <col min="6928" max="6930" width="18.85546875" style="80" customWidth="1"/>
    <col min="6931" max="6931" width="12.7109375" style="80" customWidth="1"/>
    <col min="6932" max="6932" width="13.7109375" style="80" customWidth="1"/>
    <col min="6933" max="6933" width="16.140625" style="80" customWidth="1"/>
    <col min="6934" max="6934" width="17" style="80" customWidth="1"/>
    <col min="6935" max="6935" width="15" style="80" customWidth="1"/>
    <col min="6936" max="6936" width="14.28515625" style="80" customWidth="1"/>
    <col min="6937" max="6937" width="14.85546875" style="80" customWidth="1"/>
    <col min="6938" max="6938" width="17.140625" style="80" customWidth="1"/>
    <col min="6939" max="6939" width="13.5703125" style="80" customWidth="1"/>
    <col min="6940" max="6941" width="14.85546875" style="80" customWidth="1"/>
    <col min="6942" max="6942" width="18.85546875" style="80" customWidth="1"/>
    <col min="6943" max="6943" width="19.42578125" style="80" customWidth="1"/>
    <col min="6944" max="6944" width="16.140625" style="80" customWidth="1"/>
    <col min="6945" max="6945" width="14.5703125" style="80" customWidth="1"/>
    <col min="6946" max="6946" width="20.28515625" style="80" customWidth="1"/>
    <col min="6947" max="6947" width="13.85546875" style="80" customWidth="1"/>
    <col min="6948" max="6948" width="19.140625" style="80" customWidth="1"/>
    <col min="6949" max="6949" width="19.7109375" style="80" customWidth="1"/>
    <col min="6950" max="6950" width="16.5703125" style="80" customWidth="1"/>
    <col min="6951" max="6951" width="19.140625" style="80" customWidth="1"/>
    <col min="6952" max="6954" width="16.5703125" style="80" customWidth="1"/>
    <col min="6955" max="6955" width="15.7109375" style="80" customWidth="1"/>
    <col min="6956" max="6956" width="19.42578125" style="80" customWidth="1"/>
    <col min="6957" max="6957" width="14.85546875" style="80" bestFit="1" customWidth="1"/>
    <col min="6958" max="6958" width="13.7109375" style="80" bestFit="1" customWidth="1"/>
    <col min="6959" max="6959" width="13" style="80" customWidth="1"/>
    <col min="6960" max="6960" width="18.42578125" style="80" customWidth="1"/>
    <col min="6961" max="6963" width="13.140625" style="80" customWidth="1"/>
    <col min="6964" max="6964" width="16.42578125" style="80" customWidth="1"/>
    <col min="6965" max="6965" width="13.140625" style="80" customWidth="1"/>
    <col min="6966" max="6966" width="15.28515625" style="80" customWidth="1"/>
    <col min="6967" max="6967" width="14" style="80" bestFit="1" customWidth="1"/>
    <col min="6968" max="6968" width="17.140625" style="80" customWidth="1"/>
    <col min="6969" max="6990" width="16.5703125" style="80" customWidth="1"/>
    <col min="6991" max="6991" width="20.140625" style="80" customWidth="1"/>
    <col min="6992" max="6992" width="13.28515625" style="80" customWidth="1"/>
    <col min="6993" max="6993" width="14.85546875" style="80" customWidth="1"/>
    <col min="6994" max="6994" width="13.85546875" style="80" customWidth="1"/>
    <col min="6995" max="6995" width="13.5703125" style="80" customWidth="1"/>
    <col min="6996" max="6996" width="13" style="80" customWidth="1"/>
    <col min="6997" max="6997" width="13.5703125" style="80" customWidth="1"/>
    <col min="6998" max="6998" width="7.7109375" style="80" bestFit="1" customWidth="1"/>
    <col min="6999" max="7168" width="9.140625" style="80"/>
    <col min="7169" max="7169" width="4.28515625" style="80" customWidth="1"/>
    <col min="7170" max="7170" width="10.140625" style="80" customWidth="1"/>
    <col min="7171" max="7171" width="8.85546875" style="80" customWidth="1"/>
    <col min="7172" max="7172" width="11.140625" style="80" customWidth="1"/>
    <col min="7173" max="7173" width="15" style="80" bestFit="1" customWidth="1"/>
    <col min="7174" max="7174" width="13.5703125" style="80" customWidth="1"/>
    <col min="7175" max="7175" width="11.42578125" style="80" bestFit="1" customWidth="1"/>
    <col min="7176" max="7176" width="11.28515625" style="80" customWidth="1"/>
    <col min="7177" max="7177" width="15.28515625" style="80" bestFit="1" customWidth="1"/>
    <col min="7178" max="7180" width="11.85546875" style="80" customWidth="1"/>
    <col min="7181" max="7181" width="19.140625" style="80" customWidth="1"/>
    <col min="7182" max="7182" width="15" style="80" customWidth="1"/>
    <col min="7183" max="7183" width="15.28515625" style="80" customWidth="1"/>
    <col min="7184" max="7186" width="18.85546875" style="80" customWidth="1"/>
    <col min="7187" max="7187" width="12.7109375" style="80" customWidth="1"/>
    <col min="7188" max="7188" width="13.7109375" style="80" customWidth="1"/>
    <col min="7189" max="7189" width="16.140625" style="80" customWidth="1"/>
    <col min="7190" max="7190" width="17" style="80" customWidth="1"/>
    <col min="7191" max="7191" width="15" style="80" customWidth="1"/>
    <col min="7192" max="7192" width="14.28515625" style="80" customWidth="1"/>
    <col min="7193" max="7193" width="14.85546875" style="80" customWidth="1"/>
    <col min="7194" max="7194" width="17.140625" style="80" customWidth="1"/>
    <col min="7195" max="7195" width="13.5703125" style="80" customWidth="1"/>
    <col min="7196" max="7197" width="14.85546875" style="80" customWidth="1"/>
    <col min="7198" max="7198" width="18.85546875" style="80" customWidth="1"/>
    <col min="7199" max="7199" width="19.42578125" style="80" customWidth="1"/>
    <col min="7200" max="7200" width="16.140625" style="80" customWidth="1"/>
    <col min="7201" max="7201" width="14.5703125" style="80" customWidth="1"/>
    <col min="7202" max="7202" width="20.28515625" style="80" customWidth="1"/>
    <col min="7203" max="7203" width="13.85546875" style="80" customWidth="1"/>
    <col min="7204" max="7204" width="19.140625" style="80" customWidth="1"/>
    <col min="7205" max="7205" width="19.7109375" style="80" customWidth="1"/>
    <col min="7206" max="7206" width="16.5703125" style="80" customWidth="1"/>
    <col min="7207" max="7207" width="19.140625" style="80" customWidth="1"/>
    <col min="7208" max="7210" width="16.5703125" style="80" customWidth="1"/>
    <col min="7211" max="7211" width="15.7109375" style="80" customWidth="1"/>
    <col min="7212" max="7212" width="19.42578125" style="80" customWidth="1"/>
    <col min="7213" max="7213" width="14.85546875" style="80" bestFit="1" customWidth="1"/>
    <col min="7214" max="7214" width="13.7109375" style="80" bestFit="1" customWidth="1"/>
    <col min="7215" max="7215" width="13" style="80" customWidth="1"/>
    <col min="7216" max="7216" width="18.42578125" style="80" customWidth="1"/>
    <col min="7217" max="7219" width="13.140625" style="80" customWidth="1"/>
    <col min="7220" max="7220" width="16.42578125" style="80" customWidth="1"/>
    <col min="7221" max="7221" width="13.140625" style="80" customWidth="1"/>
    <col min="7222" max="7222" width="15.28515625" style="80" customWidth="1"/>
    <col min="7223" max="7223" width="14" style="80" bestFit="1" customWidth="1"/>
    <col min="7224" max="7224" width="17.140625" style="80" customWidth="1"/>
    <col min="7225" max="7246" width="16.5703125" style="80" customWidth="1"/>
    <col min="7247" max="7247" width="20.140625" style="80" customWidth="1"/>
    <col min="7248" max="7248" width="13.28515625" style="80" customWidth="1"/>
    <col min="7249" max="7249" width="14.85546875" style="80" customWidth="1"/>
    <col min="7250" max="7250" width="13.85546875" style="80" customWidth="1"/>
    <col min="7251" max="7251" width="13.5703125" style="80" customWidth="1"/>
    <col min="7252" max="7252" width="13" style="80" customWidth="1"/>
    <col min="7253" max="7253" width="13.5703125" style="80" customWidth="1"/>
    <col min="7254" max="7254" width="7.7109375" style="80" bestFit="1" customWidth="1"/>
    <col min="7255" max="7424" width="9.140625" style="80"/>
    <col min="7425" max="7425" width="4.28515625" style="80" customWidth="1"/>
    <col min="7426" max="7426" width="10.140625" style="80" customWidth="1"/>
    <col min="7427" max="7427" width="8.85546875" style="80" customWidth="1"/>
    <col min="7428" max="7428" width="11.140625" style="80" customWidth="1"/>
    <col min="7429" max="7429" width="15" style="80" bestFit="1" customWidth="1"/>
    <col min="7430" max="7430" width="13.5703125" style="80" customWidth="1"/>
    <col min="7431" max="7431" width="11.42578125" style="80" bestFit="1" customWidth="1"/>
    <col min="7432" max="7432" width="11.28515625" style="80" customWidth="1"/>
    <col min="7433" max="7433" width="15.28515625" style="80" bestFit="1" customWidth="1"/>
    <col min="7434" max="7436" width="11.85546875" style="80" customWidth="1"/>
    <col min="7437" max="7437" width="19.140625" style="80" customWidth="1"/>
    <col min="7438" max="7438" width="15" style="80" customWidth="1"/>
    <col min="7439" max="7439" width="15.28515625" style="80" customWidth="1"/>
    <col min="7440" max="7442" width="18.85546875" style="80" customWidth="1"/>
    <col min="7443" max="7443" width="12.7109375" style="80" customWidth="1"/>
    <col min="7444" max="7444" width="13.7109375" style="80" customWidth="1"/>
    <col min="7445" max="7445" width="16.140625" style="80" customWidth="1"/>
    <col min="7446" max="7446" width="17" style="80" customWidth="1"/>
    <col min="7447" max="7447" width="15" style="80" customWidth="1"/>
    <col min="7448" max="7448" width="14.28515625" style="80" customWidth="1"/>
    <col min="7449" max="7449" width="14.85546875" style="80" customWidth="1"/>
    <col min="7450" max="7450" width="17.140625" style="80" customWidth="1"/>
    <col min="7451" max="7451" width="13.5703125" style="80" customWidth="1"/>
    <col min="7452" max="7453" width="14.85546875" style="80" customWidth="1"/>
    <col min="7454" max="7454" width="18.85546875" style="80" customWidth="1"/>
    <col min="7455" max="7455" width="19.42578125" style="80" customWidth="1"/>
    <col min="7456" max="7456" width="16.140625" style="80" customWidth="1"/>
    <col min="7457" max="7457" width="14.5703125" style="80" customWidth="1"/>
    <col min="7458" max="7458" width="20.28515625" style="80" customWidth="1"/>
    <col min="7459" max="7459" width="13.85546875" style="80" customWidth="1"/>
    <col min="7460" max="7460" width="19.140625" style="80" customWidth="1"/>
    <col min="7461" max="7461" width="19.7109375" style="80" customWidth="1"/>
    <col min="7462" max="7462" width="16.5703125" style="80" customWidth="1"/>
    <col min="7463" max="7463" width="19.140625" style="80" customWidth="1"/>
    <col min="7464" max="7466" width="16.5703125" style="80" customWidth="1"/>
    <col min="7467" max="7467" width="15.7109375" style="80" customWidth="1"/>
    <col min="7468" max="7468" width="19.42578125" style="80" customWidth="1"/>
    <col min="7469" max="7469" width="14.85546875" style="80" bestFit="1" customWidth="1"/>
    <col min="7470" max="7470" width="13.7109375" style="80" bestFit="1" customWidth="1"/>
    <col min="7471" max="7471" width="13" style="80" customWidth="1"/>
    <col min="7472" max="7472" width="18.42578125" style="80" customWidth="1"/>
    <col min="7473" max="7475" width="13.140625" style="80" customWidth="1"/>
    <col min="7476" max="7476" width="16.42578125" style="80" customWidth="1"/>
    <col min="7477" max="7477" width="13.140625" style="80" customWidth="1"/>
    <col min="7478" max="7478" width="15.28515625" style="80" customWidth="1"/>
    <col min="7479" max="7479" width="14" style="80" bestFit="1" customWidth="1"/>
    <col min="7480" max="7480" width="17.140625" style="80" customWidth="1"/>
    <col min="7481" max="7502" width="16.5703125" style="80" customWidth="1"/>
    <col min="7503" max="7503" width="20.140625" style="80" customWidth="1"/>
    <col min="7504" max="7504" width="13.28515625" style="80" customWidth="1"/>
    <col min="7505" max="7505" width="14.85546875" style="80" customWidth="1"/>
    <col min="7506" max="7506" width="13.85546875" style="80" customWidth="1"/>
    <col min="7507" max="7507" width="13.5703125" style="80" customWidth="1"/>
    <col min="7508" max="7508" width="13" style="80" customWidth="1"/>
    <col min="7509" max="7509" width="13.5703125" style="80" customWidth="1"/>
    <col min="7510" max="7510" width="7.7109375" style="80" bestFit="1" customWidth="1"/>
    <col min="7511" max="7680" width="9.140625" style="80"/>
    <col min="7681" max="7681" width="4.28515625" style="80" customWidth="1"/>
    <col min="7682" max="7682" width="10.140625" style="80" customWidth="1"/>
    <col min="7683" max="7683" width="8.85546875" style="80" customWidth="1"/>
    <col min="7684" max="7684" width="11.140625" style="80" customWidth="1"/>
    <col min="7685" max="7685" width="15" style="80" bestFit="1" customWidth="1"/>
    <col min="7686" max="7686" width="13.5703125" style="80" customWidth="1"/>
    <col min="7687" max="7687" width="11.42578125" style="80" bestFit="1" customWidth="1"/>
    <col min="7688" max="7688" width="11.28515625" style="80" customWidth="1"/>
    <col min="7689" max="7689" width="15.28515625" style="80" bestFit="1" customWidth="1"/>
    <col min="7690" max="7692" width="11.85546875" style="80" customWidth="1"/>
    <col min="7693" max="7693" width="19.140625" style="80" customWidth="1"/>
    <col min="7694" max="7694" width="15" style="80" customWidth="1"/>
    <col min="7695" max="7695" width="15.28515625" style="80" customWidth="1"/>
    <col min="7696" max="7698" width="18.85546875" style="80" customWidth="1"/>
    <col min="7699" max="7699" width="12.7109375" style="80" customWidth="1"/>
    <col min="7700" max="7700" width="13.7109375" style="80" customWidth="1"/>
    <col min="7701" max="7701" width="16.140625" style="80" customWidth="1"/>
    <col min="7702" max="7702" width="17" style="80" customWidth="1"/>
    <col min="7703" max="7703" width="15" style="80" customWidth="1"/>
    <col min="7704" max="7704" width="14.28515625" style="80" customWidth="1"/>
    <col min="7705" max="7705" width="14.85546875" style="80" customWidth="1"/>
    <col min="7706" max="7706" width="17.140625" style="80" customWidth="1"/>
    <col min="7707" max="7707" width="13.5703125" style="80" customWidth="1"/>
    <col min="7708" max="7709" width="14.85546875" style="80" customWidth="1"/>
    <col min="7710" max="7710" width="18.85546875" style="80" customWidth="1"/>
    <col min="7711" max="7711" width="19.42578125" style="80" customWidth="1"/>
    <col min="7712" max="7712" width="16.140625" style="80" customWidth="1"/>
    <col min="7713" max="7713" width="14.5703125" style="80" customWidth="1"/>
    <col min="7714" max="7714" width="20.28515625" style="80" customWidth="1"/>
    <col min="7715" max="7715" width="13.85546875" style="80" customWidth="1"/>
    <col min="7716" max="7716" width="19.140625" style="80" customWidth="1"/>
    <col min="7717" max="7717" width="19.7109375" style="80" customWidth="1"/>
    <col min="7718" max="7718" width="16.5703125" style="80" customWidth="1"/>
    <col min="7719" max="7719" width="19.140625" style="80" customWidth="1"/>
    <col min="7720" max="7722" width="16.5703125" style="80" customWidth="1"/>
    <col min="7723" max="7723" width="15.7109375" style="80" customWidth="1"/>
    <col min="7724" max="7724" width="19.42578125" style="80" customWidth="1"/>
    <col min="7725" max="7725" width="14.85546875" style="80" bestFit="1" customWidth="1"/>
    <col min="7726" max="7726" width="13.7109375" style="80" bestFit="1" customWidth="1"/>
    <col min="7727" max="7727" width="13" style="80" customWidth="1"/>
    <col min="7728" max="7728" width="18.42578125" style="80" customWidth="1"/>
    <col min="7729" max="7731" width="13.140625" style="80" customWidth="1"/>
    <col min="7732" max="7732" width="16.42578125" style="80" customWidth="1"/>
    <col min="7733" max="7733" width="13.140625" style="80" customWidth="1"/>
    <col min="7734" max="7734" width="15.28515625" style="80" customWidth="1"/>
    <col min="7735" max="7735" width="14" style="80" bestFit="1" customWidth="1"/>
    <col min="7736" max="7736" width="17.140625" style="80" customWidth="1"/>
    <col min="7737" max="7758" width="16.5703125" style="80" customWidth="1"/>
    <col min="7759" max="7759" width="20.140625" style="80" customWidth="1"/>
    <col min="7760" max="7760" width="13.28515625" style="80" customWidth="1"/>
    <col min="7761" max="7761" width="14.85546875" style="80" customWidth="1"/>
    <col min="7762" max="7762" width="13.85546875" style="80" customWidth="1"/>
    <col min="7763" max="7763" width="13.5703125" style="80" customWidth="1"/>
    <col min="7764" max="7764" width="13" style="80" customWidth="1"/>
    <col min="7765" max="7765" width="13.5703125" style="80" customWidth="1"/>
    <col min="7766" max="7766" width="7.7109375" style="80" bestFit="1" customWidth="1"/>
    <col min="7767" max="7936" width="9.140625" style="80"/>
    <col min="7937" max="7937" width="4.28515625" style="80" customWidth="1"/>
    <col min="7938" max="7938" width="10.140625" style="80" customWidth="1"/>
    <col min="7939" max="7939" width="8.85546875" style="80" customWidth="1"/>
    <col min="7940" max="7940" width="11.140625" style="80" customWidth="1"/>
    <col min="7941" max="7941" width="15" style="80" bestFit="1" customWidth="1"/>
    <col min="7942" max="7942" width="13.5703125" style="80" customWidth="1"/>
    <col min="7943" max="7943" width="11.42578125" style="80" bestFit="1" customWidth="1"/>
    <col min="7944" max="7944" width="11.28515625" style="80" customWidth="1"/>
    <col min="7945" max="7945" width="15.28515625" style="80" bestFit="1" customWidth="1"/>
    <col min="7946" max="7948" width="11.85546875" style="80" customWidth="1"/>
    <col min="7949" max="7949" width="19.140625" style="80" customWidth="1"/>
    <col min="7950" max="7950" width="15" style="80" customWidth="1"/>
    <col min="7951" max="7951" width="15.28515625" style="80" customWidth="1"/>
    <col min="7952" max="7954" width="18.85546875" style="80" customWidth="1"/>
    <col min="7955" max="7955" width="12.7109375" style="80" customWidth="1"/>
    <col min="7956" max="7956" width="13.7109375" style="80" customWidth="1"/>
    <col min="7957" max="7957" width="16.140625" style="80" customWidth="1"/>
    <col min="7958" max="7958" width="17" style="80" customWidth="1"/>
    <col min="7959" max="7959" width="15" style="80" customWidth="1"/>
    <col min="7960" max="7960" width="14.28515625" style="80" customWidth="1"/>
    <col min="7961" max="7961" width="14.85546875" style="80" customWidth="1"/>
    <col min="7962" max="7962" width="17.140625" style="80" customWidth="1"/>
    <col min="7963" max="7963" width="13.5703125" style="80" customWidth="1"/>
    <col min="7964" max="7965" width="14.85546875" style="80" customWidth="1"/>
    <col min="7966" max="7966" width="18.85546875" style="80" customWidth="1"/>
    <col min="7967" max="7967" width="19.42578125" style="80" customWidth="1"/>
    <col min="7968" max="7968" width="16.140625" style="80" customWidth="1"/>
    <col min="7969" max="7969" width="14.5703125" style="80" customWidth="1"/>
    <col min="7970" max="7970" width="20.28515625" style="80" customWidth="1"/>
    <col min="7971" max="7971" width="13.85546875" style="80" customWidth="1"/>
    <col min="7972" max="7972" width="19.140625" style="80" customWidth="1"/>
    <col min="7973" max="7973" width="19.7109375" style="80" customWidth="1"/>
    <col min="7974" max="7974" width="16.5703125" style="80" customWidth="1"/>
    <col min="7975" max="7975" width="19.140625" style="80" customWidth="1"/>
    <col min="7976" max="7978" width="16.5703125" style="80" customWidth="1"/>
    <col min="7979" max="7979" width="15.7109375" style="80" customWidth="1"/>
    <col min="7980" max="7980" width="19.42578125" style="80" customWidth="1"/>
    <col min="7981" max="7981" width="14.85546875" style="80" bestFit="1" customWidth="1"/>
    <col min="7982" max="7982" width="13.7109375" style="80" bestFit="1" customWidth="1"/>
    <col min="7983" max="7983" width="13" style="80" customWidth="1"/>
    <col min="7984" max="7984" width="18.42578125" style="80" customWidth="1"/>
    <col min="7985" max="7987" width="13.140625" style="80" customWidth="1"/>
    <col min="7988" max="7988" width="16.42578125" style="80" customWidth="1"/>
    <col min="7989" max="7989" width="13.140625" style="80" customWidth="1"/>
    <col min="7990" max="7990" width="15.28515625" style="80" customWidth="1"/>
    <col min="7991" max="7991" width="14" style="80" bestFit="1" customWidth="1"/>
    <col min="7992" max="7992" width="17.140625" style="80" customWidth="1"/>
    <col min="7993" max="8014" width="16.5703125" style="80" customWidth="1"/>
    <col min="8015" max="8015" width="20.140625" style="80" customWidth="1"/>
    <col min="8016" max="8016" width="13.28515625" style="80" customWidth="1"/>
    <col min="8017" max="8017" width="14.85546875" style="80" customWidth="1"/>
    <col min="8018" max="8018" width="13.85546875" style="80" customWidth="1"/>
    <col min="8019" max="8019" width="13.5703125" style="80" customWidth="1"/>
    <col min="8020" max="8020" width="13" style="80" customWidth="1"/>
    <col min="8021" max="8021" width="13.5703125" style="80" customWidth="1"/>
    <col min="8022" max="8022" width="7.7109375" style="80" bestFit="1" customWidth="1"/>
    <col min="8023" max="8192" width="9.140625" style="80"/>
    <col min="8193" max="8193" width="4.28515625" style="80" customWidth="1"/>
    <col min="8194" max="8194" width="10.140625" style="80" customWidth="1"/>
    <col min="8195" max="8195" width="8.85546875" style="80" customWidth="1"/>
    <col min="8196" max="8196" width="11.140625" style="80" customWidth="1"/>
    <col min="8197" max="8197" width="15" style="80" bestFit="1" customWidth="1"/>
    <col min="8198" max="8198" width="13.5703125" style="80" customWidth="1"/>
    <col min="8199" max="8199" width="11.42578125" style="80" bestFit="1" customWidth="1"/>
    <col min="8200" max="8200" width="11.28515625" style="80" customWidth="1"/>
    <col min="8201" max="8201" width="15.28515625" style="80" bestFit="1" customWidth="1"/>
    <col min="8202" max="8204" width="11.85546875" style="80" customWidth="1"/>
    <col min="8205" max="8205" width="19.140625" style="80" customWidth="1"/>
    <col min="8206" max="8206" width="15" style="80" customWidth="1"/>
    <col min="8207" max="8207" width="15.28515625" style="80" customWidth="1"/>
    <col min="8208" max="8210" width="18.85546875" style="80" customWidth="1"/>
    <col min="8211" max="8211" width="12.7109375" style="80" customWidth="1"/>
    <col min="8212" max="8212" width="13.7109375" style="80" customWidth="1"/>
    <col min="8213" max="8213" width="16.140625" style="80" customWidth="1"/>
    <col min="8214" max="8214" width="17" style="80" customWidth="1"/>
    <col min="8215" max="8215" width="15" style="80" customWidth="1"/>
    <col min="8216" max="8216" width="14.28515625" style="80" customWidth="1"/>
    <col min="8217" max="8217" width="14.85546875" style="80" customWidth="1"/>
    <col min="8218" max="8218" width="17.140625" style="80" customWidth="1"/>
    <col min="8219" max="8219" width="13.5703125" style="80" customWidth="1"/>
    <col min="8220" max="8221" width="14.85546875" style="80" customWidth="1"/>
    <col min="8222" max="8222" width="18.85546875" style="80" customWidth="1"/>
    <col min="8223" max="8223" width="19.42578125" style="80" customWidth="1"/>
    <col min="8224" max="8224" width="16.140625" style="80" customWidth="1"/>
    <col min="8225" max="8225" width="14.5703125" style="80" customWidth="1"/>
    <col min="8226" max="8226" width="20.28515625" style="80" customWidth="1"/>
    <col min="8227" max="8227" width="13.85546875" style="80" customWidth="1"/>
    <col min="8228" max="8228" width="19.140625" style="80" customWidth="1"/>
    <col min="8229" max="8229" width="19.7109375" style="80" customWidth="1"/>
    <col min="8230" max="8230" width="16.5703125" style="80" customWidth="1"/>
    <col min="8231" max="8231" width="19.140625" style="80" customWidth="1"/>
    <col min="8232" max="8234" width="16.5703125" style="80" customWidth="1"/>
    <col min="8235" max="8235" width="15.7109375" style="80" customWidth="1"/>
    <col min="8236" max="8236" width="19.42578125" style="80" customWidth="1"/>
    <col min="8237" max="8237" width="14.85546875" style="80" bestFit="1" customWidth="1"/>
    <col min="8238" max="8238" width="13.7109375" style="80" bestFit="1" customWidth="1"/>
    <col min="8239" max="8239" width="13" style="80" customWidth="1"/>
    <col min="8240" max="8240" width="18.42578125" style="80" customWidth="1"/>
    <col min="8241" max="8243" width="13.140625" style="80" customWidth="1"/>
    <col min="8244" max="8244" width="16.42578125" style="80" customWidth="1"/>
    <col min="8245" max="8245" width="13.140625" style="80" customWidth="1"/>
    <col min="8246" max="8246" width="15.28515625" style="80" customWidth="1"/>
    <col min="8247" max="8247" width="14" style="80" bestFit="1" customWidth="1"/>
    <col min="8248" max="8248" width="17.140625" style="80" customWidth="1"/>
    <col min="8249" max="8270" width="16.5703125" style="80" customWidth="1"/>
    <col min="8271" max="8271" width="20.140625" style="80" customWidth="1"/>
    <col min="8272" max="8272" width="13.28515625" style="80" customWidth="1"/>
    <col min="8273" max="8273" width="14.85546875" style="80" customWidth="1"/>
    <col min="8274" max="8274" width="13.85546875" style="80" customWidth="1"/>
    <col min="8275" max="8275" width="13.5703125" style="80" customWidth="1"/>
    <col min="8276" max="8276" width="13" style="80" customWidth="1"/>
    <col min="8277" max="8277" width="13.5703125" style="80" customWidth="1"/>
    <col min="8278" max="8278" width="7.7109375" style="80" bestFit="1" customWidth="1"/>
    <col min="8279" max="8448" width="9.140625" style="80"/>
    <col min="8449" max="8449" width="4.28515625" style="80" customWidth="1"/>
    <col min="8450" max="8450" width="10.140625" style="80" customWidth="1"/>
    <col min="8451" max="8451" width="8.85546875" style="80" customWidth="1"/>
    <col min="8452" max="8452" width="11.140625" style="80" customWidth="1"/>
    <col min="8453" max="8453" width="15" style="80" bestFit="1" customWidth="1"/>
    <col min="8454" max="8454" width="13.5703125" style="80" customWidth="1"/>
    <col min="8455" max="8455" width="11.42578125" style="80" bestFit="1" customWidth="1"/>
    <col min="8456" max="8456" width="11.28515625" style="80" customWidth="1"/>
    <col min="8457" max="8457" width="15.28515625" style="80" bestFit="1" customWidth="1"/>
    <col min="8458" max="8460" width="11.85546875" style="80" customWidth="1"/>
    <col min="8461" max="8461" width="19.140625" style="80" customWidth="1"/>
    <col min="8462" max="8462" width="15" style="80" customWidth="1"/>
    <col min="8463" max="8463" width="15.28515625" style="80" customWidth="1"/>
    <col min="8464" max="8466" width="18.85546875" style="80" customWidth="1"/>
    <col min="8467" max="8467" width="12.7109375" style="80" customWidth="1"/>
    <col min="8468" max="8468" width="13.7109375" style="80" customWidth="1"/>
    <col min="8469" max="8469" width="16.140625" style="80" customWidth="1"/>
    <col min="8470" max="8470" width="17" style="80" customWidth="1"/>
    <col min="8471" max="8471" width="15" style="80" customWidth="1"/>
    <col min="8472" max="8472" width="14.28515625" style="80" customWidth="1"/>
    <col min="8473" max="8473" width="14.85546875" style="80" customWidth="1"/>
    <col min="8474" max="8474" width="17.140625" style="80" customWidth="1"/>
    <col min="8475" max="8475" width="13.5703125" style="80" customWidth="1"/>
    <col min="8476" max="8477" width="14.85546875" style="80" customWidth="1"/>
    <col min="8478" max="8478" width="18.85546875" style="80" customWidth="1"/>
    <col min="8479" max="8479" width="19.42578125" style="80" customWidth="1"/>
    <col min="8480" max="8480" width="16.140625" style="80" customWidth="1"/>
    <col min="8481" max="8481" width="14.5703125" style="80" customWidth="1"/>
    <col min="8482" max="8482" width="20.28515625" style="80" customWidth="1"/>
    <col min="8483" max="8483" width="13.85546875" style="80" customWidth="1"/>
    <col min="8484" max="8484" width="19.140625" style="80" customWidth="1"/>
    <col min="8485" max="8485" width="19.7109375" style="80" customWidth="1"/>
    <col min="8486" max="8486" width="16.5703125" style="80" customWidth="1"/>
    <col min="8487" max="8487" width="19.140625" style="80" customWidth="1"/>
    <col min="8488" max="8490" width="16.5703125" style="80" customWidth="1"/>
    <col min="8491" max="8491" width="15.7109375" style="80" customWidth="1"/>
    <col min="8492" max="8492" width="19.42578125" style="80" customWidth="1"/>
    <col min="8493" max="8493" width="14.85546875" style="80" bestFit="1" customWidth="1"/>
    <col min="8494" max="8494" width="13.7109375" style="80" bestFit="1" customWidth="1"/>
    <col min="8495" max="8495" width="13" style="80" customWidth="1"/>
    <col min="8496" max="8496" width="18.42578125" style="80" customWidth="1"/>
    <col min="8497" max="8499" width="13.140625" style="80" customWidth="1"/>
    <col min="8500" max="8500" width="16.42578125" style="80" customWidth="1"/>
    <col min="8501" max="8501" width="13.140625" style="80" customWidth="1"/>
    <col min="8502" max="8502" width="15.28515625" style="80" customWidth="1"/>
    <col min="8503" max="8503" width="14" style="80" bestFit="1" customWidth="1"/>
    <col min="8504" max="8504" width="17.140625" style="80" customWidth="1"/>
    <col min="8505" max="8526" width="16.5703125" style="80" customWidth="1"/>
    <col min="8527" max="8527" width="20.140625" style="80" customWidth="1"/>
    <col min="8528" max="8528" width="13.28515625" style="80" customWidth="1"/>
    <col min="8529" max="8529" width="14.85546875" style="80" customWidth="1"/>
    <col min="8530" max="8530" width="13.85546875" style="80" customWidth="1"/>
    <col min="8531" max="8531" width="13.5703125" style="80" customWidth="1"/>
    <col min="8532" max="8532" width="13" style="80" customWidth="1"/>
    <col min="8533" max="8533" width="13.5703125" style="80" customWidth="1"/>
    <col min="8534" max="8534" width="7.7109375" style="80" bestFit="1" customWidth="1"/>
    <col min="8535" max="8704" width="9.140625" style="80"/>
    <col min="8705" max="8705" width="4.28515625" style="80" customWidth="1"/>
    <col min="8706" max="8706" width="10.140625" style="80" customWidth="1"/>
    <col min="8707" max="8707" width="8.85546875" style="80" customWidth="1"/>
    <col min="8708" max="8708" width="11.140625" style="80" customWidth="1"/>
    <col min="8709" max="8709" width="15" style="80" bestFit="1" customWidth="1"/>
    <col min="8710" max="8710" width="13.5703125" style="80" customWidth="1"/>
    <col min="8711" max="8711" width="11.42578125" style="80" bestFit="1" customWidth="1"/>
    <col min="8712" max="8712" width="11.28515625" style="80" customWidth="1"/>
    <col min="8713" max="8713" width="15.28515625" style="80" bestFit="1" customWidth="1"/>
    <col min="8714" max="8716" width="11.85546875" style="80" customWidth="1"/>
    <col min="8717" max="8717" width="19.140625" style="80" customWidth="1"/>
    <col min="8718" max="8718" width="15" style="80" customWidth="1"/>
    <col min="8719" max="8719" width="15.28515625" style="80" customWidth="1"/>
    <col min="8720" max="8722" width="18.85546875" style="80" customWidth="1"/>
    <col min="8723" max="8723" width="12.7109375" style="80" customWidth="1"/>
    <col min="8724" max="8724" width="13.7109375" style="80" customWidth="1"/>
    <col min="8725" max="8725" width="16.140625" style="80" customWidth="1"/>
    <col min="8726" max="8726" width="17" style="80" customWidth="1"/>
    <col min="8727" max="8727" width="15" style="80" customWidth="1"/>
    <col min="8728" max="8728" width="14.28515625" style="80" customWidth="1"/>
    <col min="8729" max="8729" width="14.85546875" style="80" customWidth="1"/>
    <col min="8730" max="8730" width="17.140625" style="80" customWidth="1"/>
    <col min="8731" max="8731" width="13.5703125" style="80" customWidth="1"/>
    <col min="8732" max="8733" width="14.85546875" style="80" customWidth="1"/>
    <col min="8734" max="8734" width="18.85546875" style="80" customWidth="1"/>
    <col min="8735" max="8735" width="19.42578125" style="80" customWidth="1"/>
    <col min="8736" max="8736" width="16.140625" style="80" customWidth="1"/>
    <col min="8737" max="8737" width="14.5703125" style="80" customWidth="1"/>
    <col min="8738" max="8738" width="20.28515625" style="80" customWidth="1"/>
    <col min="8739" max="8739" width="13.85546875" style="80" customWidth="1"/>
    <col min="8740" max="8740" width="19.140625" style="80" customWidth="1"/>
    <col min="8741" max="8741" width="19.7109375" style="80" customWidth="1"/>
    <col min="8742" max="8742" width="16.5703125" style="80" customWidth="1"/>
    <col min="8743" max="8743" width="19.140625" style="80" customWidth="1"/>
    <col min="8744" max="8746" width="16.5703125" style="80" customWidth="1"/>
    <col min="8747" max="8747" width="15.7109375" style="80" customWidth="1"/>
    <col min="8748" max="8748" width="19.42578125" style="80" customWidth="1"/>
    <col min="8749" max="8749" width="14.85546875" style="80" bestFit="1" customWidth="1"/>
    <col min="8750" max="8750" width="13.7109375" style="80" bestFit="1" customWidth="1"/>
    <col min="8751" max="8751" width="13" style="80" customWidth="1"/>
    <col min="8752" max="8752" width="18.42578125" style="80" customWidth="1"/>
    <col min="8753" max="8755" width="13.140625" style="80" customWidth="1"/>
    <col min="8756" max="8756" width="16.42578125" style="80" customWidth="1"/>
    <col min="8757" max="8757" width="13.140625" style="80" customWidth="1"/>
    <col min="8758" max="8758" width="15.28515625" style="80" customWidth="1"/>
    <col min="8759" max="8759" width="14" style="80" bestFit="1" customWidth="1"/>
    <col min="8760" max="8760" width="17.140625" style="80" customWidth="1"/>
    <col min="8761" max="8782" width="16.5703125" style="80" customWidth="1"/>
    <col min="8783" max="8783" width="20.140625" style="80" customWidth="1"/>
    <col min="8784" max="8784" width="13.28515625" style="80" customWidth="1"/>
    <col min="8785" max="8785" width="14.85546875" style="80" customWidth="1"/>
    <col min="8786" max="8786" width="13.85546875" style="80" customWidth="1"/>
    <col min="8787" max="8787" width="13.5703125" style="80" customWidth="1"/>
    <col min="8788" max="8788" width="13" style="80" customWidth="1"/>
    <col min="8789" max="8789" width="13.5703125" style="80" customWidth="1"/>
    <col min="8790" max="8790" width="7.7109375" style="80" bestFit="1" customWidth="1"/>
    <col min="8791" max="8960" width="9.140625" style="80"/>
    <col min="8961" max="8961" width="4.28515625" style="80" customWidth="1"/>
    <col min="8962" max="8962" width="10.140625" style="80" customWidth="1"/>
    <col min="8963" max="8963" width="8.85546875" style="80" customWidth="1"/>
    <col min="8964" max="8964" width="11.140625" style="80" customWidth="1"/>
    <col min="8965" max="8965" width="15" style="80" bestFit="1" customWidth="1"/>
    <col min="8966" max="8966" width="13.5703125" style="80" customWidth="1"/>
    <col min="8967" max="8967" width="11.42578125" style="80" bestFit="1" customWidth="1"/>
    <col min="8968" max="8968" width="11.28515625" style="80" customWidth="1"/>
    <col min="8969" max="8969" width="15.28515625" style="80" bestFit="1" customWidth="1"/>
    <col min="8970" max="8972" width="11.85546875" style="80" customWidth="1"/>
    <col min="8973" max="8973" width="19.140625" style="80" customWidth="1"/>
    <col min="8974" max="8974" width="15" style="80" customWidth="1"/>
    <col min="8975" max="8975" width="15.28515625" style="80" customWidth="1"/>
    <col min="8976" max="8978" width="18.85546875" style="80" customWidth="1"/>
    <col min="8979" max="8979" width="12.7109375" style="80" customWidth="1"/>
    <col min="8980" max="8980" width="13.7109375" style="80" customWidth="1"/>
    <col min="8981" max="8981" width="16.140625" style="80" customWidth="1"/>
    <col min="8982" max="8982" width="17" style="80" customWidth="1"/>
    <col min="8983" max="8983" width="15" style="80" customWidth="1"/>
    <col min="8984" max="8984" width="14.28515625" style="80" customWidth="1"/>
    <col min="8985" max="8985" width="14.85546875" style="80" customWidth="1"/>
    <col min="8986" max="8986" width="17.140625" style="80" customWidth="1"/>
    <col min="8987" max="8987" width="13.5703125" style="80" customWidth="1"/>
    <col min="8988" max="8989" width="14.85546875" style="80" customWidth="1"/>
    <col min="8990" max="8990" width="18.85546875" style="80" customWidth="1"/>
    <col min="8991" max="8991" width="19.42578125" style="80" customWidth="1"/>
    <col min="8992" max="8992" width="16.140625" style="80" customWidth="1"/>
    <col min="8993" max="8993" width="14.5703125" style="80" customWidth="1"/>
    <col min="8994" max="8994" width="20.28515625" style="80" customWidth="1"/>
    <col min="8995" max="8995" width="13.85546875" style="80" customWidth="1"/>
    <col min="8996" max="8996" width="19.140625" style="80" customWidth="1"/>
    <col min="8997" max="8997" width="19.7109375" style="80" customWidth="1"/>
    <col min="8998" max="8998" width="16.5703125" style="80" customWidth="1"/>
    <col min="8999" max="8999" width="19.140625" style="80" customWidth="1"/>
    <col min="9000" max="9002" width="16.5703125" style="80" customWidth="1"/>
    <col min="9003" max="9003" width="15.7109375" style="80" customWidth="1"/>
    <col min="9004" max="9004" width="19.42578125" style="80" customWidth="1"/>
    <col min="9005" max="9005" width="14.85546875" style="80" bestFit="1" customWidth="1"/>
    <col min="9006" max="9006" width="13.7109375" style="80" bestFit="1" customWidth="1"/>
    <col min="9007" max="9007" width="13" style="80" customWidth="1"/>
    <col min="9008" max="9008" width="18.42578125" style="80" customWidth="1"/>
    <col min="9009" max="9011" width="13.140625" style="80" customWidth="1"/>
    <col min="9012" max="9012" width="16.42578125" style="80" customWidth="1"/>
    <col min="9013" max="9013" width="13.140625" style="80" customWidth="1"/>
    <col min="9014" max="9014" width="15.28515625" style="80" customWidth="1"/>
    <col min="9015" max="9015" width="14" style="80" bestFit="1" customWidth="1"/>
    <col min="9016" max="9016" width="17.140625" style="80" customWidth="1"/>
    <col min="9017" max="9038" width="16.5703125" style="80" customWidth="1"/>
    <col min="9039" max="9039" width="20.140625" style="80" customWidth="1"/>
    <col min="9040" max="9040" width="13.28515625" style="80" customWidth="1"/>
    <col min="9041" max="9041" width="14.85546875" style="80" customWidth="1"/>
    <col min="9042" max="9042" width="13.85546875" style="80" customWidth="1"/>
    <col min="9043" max="9043" width="13.5703125" style="80" customWidth="1"/>
    <col min="9044" max="9044" width="13" style="80" customWidth="1"/>
    <col min="9045" max="9045" width="13.5703125" style="80" customWidth="1"/>
    <col min="9046" max="9046" width="7.7109375" style="80" bestFit="1" customWidth="1"/>
    <col min="9047" max="9216" width="9.140625" style="80"/>
    <col min="9217" max="9217" width="4.28515625" style="80" customWidth="1"/>
    <col min="9218" max="9218" width="10.140625" style="80" customWidth="1"/>
    <col min="9219" max="9219" width="8.85546875" style="80" customWidth="1"/>
    <col min="9220" max="9220" width="11.140625" style="80" customWidth="1"/>
    <col min="9221" max="9221" width="15" style="80" bestFit="1" customWidth="1"/>
    <col min="9222" max="9222" width="13.5703125" style="80" customWidth="1"/>
    <col min="9223" max="9223" width="11.42578125" style="80" bestFit="1" customWidth="1"/>
    <col min="9224" max="9224" width="11.28515625" style="80" customWidth="1"/>
    <col min="9225" max="9225" width="15.28515625" style="80" bestFit="1" customWidth="1"/>
    <col min="9226" max="9228" width="11.85546875" style="80" customWidth="1"/>
    <col min="9229" max="9229" width="19.140625" style="80" customWidth="1"/>
    <col min="9230" max="9230" width="15" style="80" customWidth="1"/>
    <col min="9231" max="9231" width="15.28515625" style="80" customWidth="1"/>
    <col min="9232" max="9234" width="18.85546875" style="80" customWidth="1"/>
    <col min="9235" max="9235" width="12.7109375" style="80" customWidth="1"/>
    <col min="9236" max="9236" width="13.7109375" style="80" customWidth="1"/>
    <col min="9237" max="9237" width="16.140625" style="80" customWidth="1"/>
    <col min="9238" max="9238" width="17" style="80" customWidth="1"/>
    <col min="9239" max="9239" width="15" style="80" customWidth="1"/>
    <col min="9240" max="9240" width="14.28515625" style="80" customWidth="1"/>
    <col min="9241" max="9241" width="14.85546875" style="80" customWidth="1"/>
    <col min="9242" max="9242" width="17.140625" style="80" customWidth="1"/>
    <col min="9243" max="9243" width="13.5703125" style="80" customWidth="1"/>
    <col min="9244" max="9245" width="14.85546875" style="80" customWidth="1"/>
    <col min="9246" max="9246" width="18.85546875" style="80" customWidth="1"/>
    <col min="9247" max="9247" width="19.42578125" style="80" customWidth="1"/>
    <col min="9248" max="9248" width="16.140625" style="80" customWidth="1"/>
    <col min="9249" max="9249" width="14.5703125" style="80" customWidth="1"/>
    <col min="9250" max="9250" width="20.28515625" style="80" customWidth="1"/>
    <col min="9251" max="9251" width="13.85546875" style="80" customWidth="1"/>
    <col min="9252" max="9252" width="19.140625" style="80" customWidth="1"/>
    <col min="9253" max="9253" width="19.7109375" style="80" customWidth="1"/>
    <col min="9254" max="9254" width="16.5703125" style="80" customWidth="1"/>
    <col min="9255" max="9255" width="19.140625" style="80" customWidth="1"/>
    <col min="9256" max="9258" width="16.5703125" style="80" customWidth="1"/>
    <col min="9259" max="9259" width="15.7109375" style="80" customWidth="1"/>
    <col min="9260" max="9260" width="19.42578125" style="80" customWidth="1"/>
    <col min="9261" max="9261" width="14.85546875" style="80" bestFit="1" customWidth="1"/>
    <col min="9262" max="9262" width="13.7109375" style="80" bestFit="1" customWidth="1"/>
    <col min="9263" max="9263" width="13" style="80" customWidth="1"/>
    <col min="9264" max="9264" width="18.42578125" style="80" customWidth="1"/>
    <col min="9265" max="9267" width="13.140625" style="80" customWidth="1"/>
    <col min="9268" max="9268" width="16.42578125" style="80" customWidth="1"/>
    <col min="9269" max="9269" width="13.140625" style="80" customWidth="1"/>
    <col min="9270" max="9270" width="15.28515625" style="80" customWidth="1"/>
    <col min="9271" max="9271" width="14" style="80" bestFit="1" customWidth="1"/>
    <col min="9272" max="9272" width="17.140625" style="80" customWidth="1"/>
    <col min="9273" max="9294" width="16.5703125" style="80" customWidth="1"/>
    <col min="9295" max="9295" width="20.140625" style="80" customWidth="1"/>
    <col min="9296" max="9296" width="13.28515625" style="80" customWidth="1"/>
    <col min="9297" max="9297" width="14.85546875" style="80" customWidth="1"/>
    <col min="9298" max="9298" width="13.85546875" style="80" customWidth="1"/>
    <col min="9299" max="9299" width="13.5703125" style="80" customWidth="1"/>
    <col min="9300" max="9300" width="13" style="80" customWidth="1"/>
    <col min="9301" max="9301" width="13.5703125" style="80" customWidth="1"/>
    <col min="9302" max="9302" width="7.7109375" style="80" bestFit="1" customWidth="1"/>
    <col min="9303" max="9472" width="9.140625" style="80"/>
    <col min="9473" max="9473" width="4.28515625" style="80" customWidth="1"/>
    <col min="9474" max="9474" width="10.140625" style="80" customWidth="1"/>
    <col min="9475" max="9475" width="8.85546875" style="80" customWidth="1"/>
    <col min="9476" max="9476" width="11.140625" style="80" customWidth="1"/>
    <col min="9477" max="9477" width="15" style="80" bestFit="1" customWidth="1"/>
    <col min="9478" max="9478" width="13.5703125" style="80" customWidth="1"/>
    <col min="9479" max="9479" width="11.42578125" style="80" bestFit="1" customWidth="1"/>
    <col min="9480" max="9480" width="11.28515625" style="80" customWidth="1"/>
    <col min="9481" max="9481" width="15.28515625" style="80" bestFit="1" customWidth="1"/>
    <col min="9482" max="9484" width="11.85546875" style="80" customWidth="1"/>
    <col min="9485" max="9485" width="19.140625" style="80" customWidth="1"/>
    <col min="9486" max="9486" width="15" style="80" customWidth="1"/>
    <col min="9487" max="9487" width="15.28515625" style="80" customWidth="1"/>
    <col min="9488" max="9490" width="18.85546875" style="80" customWidth="1"/>
    <col min="9491" max="9491" width="12.7109375" style="80" customWidth="1"/>
    <col min="9492" max="9492" width="13.7109375" style="80" customWidth="1"/>
    <col min="9493" max="9493" width="16.140625" style="80" customWidth="1"/>
    <col min="9494" max="9494" width="17" style="80" customWidth="1"/>
    <col min="9495" max="9495" width="15" style="80" customWidth="1"/>
    <col min="9496" max="9496" width="14.28515625" style="80" customWidth="1"/>
    <col min="9497" max="9497" width="14.85546875" style="80" customWidth="1"/>
    <col min="9498" max="9498" width="17.140625" style="80" customWidth="1"/>
    <col min="9499" max="9499" width="13.5703125" style="80" customWidth="1"/>
    <col min="9500" max="9501" width="14.85546875" style="80" customWidth="1"/>
    <col min="9502" max="9502" width="18.85546875" style="80" customWidth="1"/>
    <col min="9503" max="9503" width="19.42578125" style="80" customWidth="1"/>
    <col min="9504" max="9504" width="16.140625" style="80" customWidth="1"/>
    <col min="9505" max="9505" width="14.5703125" style="80" customWidth="1"/>
    <col min="9506" max="9506" width="20.28515625" style="80" customWidth="1"/>
    <col min="9507" max="9507" width="13.85546875" style="80" customWidth="1"/>
    <col min="9508" max="9508" width="19.140625" style="80" customWidth="1"/>
    <col min="9509" max="9509" width="19.7109375" style="80" customWidth="1"/>
    <col min="9510" max="9510" width="16.5703125" style="80" customWidth="1"/>
    <col min="9511" max="9511" width="19.140625" style="80" customWidth="1"/>
    <col min="9512" max="9514" width="16.5703125" style="80" customWidth="1"/>
    <col min="9515" max="9515" width="15.7109375" style="80" customWidth="1"/>
    <col min="9516" max="9516" width="19.42578125" style="80" customWidth="1"/>
    <col min="9517" max="9517" width="14.85546875" style="80" bestFit="1" customWidth="1"/>
    <col min="9518" max="9518" width="13.7109375" style="80" bestFit="1" customWidth="1"/>
    <col min="9519" max="9519" width="13" style="80" customWidth="1"/>
    <col min="9520" max="9520" width="18.42578125" style="80" customWidth="1"/>
    <col min="9521" max="9523" width="13.140625" style="80" customWidth="1"/>
    <col min="9524" max="9524" width="16.42578125" style="80" customWidth="1"/>
    <col min="9525" max="9525" width="13.140625" style="80" customWidth="1"/>
    <col min="9526" max="9526" width="15.28515625" style="80" customWidth="1"/>
    <col min="9527" max="9527" width="14" style="80" bestFit="1" customWidth="1"/>
    <col min="9528" max="9528" width="17.140625" style="80" customWidth="1"/>
    <col min="9529" max="9550" width="16.5703125" style="80" customWidth="1"/>
    <col min="9551" max="9551" width="20.140625" style="80" customWidth="1"/>
    <col min="9552" max="9552" width="13.28515625" style="80" customWidth="1"/>
    <col min="9553" max="9553" width="14.85546875" style="80" customWidth="1"/>
    <col min="9554" max="9554" width="13.85546875" style="80" customWidth="1"/>
    <col min="9555" max="9555" width="13.5703125" style="80" customWidth="1"/>
    <col min="9556" max="9556" width="13" style="80" customWidth="1"/>
    <col min="9557" max="9557" width="13.5703125" style="80" customWidth="1"/>
    <col min="9558" max="9558" width="7.7109375" style="80" bestFit="1" customWidth="1"/>
    <col min="9559" max="9728" width="9.140625" style="80"/>
    <col min="9729" max="9729" width="4.28515625" style="80" customWidth="1"/>
    <col min="9730" max="9730" width="10.140625" style="80" customWidth="1"/>
    <col min="9731" max="9731" width="8.85546875" style="80" customWidth="1"/>
    <col min="9732" max="9732" width="11.140625" style="80" customWidth="1"/>
    <col min="9733" max="9733" width="15" style="80" bestFit="1" customWidth="1"/>
    <col min="9734" max="9734" width="13.5703125" style="80" customWidth="1"/>
    <col min="9735" max="9735" width="11.42578125" style="80" bestFit="1" customWidth="1"/>
    <col min="9736" max="9736" width="11.28515625" style="80" customWidth="1"/>
    <col min="9737" max="9737" width="15.28515625" style="80" bestFit="1" customWidth="1"/>
    <col min="9738" max="9740" width="11.85546875" style="80" customWidth="1"/>
    <col min="9741" max="9741" width="19.140625" style="80" customWidth="1"/>
    <col min="9742" max="9742" width="15" style="80" customWidth="1"/>
    <col min="9743" max="9743" width="15.28515625" style="80" customWidth="1"/>
    <col min="9744" max="9746" width="18.85546875" style="80" customWidth="1"/>
    <col min="9747" max="9747" width="12.7109375" style="80" customWidth="1"/>
    <col min="9748" max="9748" width="13.7109375" style="80" customWidth="1"/>
    <col min="9749" max="9749" width="16.140625" style="80" customWidth="1"/>
    <col min="9750" max="9750" width="17" style="80" customWidth="1"/>
    <col min="9751" max="9751" width="15" style="80" customWidth="1"/>
    <col min="9752" max="9752" width="14.28515625" style="80" customWidth="1"/>
    <col min="9753" max="9753" width="14.85546875" style="80" customWidth="1"/>
    <col min="9754" max="9754" width="17.140625" style="80" customWidth="1"/>
    <col min="9755" max="9755" width="13.5703125" style="80" customWidth="1"/>
    <col min="9756" max="9757" width="14.85546875" style="80" customWidth="1"/>
    <col min="9758" max="9758" width="18.85546875" style="80" customWidth="1"/>
    <col min="9759" max="9759" width="19.42578125" style="80" customWidth="1"/>
    <col min="9760" max="9760" width="16.140625" style="80" customWidth="1"/>
    <col min="9761" max="9761" width="14.5703125" style="80" customWidth="1"/>
    <col min="9762" max="9762" width="20.28515625" style="80" customWidth="1"/>
    <col min="9763" max="9763" width="13.85546875" style="80" customWidth="1"/>
    <col min="9764" max="9764" width="19.140625" style="80" customWidth="1"/>
    <col min="9765" max="9765" width="19.7109375" style="80" customWidth="1"/>
    <col min="9766" max="9766" width="16.5703125" style="80" customWidth="1"/>
    <col min="9767" max="9767" width="19.140625" style="80" customWidth="1"/>
    <col min="9768" max="9770" width="16.5703125" style="80" customWidth="1"/>
    <col min="9771" max="9771" width="15.7109375" style="80" customWidth="1"/>
    <col min="9772" max="9772" width="19.42578125" style="80" customWidth="1"/>
    <col min="9773" max="9773" width="14.85546875" style="80" bestFit="1" customWidth="1"/>
    <col min="9774" max="9774" width="13.7109375" style="80" bestFit="1" customWidth="1"/>
    <col min="9775" max="9775" width="13" style="80" customWidth="1"/>
    <col min="9776" max="9776" width="18.42578125" style="80" customWidth="1"/>
    <col min="9777" max="9779" width="13.140625" style="80" customWidth="1"/>
    <col min="9780" max="9780" width="16.42578125" style="80" customWidth="1"/>
    <col min="9781" max="9781" width="13.140625" style="80" customWidth="1"/>
    <col min="9782" max="9782" width="15.28515625" style="80" customWidth="1"/>
    <col min="9783" max="9783" width="14" style="80" bestFit="1" customWidth="1"/>
    <col min="9784" max="9784" width="17.140625" style="80" customWidth="1"/>
    <col min="9785" max="9806" width="16.5703125" style="80" customWidth="1"/>
    <col min="9807" max="9807" width="20.140625" style="80" customWidth="1"/>
    <col min="9808" max="9808" width="13.28515625" style="80" customWidth="1"/>
    <col min="9809" max="9809" width="14.85546875" style="80" customWidth="1"/>
    <col min="9810" max="9810" width="13.85546875" style="80" customWidth="1"/>
    <col min="9811" max="9811" width="13.5703125" style="80" customWidth="1"/>
    <col min="9812" max="9812" width="13" style="80" customWidth="1"/>
    <col min="9813" max="9813" width="13.5703125" style="80" customWidth="1"/>
    <col min="9814" max="9814" width="7.7109375" style="80" bestFit="1" customWidth="1"/>
    <col min="9815" max="9984" width="9.140625" style="80"/>
    <col min="9985" max="9985" width="4.28515625" style="80" customWidth="1"/>
    <col min="9986" max="9986" width="10.140625" style="80" customWidth="1"/>
    <col min="9987" max="9987" width="8.85546875" style="80" customWidth="1"/>
    <col min="9988" max="9988" width="11.140625" style="80" customWidth="1"/>
    <col min="9989" max="9989" width="15" style="80" bestFit="1" customWidth="1"/>
    <col min="9990" max="9990" width="13.5703125" style="80" customWidth="1"/>
    <col min="9991" max="9991" width="11.42578125" style="80" bestFit="1" customWidth="1"/>
    <col min="9992" max="9992" width="11.28515625" style="80" customWidth="1"/>
    <col min="9993" max="9993" width="15.28515625" style="80" bestFit="1" customWidth="1"/>
    <col min="9994" max="9996" width="11.85546875" style="80" customWidth="1"/>
    <col min="9997" max="9997" width="19.140625" style="80" customWidth="1"/>
    <col min="9998" max="9998" width="15" style="80" customWidth="1"/>
    <col min="9999" max="9999" width="15.28515625" style="80" customWidth="1"/>
    <col min="10000" max="10002" width="18.85546875" style="80" customWidth="1"/>
    <col min="10003" max="10003" width="12.7109375" style="80" customWidth="1"/>
    <col min="10004" max="10004" width="13.7109375" style="80" customWidth="1"/>
    <col min="10005" max="10005" width="16.140625" style="80" customWidth="1"/>
    <col min="10006" max="10006" width="17" style="80" customWidth="1"/>
    <col min="10007" max="10007" width="15" style="80" customWidth="1"/>
    <col min="10008" max="10008" width="14.28515625" style="80" customWidth="1"/>
    <col min="10009" max="10009" width="14.85546875" style="80" customWidth="1"/>
    <col min="10010" max="10010" width="17.140625" style="80" customWidth="1"/>
    <col min="10011" max="10011" width="13.5703125" style="80" customWidth="1"/>
    <col min="10012" max="10013" width="14.85546875" style="80" customWidth="1"/>
    <col min="10014" max="10014" width="18.85546875" style="80" customWidth="1"/>
    <col min="10015" max="10015" width="19.42578125" style="80" customWidth="1"/>
    <col min="10016" max="10016" width="16.140625" style="80" customWidth="1"/>
    <col min="10017" max="10017" width="14.5703125" style="80" customWidth="1"/>
    <col min="10018" max="10018" width="20.28515625" style="80" customWidth="1"/>
    <col min="10019" max="10019" width="13.85546875" style="80" customWidth="1"/>
    <col min="10020" max="10020" width="19.140625" style="80" customWidth="1"/>
    <col min="10021" max="10021" width="19.7109375" style="80" customWidth="1"/>
    <col min="10022" max="10022" width="16.5703125" style="80" customWidth="1"/>
    <col min="10023" max="10023" width="19.140625" style="80" customWidth="1"/>
    <col min="10024" max="10026" width="16.5703125" style="80" customWidth="1"/>
    <col min="10027" max="10027" width="15.7109375" style="80" customWidth="1"/>
    <col min="10028" max="10028" width="19.42578125" style="80" customWidth="1"/>
    <col min="10029" max="10029" width="14.85546875" style="80" bestFit="1" customWidth="1"/>
    <col min="10030" max="10030" width="13.7109375" style="80" bestFit="1" customWidth="1"/>
    <col min="10031" max="10031" width="13" style="80" customWidth="1"/>
    <col min="10032" max="10032" width="18.42578125" style="80" customWidth="1"/>
    <col min="10033" max="10035" width="13.140625" style="80" customWidth="1"/>
    <col min="10036" max="10036" width="16.42578125" style="80" customWidth="1"/>
    <col min="10037" max="10037" width="13.140625" style="80" customWidth="1"/>
    <col min="10038" max="10038" width="15.28515625" style="80" customWidth="1"/>
    <col min="10039" max="10039" width="14" style="80" bestFit="1" customWidth="1"/>
    <col min="10040" max="10040" width="17.140625" style="80" customWidth="1"/>
    <col min="10041" max="10062" width="16.5703125" style="80" customWidth="1"/>
    <col min="10063" max="10063" width="20.140625" style="80" customWidth="1"/>
    <col min="10064" max="10064" width="13.28515625" style="80" customWidth="1"/>
    <col min="10065" max="10065" width="14.85546875" style="80" customWidth="1"/>
    <col min="10066" max="10066" width="13.85546875" style="80" customWidth="1"/>
    <col min="10067" max="10067" width="13.5703125" style="80" customWidth="1"/>
    <col min="10068" max="10068" width="13" style="80" customWidth="1"/>
    <col min="10069" max="10069" width="13.5703125" style="80" customWidth="1"/>
    <col min="10070" max="10070" width="7.7109375" style="80" bestFit="1" customWidth="1"/>
    <col min="10071" max="10240" width="9.140625" style="80"/>
    <col min="10241" max="10241" width="4.28515625" style="80" customWidth="1"/>
    <col min="10242" max="10242" width="10.140625" style="80" customWidth="1"/>
    <col min="10243" max="10243" width="8.85546875" style="80" customWidth="1"/>
    <col min="10244" max="10244" width="11.140625" style="80" customWidth="1"/>
    <col min="10245" max="10245" width="15" style="80" bestFit="1" customWidth="1"/>
    <col min="10246" max="10246" width="13.5703125" style="80" customWidth="1"/>
    <col min="10247" max="10247" width="11.42578125" style="80" bestFit="1" customWidth="1"/>
    <col min="10248" max="10248" width="11.28515625" style="80" customWidth="1"/>
    <col min="10249" max="10249" width="15.28515625" style="80" bestFit="1" customWidth="1"/>
    <col min="10250" max="10252" width="11.85546875" style="80" customWidth="1"/>
    <col min="10253" max="10253" width="19.140625" style="80" customWidth="1"/>
    <col min="10254" max="10254" width="15" style="80" customWidth="1"/>
    <col min="10255" max="10255" width="15.28515625" style="80" customWidth="1"/>
    <col min="10256" max="10258" width="18.85546875" style="80" customWidth="1"/>
    <col min="10259" max="10259" width="12.7109375" style="80" customWidth="1"/>
    <col min="10260" max="10260" width="13.7109375" style="80" customWidth="1"/>
    <col min="10261" max="10261" width="16.140625" style="80" customWidth="1"/>
    <col min="10262" max="10262" width="17" style="80" customWidth="1"/>
    <col min="10263" max="10263" width="15" style="80" customWidth="1"/>
    <col min="10264" max="10264" width="14.28515625" style="80" customWidth="1"/>
    <col min="10265" max="10265" width="14.85546875" style="80" customWidth="1"/>
    <col min="10266" max="10266" width="17.140625" style="80" customWidth="1"/>
    <col min="10267" max="10267" width="13.5703125" style="80" customWidth="1"/>
    <col min="10268" max="10269" width="14.85546875" style="80" customWidth="1"/>
    <col min="10270" max="10270" width="18.85546875" style="80" customWidth="1"/>
    <col min="10271" max="10271" width="19.42578125" style="80" customWidth="1"/>
    <col min="10272" max="10272" width="16.140625" style="80" customWidth="1"/>
    <col min="10273" max="10273" width="14.5703125" style="80" customWidth="1"/>
    <col min="10274" max="10274" width="20.28515625" style="80" customWidth="1"/>
    <col min="10275" max="10275" width="13.85546875" style="80" customWidth="1"/>
    <col min="10276" max="10276" width="19.140625" style="80" customWidth="1"/>
    <col min="10277" max="10277" width="19.7109375" style="80" customWidth="1"/>
    <col min="10278" max="10278" width="16.5703125" style="80" customWidth="1"/>
    <col min="10279" max="10279" width="19.140625" style="80" customWidth="1"/>
    <col min="10280" max="10282" width="16.5703125" style="80" customWidth="1"/>
    <col min="10283" max="10283" width="15.7109375" style="80" customWidth="1"/>
    <col min="10284" max="10284" width="19.42578125" style="80" customWidth="1"/>
    <col min="10285" max="10285" width="14.85546875" style="80" bestFit="1" customWidth="1"/>
    <col min="10286" max="10286" width="13.7109375" style="80" bestFit="1" customWidth="1"/>
    <col min="10287" max="10287" width="13" style="80" customWidth="1"/>
    <col min="10288" max="10288" width="18.42578125" style="80" customWidth="1"/>
    <col min="10289" max="10291" width="13.140625" style="80" customWidth="1"/>
    <col min="10292" max="10292" width="16.42578125" style="80" customWidth="1"/>
    <col min="10293" max="10293" width="13.140625" style="80" customWidth="1"/>
    <col min="10294" max="10294" width="15.28515625" style="80" customWidth="1"/>
    <col min="10295" max="10295" width="14" style="80" bestFit="1" customWidth="1"/>
    <col min="10296" max="10296" width="17.140625" style="80" customWidth="1"/>
    <col min="10297" max="10318" width="16.5703125" style="80" customWidth="1"/>
    <col min="10319" max="10319" width="20.140625" style="80" customWidth="1"/>
    <col min="10320" max="10320" width="13.28515625" style="80" customWidth="1"/>
    <col min="10321" max="10321" width="14.85546875" style="80" customWidth="1"/>
    <col min="10322" max="10322" width="13.85546875" style="80" customWidth="1"/>
    <col min="10323" max="10323" width="13.5703125" style="80" customWidth="1"/>
    <col min="10324" max="10324" width="13" style="80" customWidth="1"/>
    <col min="10325" max="10325" width="13.5703125" style="80" customWidth="1"/>
    <col min="10326" max="10326" width="7.7109375" style="80" bestFit="1" customWidth="1"/>
    <col min="10327" max="10496" width="9.140625" style="80"/>
    <col min="10497" max="10497" width="4.28515625" style="80" customWidth="1"/>
    <col min="10498" max="10498" width="10.140625" style="80" customWidth="1"/>
    <col min="10499" max="10499" width="8.85546875" style="80" customWidth="1"/>
    <col min="10500" max="10500" width="11.140625" style="80" customWidth="1"/>
    <col min="10501" max="10501" width="15" style="80" bestFit="1" customWidth="1"/>
    <col min="10502" max="10502" width="13.5703125" style="80" customWidth="1"/>
    <col min="10503" max="10503" width="11.42578125" style="80" bestFit="1" customWidth="1"/>
    <col min="10504" max="10504" width="11.28515625" style="80" customWidth="1"/>
    <col min="10505" max="10505" width="15.28515625" style="80" bestFit="1" customWidth="1"/>
    <col min="10506" max="10508" width="11.85546875" style="80" customWidth="1"/>
    <col min="10509" max="10509" width="19.140625" style="80" customWidth="1"/>
    <col min="10510" max="10510" width="15" style="80" customWidth="1"/>
    <col min="10511" max="10511" width="15.28515625" style="80" customWidth="1"/>
    <col min="10512" max="10514" width="18.85546875" style="80" customWidth="1"/>
    <col min="10515" max="10515" width="12.7109375" style="80" customWidth="1"/>
    <col min="10516" max="10516" width="13.7109375" style="80" customWidth="1"/>
    <col min="10517" max="10517" width="16.140625" style="80" customWidth="1"/>
    <col min="10518" max="10518" width="17" style="80" customWidth="1"/>
    <col min="10519" max="10519" width="15" style="80" customWidth="1"/>
    <col min="10520" max="10520" width="14.28515625" style="80" customWidth="1"/>
    <col min="10521" max="10521" width="14.85546875" style="80" customWidth="1"/>
    <col min="10522" max="10522" width="17.140625" style="80" customWidth="1"/>
    <col min="10523" max="10523" width="13.5703125" style="80" customWidth="1"/>
    <col min="10524" max="10525" width="14.85546875" style="80" customWidth="1"/>
    <col min="10526" max="10526" width="18.85546875" style="80" customWidth="1"/>
    <col min="10527" max="10527" width="19.42578125" style="80" customWidth="1"/>
    <col min="10528" max="10528" width="16.140625" style="80" customWidth="1"/>
    <col min="10529" max="10529" width="14.5703125" style="80" customWidth="1"/>
    <col min="10530" max="10530" width="20.28515625" style="80" customWidth="1"/>
    <col min="10531" max="10531" width="13.85546875" style="80" customWidth="1"/>
    <col min="10532" max="10532" width="19.140625" style="80" customWidth="1"/>
    <col min="10533" max="10533" width="19.7109375" style="80" customWidth="1"/>
    <col min="10534" max="10534" width="16.5703125" style="80" customWidth="1"/>
    <col min="10535" max="10535" width="19.140625" style="80" customWidth="1"/>
    <col min="10536" max="10538" width="16.5703125" style="80" customWidth="1"/>
    <col min="10539" max="10539" width="15.7109375" style="80" customWidth="1"/>
    <col min="10540" max="10540" width="19.42578125" style="80" customWidth="1"/>
    <col min="10541" max="10541" width="14.85546875" style="80" bestFit="1" customWidth="1"/>
    <col min="10542" max="10542" width="13.7109375" style="80" bestFit="1" customWidth="1"/>
    <col min="10543" max="10543" width="13" style="80" customWidth="1"/>
    <col min="10544" max="10544" width="18.42578125" style="80" customWidth="1"/>
    <col min="10545" max="10547" width="13.140625" style="80" customWidth="1"/>
    <col min="10548" max="10548" width="16.42578125" style="80" customWidth="1"/>
    <col min="10549" max="10549" width="13.140625" style="80" customWidth="1"/>
    <col min="10550" max="10550" width="15.28515625" style="80" customWidth="1"/>
    <col min="10551" max="10551" width="14" style="80" bestFit="1" customWidth="1"/>
    <col min="10552" max="10552" width="17.140625" style="80" customWidth="1"/>
    <col min="10553" max="10574" width="16.5703125" style="80" customWidth="1"/>
    <col min="10575" max="10575" width="20.140625" style="80" customWidth="1"/>
    <col min="10576" max="10576" width="13.28515625" style="80" customWidth="1"/>
    <col min="10577" max="10577" width="14.85546875" style="80" customWidth="1"/>
    <col min="10578" max="10578" width="13.85546875" style="80" customWidth="1"/>
    <col min="10579" max="10579" width="13.5703125" style="80" customWidth="1"/>
    <col min="10580" max="10580" width="13" style="80" customWidth="1"/>
    <col min="10581" max="10581" width="13.5703125" style="80" customWidth="1"/>
    <col min="10582" max="10582" width="7.7109375" style="80" bestFit="1" customWidth="1"/>
    <col min="10583" max="10752" width="9.140625" style="80"/>
    <col min="10753" max="10753" width="4.28515625" style="80" customWidth="1"/>
    <col min="10754" max="10754" width="10.140625" style="80" customWidth="1"/>
    <col min="10755" max="10755" width="8.85546875" style="80" customWidth="1"/>
    <col min="10756" max="10756" width="11.140625" style="80" customWidth="1"/>
    <col min="10757" max="10757" width="15" style="80" bestFit="1" customWidth="1"/>
    <col min="10758" max="10758" width="13.5703125" style="80" customWidth="1"/>
    <col min="10759" max="10759" width="11.42578125" style="80" bestFit="1" customWidth="1"/>
    <col min="10760" max="10760" width="11.28515625" style="80" customWidth="1"/>
    <col min="10761" max="10761" width="15.28515625" style="80" bestFit="1" customWidth="1"/>
    <col min="10762" max="10764" width="11.85546875" style="80" customWidth="1"/>
    <col min="10765" max="10765" width="19.140625" style="80" customWidth="1"/>
    <col min="10766" max="10766" width="15" style="80" customWidth="1"/>
    <col min="10767" max="10767" width="15.28515625" style="80" customWidth="1"/>
    <col min="10768" max="10770" width="18.85546875" style="80" customWidth="1"/>
    <col min="10771" max="10771" width="12.7109375" style="80" customWidth="1"/>
    <col min="10772" max="10772" width="13.7109375" style="80" customWidth="1"/>
    <col min="10773" max="10773" width="16.140625" style="80" customWidth="1"/>
    <col min="10774" max="10774" width="17" style="80" customWidth="1"/>
    <col min="10775" max="10775" width="15" style="80" customWidth="1"/>
    <col min="10776" max="10776" width="14.28515625" style="80" customWidth="1"/>
    <col min="10777" max="10777" width="14.85546875" style="80" customWidth="1"/>
    <col min="10778" max="10778" width="17.140625" style="80" customWidth="1"/>
    <col min="10779" max="10779" width="13.5703125" style="80" customWidth="1"/>
    <col min="10780" max="10781" width="14.85546875" style="80" customWidth="1"/>
    <col min="10782" max="10782" width="18.85546875" style="80" customWidth="1"/>
    <col min="10783" max="10783" width="19.42578125" style="80" customWidth="1"/>
    <col min="10784" max="10784" width="16.140625" style="80" customWidth="1"/>
    <col min="10785" max="10785" width="14.5703125" style="80" customWidth="1"/>
    <col min="10786" max="10786" width="20.28515625" style="80" customWidth="1"/>
    <col min="10787" max="10787" width="13.85546875" style="80" customWidth="1"/>
    <col min="10788" max="10788" width="19.140625" style="80" customWidth="1"/>
    <col min="10789" max="10789" width="19.7109375" style="80" customWidth="1"/>
    <col min="10790" max="10790" width="16.5703125" style="80" customWidth="1"/>
    <col min="10791" max="10791" width="19.140625" style="80" customWidth="1"/>
    <col min="10792" max="10794" width="16.5703125" style="80" customWidth="1"/>
    <col min="10795" max="10795" width="15.7109375" style="80" customWidth="1"/>
    <col min="10796" max="10796" width="19.42578125" style="80" customWidth="1"/>
    <col min="10797" max="10797" width="14.85546875" style="80" bestFit="1" customWidth="1"/>
    <col min="10798" max="10798" width="13.7109375" style="80" bestFit="1" customWidth="1"/>
    <col min="10799" max="10799" width="13" style="80" customWidth="1"/>
    <col min="10800" max="10800" width="18.42578125" style="80" customWidth="1"/>
    <col min="10801" max="10803" width="13.140625" style="80" customWidth="1"/>
    <col min="10804" max="10804" width="16.42578125" style="80" customWidth="1"/>
    <col min="10805" max="10805" width="13.140625" style="80" customWidth="1"/>
    <col min="10806" max="10806" width="15.28515625" style="80" customWidth="1"/>
    <col min="10807" max="10807" width="14" style="80" bestFit="1" customWidth="1"/>
    <col min="10808" max="10808" width="17.140625" style="80" customWidth="1"/>
    <col min="10809" max="10830" width="16.5703125" style="80" customWidth="1"/>
    <col min="10831" max="10831" width="20.140625" style="80" customWidth="1"/>
    <col min="10832" max="10832" width="13.28515625" style="80" customWidth="1"/>
    <col min="10833" max="10833" width="14.85546875" style="80" customWidth="1"/>
    <col min="10834" max="10834" width="13.85546875" style="80" customWidth="1"/>
    <col min="10835" max="10835" width="13.5703125" style="80" customWidth="1"/>
    <col min="10836" max="10836" width="13" style="80" customWidth="1"/>
    <col min="10837" max="10837" width="13.5703125" style="80" customWidth="1"/>
    <col min="10838" max="10838" width="7.7109375" style="80" bestFit="1" customWidth="1"/>
    <col min="10839" max="11008" width="9.140625" style="80"/>
    <col min="11009" max="11009" width="4.28515625" style="80" customWidth="1"/>
    <col min="11010" max="11010" width="10.140625" style="80" customWidth="1"/>
    <col min="11011" max="11011" width="8.85546875" style="80" customWidth="1"/>
    <col min="11012" max="11012" width="11.140625" style="80" customWidth="1"/>
    <col min="11013" max="11013" width="15" style="80" bestFit="1" customWidth="1"/>
    <col min="11014" max="11014" width="13.5703125" style="80" customWidth="1"/>
    <col min="11015" max="11015" width="11.42578125" style="80" bestFit="1" customWidth="1"/>
    <col min="11016" max="11016" width="11.28515625" style="80" customWidth="1"/>
    <col min="11017" max="11017" width="15.28515625" style="80" bestFit="1" customWidth="1"/>
    <col min="11018" max="11020" width="11.85546875" style="80" customWidth="1"/>
    <col min="11021" max="11021" width="19.140625" style="80" customWidth="1"/>
    <col min="11022" max="11022" width="15" style="80" customWidth="1"/>
    <col min="11023" max="11023" width="15.28515625" style="80" customWidth="1"/>
    <col min="11024" max="11026" width="18.85546875" style="80" customWidth="1"/>
    <col min="11027" max="11027" width="12.7109375" style="80" customWidth="1"/>
    <col min="11028" max="11028" width="13.7109375" style="80" customWidth="1"/>
    <col min="11029" max="11029" width="16.140625" style="80" customWidth="1"/>
    <col min="11030" max="11030" width="17" style="80" customWidth="1"/>
    <col min="11031" max="11031" width="15" style="80" customWidth="1"/>
    <col min="11032" max="11032" width="14.28515625" style="80" customWidth="1"/>
    <col min="11033" max="11033" width="14.85546875" style="80" customWidth="1"/>
    <col min="11034" max="11034" width="17.140625" style="80" customWidth="1"/>
    <col min="11035" max="11035" width="13.5703125" style="80" customWidth="1"/>
    <col min="11036" max="11037" width="14.85546875" style="80" customWidth="1"/>
    <col min="11038" max="11038" width="18.85546875" style="80" customWidth="1"/>
    <col min="11039" max="11039" width="19.42578125" style="80" customWidth="1"/>
    <col min="11040" max="11040" width="16.140625" style="80" customWidth="1"/>
    <col min="11041" max="11041" width="14.5703125" style="80" customWidth="1"/>
    <col min="11042" max="11042" width="20.28515625" style="80" customWidth="1"/>
    <col min="11043" max="11043" width="13.85546875" style="80" customWidth="1"/>
    <col min="11044" max="11044" width="19.140625" style="80" customWidth="1"/>
    <col min="11045" max="11045" width="19.7109375" style="80" customWidth="1"/>
    <col min="11046" max="11046" width="16.5703125" style="80" customWidth="1"/>
    <col min="11047" max="11047" width="19.140625" style="80" customWidth="1"/>
    <col min="11048" max="11050" width="16.5703125" style="80" customWidth="1"/>
    <col min="11051" max="11051" width="15.7109375" style="80" customWidth="1"/>
    <col min="11052" max="11052" width="19.42578125" style="80" customWidth="1"/>
    <col min="11053" max="11053" width="14.85546875" style="80" bestFit="1" customWidth="1"/>
    <col min="11054" max="11054" width="13.7109375" style="80" bestFit="1" customWidth="1"/>
    <col min="11055" max="11055" width="13" style="80" customWidth="1"/>
    <col min="11056" max="11056" width="18.42578125" style="80" customWidth="1"/>
    <col min="11057" max="11059" width="13.140625" style="80" customWidth="1"/>
    <col min="11060" max="11060" width="16.42578125" style="80" customWidth="1"/>
    <col min="11061" max="11061" width="13.140625" style="80" customWidth="1"/>
    <col min="11062" max="11062" width="15.28515625" style="80" customWidth="1"/>
    <col min="11063" max="11063" width="14" style="80" bestFit="1" customWidth="1"/>
    <col min="11064" max="11064" width="17.140625" style="80" customWidth="1"/>
    <col min="11065" max="11086" width="16.5703125" style="80" customWidth="1"/>
    <col min="11087" max="11087" width="20.140625" style="80" customWidth="1"/>
    <col min="11088" max="11088" width="13.28515625" style="80" customWidth="1"/>
    <col min="11089" max="11089" width="14.85546875" style="80" customWidth="1"/>
    <col min="11090" max="11090" width="13.85546875" style="80" customWidth="1"/>
    <col min="11091" max="11091" width="13.5703125" style="80" customWidth="1"/>
    <col min="11092" max="11092" width="13" style="80" customWidth="1"/>
    <col min="11093" max="11093" width="13.5703125" style="80" customWidth="1"/>
    <col min="11094" max="11094" width="7.7109375" style="80" bestFit="1" customWidth="1"/>
    <col min="11095" max="11264" width="9.140625" style="80"/>
    <col min="11265" max="11265" width="4.28515625" style="80" customWidth="1"/>
    <col min="11266" max="11266" width="10.140625" style="80" customWidth="1"/>
    <col min="11267" max="11267" width="8.85546875" style="80" customWidth="1"/>
    <col min="11268" max="11268" width="11.140625" style="80" customWidth="1"/>
    <col min="11269" max="11269" width="15" style="80" bestFit="1" customWidth="1"/>
    <col min="11270" max="11270" width="13.5703125" style="80" customWidth="1"/>
    <col min="11271" max="11271" width="11.42578125" style="80" bestFit="1" customWidth="1"/>
    <col min="11272" max="11272" width="11.28515625" style="80" customWidth="1"/>
    <col min="11273" max="11273" width="15.28515625" style="80" bestFit="1" customWidth="1"/>
    <col min="11274" max="11276" width="11.85546875" style="80" customWidth="1"/>
    <col min="11277" max="11277" width="19.140625" style="80" customWidth="1"/>
    <col min="11278" max="11278" width="15" style="80" customWidth="1"/>
    <col min="11279" max="11279" width="15.28515625" style="80" customWidth="1"/>
    <col min="11280" max="11282" width="18.85546875" style="80" customWidth="1"/>
    <col min="11283" max="11283" width="12.7109375" style="80" customWidth="1"/>
    <col min="11284" max="11284" width="13.7109375" style="80" customWidth="1"/>
    <col min="11285" max="11285" width="16.140625" style="80" customWidth="1"/>
    <col min="11286" max="11286" width="17" style="80" customWidth="1"/>
    <col min="11287" max="11287" width="15" style="80" customWidth="1"/>
    <col min="11288" max="11288" width="14.28515625" style="80" customWidth="1"/>
    <col min="11289" max="11289" width="14.85546875" style="80" customWidth="1"/>
    <col min="11290" max="11290" width="17.140625" style="80" customWidth="1"/>
    <col min="11291" max="11291" width="13.5703125" style="80" customWidth="1"/>
    <col min="11292" max="11293" width="14.85546875" style="80" customWidth="1"/>
    <col min="11294" max="11294" width="18.85546875" style="80" customWidth="1"/>
    <col min="11295" max="11295" width="19.42578125" style="80" customWidth="1"/>
    <col min="11296" max="11296" width="16.140625" style="80" customWidth="1"/>
    <col min="11297" max="11297" width="14.5703125" style="80" customWidth="1"/>
    <col min="11298" max="11298" width="20.28515625" style="80" customWidth="1"/>
    <col min="11299" max="11299" width="13.85546875" style="80" customWidth="1"/>
    <col min="11300" max="11300" width="19.140625" style="80" customWidth="1"/>
    <col min="11301" max="11301" width="19.7109375" style="80" customWidth="1"/>
    <col min="11302" max="11302" width="16.5703125" style="80" customWidth="1"/>
    <col min="11303" max="11303" width="19.140625" style="80" customWidth="1"/>
    <col min="11304" max="11306" width="16.5703125" style="80" customWidth="1"/>
    <col min="11307" max="11307" width="15.7109375" style="80" customWidth="1"/>
    <col min="11308" max="11308" width="19.42578125" style="80" customWidth="1"/>
    <col min="11309" max="11309" width="14.85546875" style="80" bestFit="1" customWidth="1"/>
    <col min="11310" max="11310" width="13.7109375" style="80" bestFit="1" customWidth="1"/>
    <col min="11311" max="11311" width="13" style="80" customWidth="1"/>
    <col min="11312" max="11312" width="18.42578125" style="80" customWidth="1"/>
    <col min="11313" max="11315" width="13.140625" style="80" customWidth="1"/>
    <col min="11316" max="11316" width="16.42578125" style="80" customWidth="1"/>
    <col min="11317" max="11317" width="13.140625" style="80" customWidth="1"/>
    <col min="11318" max="11318" width="15.28515625" style="80" customWidth="1"/>
    <col min="11319" max="11319" width="14" style="80" bestFit="1" customWidth="1"/>
    <col min="11320" max="11320" width="17.140625" style="80" customWidth="1"/>
    <col min="11321" max="11342" width="16.5703125" style="80" customWidth="1"/>
    <col min="11343" max="11343" width="20.140625" style="80" customWidth="1"/>
    <col min="11344" max="11344" width="13.28515625" style="80" customWidth="1"/>
    <col min="11345" max="11345" width="14.85546875" style="80" customWidth="1"/>
    <col min="11346" max="11346" width="13.85546875" style="80" customWidth="1"/>
    <col min="11347" max="11347" width="13.5703125" style="80" customWidth="1"/>
    <col min="11348" max="11348" width="13" style="80" customWidth="1"/>
    <col min="11349" max="11349" width="13.5703125" style="80" customWidth="1"/>
    <col min="11350" max="11350" width="7.7109375" style="80" bestFit="1" customWidth="1"/>
    <col min="11351" max="11520" width="9.140625" style="80"/>
    <col min="11521" max="11521" width="4.28515625" style="80" customWidth="1"/>
    <col min="11522" max="11522" width="10.140625" style="80" customWidth="1"/>
    <col min="11523" max="11523" width="8.85546875" style="80" customWidth="1"/>
    <col min="11524" max="11524" width="11.140625" style="80" customWidth="1"/>
    <col min="11525" max="11525" width="15" style="80" bestFit="1" customWidth="1"/>
    <col min="11526" max="11526" width="13.5703125" style="80" customWidth="1"/>
    <col min="11527" max="11527" width="11.42578125" style="80" bestFit="1" customWidth="1"/>
    <col min="11528" max="11528" width="11.28515625" style="80" customWidth="1"/>
    <col min="11529" max="11529" width="15.28515625" style="80" bestFit="1" customWidth="1"/>
    <col min="11530" max="11532" width="11.85546875" style="80" customWidth="1"/>
    <col min="11533" max="11533" width="19.140625" style="80" customWidth="1"/>
    <col min="11534" max="11534" width="15" style="80" customWidth="1"/>
    <col min="11535" max="11535" width="15.28515625" style="80" customWidth="1"/>
    <col min="11536" max="11538" width="18.85546875" style="80" customWidth="1"/>
    <col min="11539" max="11539" width="12.7109375" style="80" customWidth="1"/>
    <col min="11540" max="11540" width="13.7109375" style="80" customWidth="1"/>
    <col min="11541" max="11541" width="16.140625" style="80" customWidth="1"/>
    <col min="11542" max="11542" width="17" style="80" customWidth="1"/>
    <col min="11543" max="11543" width="15" style="80" customWidth="1"/>
    <col min="11544" max="11544" width="14.28515625" style="80" customWidth="1"/>
    <col min="11545" max="11545" width="14.85546875" style="80" customWidth="1"/>
    <col min="11546" max="11546" width="17.140625" style="80" customWidth="1"/>
    <col min="11547" max="11547" width="13.5703125" style="80" customWidth="1"/>
    <col min="11548" max="11549" width="14.85546875" style="80" customWidth="1"/>
    <col min="11550" max="11550" width="18.85546875" style="80" customWidth="1"/>
    <col min="11551" max="11551" width="19.42578125" style="80" customWidth="1"/>
    <col min="11552" max="11552" width="16.140625" style="80" customWidth="1"/>
    <col min="11553" max="11553" width="14.5703125" style="80" customWidth="1"/>
    <col min="11554" max="11554" width="20.28515625" style="80" customWidth="1"/>
    <col min="11555" max="11555" width="13.85546875" style="80" customWidth="1"/>
    <col min="11556" max="11556" width="19.140625" style="80" customWidth="1"/>
    <col min="11557" max="11557" width="19.7109375" style="80" customWidth="1"/>
    <col min="11558" max="11558" width="16.5703125" style="80" customWidth="1"/>
    <col min="11559" max="11559" width="19.140625" style="80" customWidth="1"/>
    <col min="11560" max="11562" width="16.5703125" style="80" customWidth="1"/>
    <col min="11563" max="11563" width="15.7109375" style="80" customWidth="1"/>
    <col min="11564" max="11564" width="19.42578125" style="80" customWidth="1"/>
    <col min="11565" max="11565" width="14.85546875" style="80" bestFit="1" customWidth="1"/>
    <col min="11566" max="11566" width="13.7109375" style="80" bestFit="1" customWidth="1"/>
    <col min="11567" max="11567" width="13" style="80" customWidth="1"/>
    <col min="11568" max="11568" width="18.42578125" style="80" customWidth="1"/>
    <col min="11569" max="11571" width="13.140625" style="80" customWidth="1"/>
    <col min="11572" max="11572" width="16.42578125" style="80" customWidth="1"/>
    <col min="11573" max="11573" width="13.140625" style="80" customWidth="1"/>
    <col min="11574" max="11574" width="15.28515625" style="80" customWidth="1"/>
    <col min="11575" max="11575" width="14" style="80" bestFit="1" customWidth="1"/>
    <col min="11576" max="11576" width="17.140625" style="80" customWidth="1"/>
    <col min="11577" max="11598" width="16.5703125" style="80" customWidth="1"/>
    <col min="11599" max="11599" width="20.140625" style="80" customWidth="1"/>
    <col min="11600" max="11600" width="13.28515625" style="80" customWidth="1"/>
    <col min="11601" max="11601" width="14.85546875" style="80" customWidth="1"/>
    <col min="11602" max="11602" width="13.85546875" style="80" customWidth="1"/>
    <col min="11603" max="11603" width="13.5703125" style="80" customWidth="1"/>
    <col min="11604" max="11604" width="13" style="80" customWidth="1"/>
    <col min="11605" max="11605" width="13.5703125" style="80" customWidth="1"/>
    <col min="11606" max="11606" width="7.7109375" style="80" bestFit="1" customWidth="1"/>
    <col min="11607" max="11776" width="9.140625" style="80"/>
    <col min="11777" max="11777" width="4.28515625" style="80" customWidth="1"/>
    <col min="11778" max="11778" width="10.140625" style="80" customWidth="1"/>
    <col min="11779" max="11779" width="8.85546875" style="80" customWidth="1"/>
    <col min="11780" max="11780" width="11.140625" style="80" customWidth="1"/>
    <col min="11781" max="11781" width="15" style="80" bestFit="1" customWidth="1"/>
    <col min="11782" max="11782" width="13.5703125" style="80" customWidth="1"/>
    <col min="11783" max="11783" width="11.42578125" style="80" bestFit="1" customWidth="1"/>
    <col min="11784" max="11784" width="11.28515625" style="80" customWidth="1"/>
    <col min="11785" max="11785" width="15.28515625" style="80" bestFit="1" customWidth="1"/>
    <col min="11786" max="11788" width="11.85546875" style="80" customWidth="1"/>
    <col min="11789" max="11789" width="19.140625" style="80" customWidth="1"/>
    <col min="11790" max="11790" width="15" style="80" customWidth="1"/>
    <col min="11791" max="11791" width="15.28515625" style="80" customWidth="1"/>
    <col min="11792" max="11794" width="18.85546875" style="80" customWidth="1"/>
    <col min="11795" max="11795" width="12.7109375" style="80" customWidth="1"/>
    <col min="11796" max="11796" width="13.7109375" style="80" customWidth="1"/>
    <col min="11797" max="11797" width="16.140625" style="80" customWidth="1"/>
    <col min="11798" max="11798" width="17" style="80" customWidth="1"/>
    <col min="11799" max="11799" width="15" style="80" customWidth="1"/>
    <col min="11800" max="11800" width="14.28515625" style="80" customWidth="1"/>
    <col min="11801" max="11801" width="14.85546875" style="80" customWidth="1"/>
    <col min="11802" max="11802" width="17.140625" style="80" customWidth="1"/>
    <col min="11803" max="11803" width="13.5703125" style="80" customWidth="1"/>
    <col min="11804" max="11805" width="14.85546875" style="80" customWidth="1"/>
    <col min="11806" max="11806" width="18.85546875" style="80" customWidth="1"/>
    <col min="11807" max="11807" width="19.42578125" style="80" customWidth="1"/>
    <col min="11808" max="11808" width="16.140625" style="80" customWidth="1"/>
    <col min="11809" max="11809" width="14.5703125" style="80" customWidth="1"/>
    <col min="11810" max="11810" width="20.28515625" style="80" customWidth="1"/>
    <col min="11811" max="11811" width="13.85546875" style="80" customWidth="1"/>
    <col min="11812" max="11812" width="19.140625" style="80" customWidth="1"/>
    <col min="11813" max="11813" width="19.7109375" style="80" customWidth="1"/>
    <col min="11814" max="11814" width="16.5703125" style="80" customWidth="1"/>
    <col min="11815" max="11815" width="19.140625" style="80" customWidth="1"/>
    <col min="11816" max="11818" width="16.5703125" style="80" customWidth="1"/>
    <col min="11819" max="11819" width="15.7109375" style="80" customWidth="1"/>
    <col min="11820" max="11820" width="19.42578125" style="80" customWidth="1"/>
    <col min="11821" max="11821" width="14.85546875" style="80" bestFit="1" customWidth="1"/>
    <col min="11822" max="11822" width="13.7109375" style="80" bestFit="1" customWidth="1"/>
    <col min="11823" max="11823" width="13" style="80" customWidth="1"/>
    <col min="11824" max="11824" width="18.42578125" style="80" customWidth="1"/>
    <col min="11825" max="11827" width="13.140625" style="80" customWidth="1"/>
    <col min="11828" max="11828" width="16.42578125" style="80" customWidth="1"/>
    <col min="11829" max="11829" width="13.140625" style="80" customWidth="1"/>
    <col min="11830" max="11830" width="15.28515625" style="80" customWidth="1"/>
    <col min="11831" max="11831" width="14" style="80" bestFit="1" customWidth="1"/>
    <col min="11832" max="11832" width="17.140625" style="80" customWidth="1"/>
    <col min="11833" max="11854" width="16.5703125" style="80" customWidth="1"/>
    <col min="11855" max="11855" width="20.140625" style="80" customWidth="1"/>
    <col min="11856" max="11856" width="13.28515625" style="80" customWidth="1"/>
    <col min="11857" max="11857" width="14.85546875" style="80" customWidth="1"/>
    <col min="11858" max="11858" width="13.85546875" style="80" customWidth="1"/>
    <col min="11859" max="11859" width="13.5703125" style="80" customWidth="1"/>
    <col min="11860" max="11860" width="13" style="80" customWidth="1"/>
    <col min="11861" max="11861" width="13.5703125" style="80" customWidth="1"/>
    <col min="11862" max="11862" width="7.7109375" style="80" bestFit="1" customWidth="1"/>
    <col min="11863" max="12032" width="9.140625" style="80"/>
    <col min="12033" max="12033" width="4.28515625" style="80" customWidth="1"/>
    <col min="12034" max="12034" width="10.140625" style="80" customWidth="1"/>
    <col min="12035" max="12035" width="8.85546875" style="80" customWidth="1"/>
    <col min="12036" max="12036" width="11.140625" style="80" customWidth="1"/>
    <col min="12037" max="12037" width="15" style="80" bestFit="1" customWidth="1"/>
    <col min="12038" max="12038" width="13.5703125" style="80" customWidth="1"/>
    <col min="12039" max="12039" width="11.42578125" style="80" bestFit="1" customWidth="1"/>
    <col min="12040" max="12040" width="11.28515625" style="80" customWidth="1"/>
    <col min="12041" max="12041" width="15.28515625" style="80" bestFit="1" customWidth="1"/>
    <col min="12042" max="12044" width="11.85546875" style="80" customWidth="1"/>
    <col min="12045" max="12045" width="19.140625" style="80" customWidth="1"/>
    <col min="12046" max="12046" width="15" style="80" customWidth="1"/>
    <col min="12047" max="12047" width="15.28515625" style="80" customWidth="1"/>
    <col min="12048" max="12050" width="18.85546875" style="80" customWidth="1"/>
    <col min="12051" max="12051" width="12.7109375" style="80" customWidth="1"/>
    <col min="12052" max="12052" width="13.7109375" style="80" customWidth="1"/>
    <col min="12053" max="12053" width="16.140625" style="80" customWidth="1"/>
    <col min="12054" max="12054" width="17" style="80" customWidth="1"/>
    <col min="12055" max="12055" width="15" style="80" customWidth="1"/>
    <col min="12056" max="12056" width="14.28515625" style="80" customWidth="1"/>
    <col min="12057" max="12057" width="14.85546875" style="80" customWidth="1"/>
    <col min="12058" max="12058" width="17.140625" style="80" customWidth="1"/>
    <col min="12059" max="12059" width="13.5703125" style="80" customWidth="1"/>
    <col min="12060" max="12061" width="14.85546875" style="80" customWidth="1"/>
    <col min="12062" max="12062" width="18.85546875" style="80" customWidth="1"/>
    <col min="12063" max="12063" width="19.42578125" style="80" customWidth="1"/>
    <col min="12064" max="12064" width="16.140625" style="80" customWidth="1"/>
    <col min="12065" max="12065" width="14.5703125" style="80" customWidth="1"/>
    <col min="12066" max="12066" width="20.28515625" style="80" customWidth="1"/>
    <col min="12067" max="12067" width="13.85546875" style="80" customWidth="1"/>
    <col min="12068" max="12068" width="19.140625" style="80" customWidth="1"/>
    <col min="12069" max="12069" width="19.7109375" style="80" customWidth="1"/>
    <col min="12070" max="12070" width="16.5703125" style="80" customWidth="1"/>
    <col min="12071" max="12071" width="19.140625" style="80" customWidth="1"/>
    <col min="12072" max="12074" width="16.5703125" style="80" customWidth="1"/>
    <col min="12075" max="12075" width="15.7109375" style="80" customWidth="1"/>
    <col min="12076" max="12076" width="19.42578125" style="80" customWidth="1"/>
    <col min="12077" max="12077" width="14.85546875" style="80" bestFit="1" customWidth="1"/>
    <col min="12078" max="12078" width="13.7109375" style="80" bestFit="1" customWidth="1"/>
    <col min="12079" max="12079" width="13" style="80" customWidth="1"/>
    <col min="12080" max="12080" width="18.42578125" style="80" customWidth="1"/>
    <col min="12081" max="12083" width="13.140625" style="80" customWidth="1"/>
    <col min="12084" max="12084" width="16.42578125" style="80" customWidth="1"/>
    <col min="12085" max="12085" width="13.140625" style="80" customWidth="1"/>
    <col min="12086" max="12086" width="15.28515625" style="80" customWidth="1"/>
    <col min="12087" max="12087" width="14" style="80" bestFit="1" customWidth="1"/>
    <col min="12088" max="12088" width="17.140625" style="80" customWidth="1"/>
    <col min="12089" max="12110" width="16.5703125" style="80" customWidth="1"/>
    <col min="12111" max="12111" width="20.140625" style="80" customWidth="1"/>
    <col min="12112" max="12112" width="13.28515625" style="80" customWidth="1"/>
    <col min="12113" max="12113" width="14.85546875" style="80" customWidth="1"/>
    <col min="12114" max="12114" width="13.85546875" style="80" customWidth="1"/>
    <col min="12115" max="12115" width="13.5703125" style="80" customWidth="1"/>
    <col min="12116" max="12116" width="13" style="80" customWidth="1"/>
    <col min="12117" max="12117" width="13.5703125" style="80" customWidth="1"/>
    <col min="12118" max="12118" width="7.7109375" style="80" bestFit="1" customWidth="1"/>
    <col min="12119" max="12288" width="9.140625" style="80"/>
    <col min="12289" max="12289" width="4.28515625" style="80" customWidth="1"/>
    <col min="12290" max="12290" width="10.140625" style="80" customWidth="1"/>
    <col min="12291" max="12291" width="8.85546875" style="80" customWidth="1"/>
    <col min="12292" max="12292" width="11.140625" style="80" customWidth="1"/>
    <col min="12293" max="12293" width="15" style="80" bestFit="1" customWidth="1"/>
    <col min="12294" max="12294" width="13.5703125" style="80" customWidth="1"/>
    <col min="12295" max="12295" width="11.42578125" style="80" bestFit="1" customWidth="1"/>
    <col min="12296" max="12296" width="11.28515625" style="80" customWidth="1"/>
    <col min="12297" max="12297" width="15.28515625" style="80" bestFit="1" customWidth="1"/>
    <col min="12298" max="12300" width="11.85546875" style="80" customWidth="1"/>
    <col min="12301" max="12301" width="19.140625" style="80" customWidth="1"/>
    <col min="12302" max="12302" width="15" style="80" customWidth="1"/>
    <col min="12303" max="12303" width="15.28515625" style="80" customWidth="1"/>
    <col min="12304" max="12306" width="18.85546875" style="80" customWidth="1"/>
    <col min="12307" max="12307" width="12.7109375" style="80" customWidth="1"/>
    <col min="12308" max="12308" width="13.7109375" style="80" customWidth="1"/>
    <col min="12309" max="12309" width="16.140625" style="80" customWidth="1"/>
    <col min="12310" max="12310" width="17" style="80" customWidth="1"/>
    <col min="12311" max="12311" width="15" style="80" customWidth="1"/>
    <col min="12312" max="12312" width="14.28515625" style="80" customWidth="1"/>
    <col min="12313" max="12313" width="14.85546875" style="80" customWidth="1"/>
    <col min="12314" max="12314" width="17.140625" style="80" customWidth="1"/>
    <col min="12315" max="12315" width="13.5703125" style="80" customWidth="1"/>
    <col min="12316" max="12317" width="14.85546875" style="80" customWidth="1"/>
    <col min="12318" max="12318" width="18.85546875" style="80" customWidth="1"/>
    <col min="12319" max="12319" width="19.42578125" style="80" customWidth="1"/>
    <col min="12320" max="12320" width="16.140625" style="80" customWidth="1"/>
    <col min="12321" max="12321" width="14.5703125" style="80" customWidth="1"/>
    <col min="12322" max="12322" width="20.28515625" style="80" customWidth="1"/>
    <col min="12323" max="12323" width="13.85546875" style="80" customWidth="1"/>
    <col min="12324" max="12324" width="19.140625" style="80" customWidth="1"/>
    <col min="12325" max="12325" width="19.7109375" style="80" customWidth="1"/>
    <col min="12326" max="12326" width="16.5703125" style="80" customWidth="1"/>
    <col min="12327" max="12327" width="19.140625" style="80" customWidth="1"/>
    <col min="12328" max="12330" width="16.5703125" style="80" customWidth="1"/>
    <col min="12331" max="12331" width="15.7109375" style="80" customWidth="1"/>
    <col min="12332" max="12332" width="19.42578125" style="80" customWidth="1"/>
    <col min="12333" max="12333" width="14.85546875" style="80" bestFit="1" customWidth="1"/>
    <col min="12334" max="12334" width="13.7109375" style="80" bestFit="1" customWidth="1"/>
    <col min="12335" max="12335" width="13" style="80" customWidth="1"/>
    <col min="12336" max="12336" width="18.42578125" style="80" customWidth="1"/>
    <col min="12337" max="12339" width="13.140625" style="80" customWidth="1"/>
    <col min="12340" max="12340" width="16.42578125" style="80" customWidth="1"/>
    <col min="12341" max="12341" width="13.140625" style="80" customWidth="1"/>
    <col min="12342" max="12342" width="15.28515625" style="80" customWidth="1"/>
    <col min="12343" max="12343" width="14" style="80" bestFit="1" customWidth="1"/>
    <col min="12344" max="12344" width="17.140625" style="80" customWidth="1"/>
    <col min="12345" max="12366" width="16.5703125" style="80" customWidth="1"/>
    <col min="12367" max="12367" width="20.140625" style="80" customWidth="1"/>
    <col min="12368" max="12368" width="13.28515625" style="80" customWidth="1"/>
    <col min="12369" max="12369" width="14.85546875" style="80" customWidth="1"/>
    <col min="12370" max="12370" width="13.85546875" style="80" customWidth="1"/>
    <col min="12371" max="12371" width="13.5703125" style="80" customWidth="1"/>
    <col min="12372" max="12372" width="13" style="80" customWidth="1"/>
    <col min="12373" max="12373" width="13.5703125" style="80" customWidth="1"/>
    <col min="12374" max="12374" width="7.7109375" style="80" bestFit="1" customWidth="1"/>
    <col min="12375" max="12544" width="9.140625" style="80"/>
    <col min="12545" max="12545" width="4.28515625" style="80" customWidth="1"/>
    <col min="12546" max="12546" width="10.140625" style="80" customWidth="1"/>
    <col min="12547" max="12547" width="8.85546875" style="80" customWidth="1"/>
    <col min="12548" max="12548" width="11.140625" style="80" customWidth="1"/>
    <col min="12549" max="12549" width="15" style="80" bestFit="1" customWidth="1"/>
    <col min="12550" max="12550" width="13.5703125" style="80" customWidth="1"/>
    <col min="12551" max="12551" width="11.42578125" style="80" bestFit="1" customWidth="1"/>
    <col min="12552" max="12552" width="11.28515625" style="80" customWidth="1"/>
    <col min="12553" max="12553" width="15.28515625" style="80" bestFit="1" customWidth="1"/>
    <col min="12554" max="12556" width="11.85546875" style="80" customWidth="1"/>
    <col min="12557" max="12557" width="19.140625" style="80" customWidth="1"/>
    <col min="12558" max="12558" width="15" style="80" customWidth="1"/>
    <col min="12559" max="12559" width="15.28515625" style="80" customWidth="1"/>
    <col min="12560" max="12562" width="18.85546875" style="80" customWidth="1"/>
    <col min="12563" max="12563" width="12.7109375" style="80" customWidth="1"/>
    <col min="12564" max="12564" width="13.7109375" style="80" customWidth="1"/>
    <col min="12565" max="12565" width="16.140625" style="80" customWidth="1"/>
    <col min="12566" max="12566" width="17" style="80" customWidth="1"/>
    <col min="12567" max="12567" width="15" style="80" customWidth="1"/>
    <col min="12568" max="12568" width="14.28515625" style="80" customWidth="1"/>
    <col min="12569" max="12569" width="14.85546875" style="80" customWidth="1"/>
    <col min="12570" max="12570" width="17.140625" style="80" customWidth="1"/>
    <col min="12571" max="12571" width="13.5703125" style="80" customWidth="1"/>
    <col min="12572" max="12573" width="14.85546875" style="80" customWidth="1"/>
    <col min="12574" max="12574" width="18.85546875" style="80" customWidth="1"/>
    <col min="12575" max="12575" width="19.42578125" style="80" customWidth="1"/>
    <col min="12576" max="12576" width="16.140625" style="80" customWidth="1"/>
    <col min="12577" max="12577" width="14.5703125" style="80" customWidth="1"/>
    <col min="12578" max="12578" width="20.28515625" style="80" customWidth="1"/>
    <col min="12579" max="12579" width="13.85546875" style="80" customWidth="1"/>
    <col min="12580" max="12580" width="19.140625" style="80" customWidth="1"/>
    <col min="12581" max="12581" width="19.7109375" style="80" customWidth="1"/>
    <col min="12582" max="12582" width="16.5703125" style="80" customWidth="1"/>
    <col min="12583" max="12583" width="19.140625" style="80" customWidth="1"/>
    <col min="12584" max="12586" width="16.5703125" style="80" customWidth="1"/>
    <col min="12587" max="12587" width="15.7109375" style="80" customWidth="1"/>
    <col min="12588" max="12588" width="19.42578125" style="80" customWidth="1"/>
    <col min="12589" max="12589" width="14.85546875" style="80" bestFit="1" customWidth="1"/>
    <col min="12590" max="12590" width="13.7109375" style="80" bestFit="1" customWidth="1"/>
    <col min="12591" max="12591" width="13" style="80" customWidth="1"/>
    <col min="12592" max="12592" width="18.42578125" style="80" customWidth="1"/>
    <col min="12593" max="12595" width="13.140625" style="80" customWidth="1"/>
    <col min="12596" max="12596" width="16.42578125" style="80" customWidth="1"/>
    <col min="12597" max="12597" width="13.140625" style="80" customWidth="1"/>
    <col min="12598" max="12598" width="15.28515625" style="80" customWidth="1"/>
    <col min="12599" max="12599" width="14" style="80" bestFit="1" customWidth="1"/>
    <col min="12600" max="12600" width="17.140625" style="80" customWidth="1"/>
    <col min="12601" max="12622" width="16.5703125" style="80" customWidth="1"/>
    <col min="12623" max="12623" width="20.140625" style="80" customWidth="1"/>
    <col min="12624" max="12624" width="13.28515625" style="80" customWidth="1"/>
    <col min="12625" max="12625" width="14.85546875" style="80" customWidth="1"/>
    <col min="12626" max="12626" width="13.85546875" style="80" customWidth="1"/>
    <col min="12627" max="12627" width="13.5703125" style="80" customWidth="1"/>
    <col min="12628" max="12628" width="13" style="80" customWidth="1"/>
    <col min="12629" max="12629" width="13.5703125" style="80" customWidth="1"/>
    <col min="12630" max="12630" width="7.7109375" style="80" bestFit="1" customWidth="1"/>
    <col min="12631" max="12800" width="9.140625" style="80"/>
    <col min="12801" max="12801" width="4.28515625" style="80" customWidth="1"/>
    <col min="12802" max="12802" width="10.140625" style="80" customWidth="1"/>
    <col min="12803" max="12803" width="8.85546875" style="80" customWidth="1"/>
    <col min="12804" max="12804" width="11.140625" style="80" customWidth="1"/>
    <col min="12805" max="12805" width="15" style="80" bestFit="1" customWidth="1"/>
    <col min="12806" max="12806" width="13.5703125" style="80" customWidth="1"/>
    <col min="12807" max="12807" width="11.42578125" style="80" bestFit="1" customWidth="1"/>
    <col min="12808" max="12808" width="11.28515625" style="80" customWidth="1"/>
    <col min="12809" max="12809" width="15.28515625" style="80" bestFit="1" customWidth="1"/>
    <col min="12810" max="12812" width="11.85546875" style="80" customWidth="1"/>
    <col min="12813" max="12813" width="19.140625" style="80" customWidth="1"/>
    <col min="12814" max="12814" width="15" style="80" customWidth="1"/>
    <col min="12815" max="12815" width="15.28515625" style="80" customWidth="1"/>
    <col min="12816" max="12818" width="18.85546875" style="80" customWidth="1"/>
    <col min="12819" max="12819" width="12.7109375" style="80" customWidth="1"/>
    <col min="12820" max="12820" width="13.7109375" style="80" customWidth="1"/>
    <col min="12821" max="12821" width="16.140625" style="80" customWidth="1"/>
    <col min="12822" max="12822" width="17" style="80" customWidth="1"/>
    <col min="12823" max="12823" width="15" style="80" customWidth="1"/>
    <col min="12824" max="12824" width="14.28515625" style="80" customWidth="1"/>
    <col min="12825" max="12825" width="14.85546875" style="80" customWidth="1"/>
    <col min="12826" max="12826" width="17.140625" style="80" customWidth="1"/>
    <col min="12827" max="12827" width="13.5703125" style="80" customWidth="1"/>
    <col min="12828" max="12829" width="14.85546875" style="80" customWidth="1"/>
    <col min="12830" max="12830" width="18.85546875" style="80" customWidth="1"/>
    <col min="12831" max="12831" width="19.42578125" style="80" customWidth="1"/>
    <col min="12832" max="12832" width="16.140625" style="80" customWidth="1"/>
    <col min="12833" max="12833" width="14.5703125" style="80" customWidth="1"/>
    <col min="12834" max="12834" width="20.28515625" style="80" customWidth="1"/>
    <col min="12835" max="12835" width="13.85546875" style="80" customWidth="1"/>
    <col min="12836" max="12836" width="19.140625" style="80" customWidth="1"/>
    <col min="12837" max="12837" width="19.7109375" style="80" customWidth="1"/>
    <col min="12838" max="12838" width="16.5703125" style="80" customWidth="1"/>
    <col min="12839" max="12839" width="19.140625" style="80" customWidth="1"/>
    <col min="12840" max="12842" width="16.5703125" style="80" customWidth="1"/>
    <col min="12843" max="12843" width="15.7109375" style="80" customWidth="1"/>
    <col min="12844" max="12844" width="19.42578125" style="80" customWidth="1"/>
    <col min="12845" max="12845" width="14.85546875" style="80" bestFit="1" customWidth="1"/>
    <col min="12846" max="12846" width="13.7109375" style="80" bestFit="1" customWidth="1"/>
    <col min="12847" max="12847" width="13" style="80" customWidth="1"/>
    <col min="12848" max="12848" width="18.42578125" style="80" customWidth="1"/>
    <col min="12849" max="12851" width="13.140625" style="80" customWidth="1"/>
    <col min="12852" max="12852" width="16.42578125" style="80" customWidth="1"/>
    <col min="12853" max="12853" width="13.140625" style="80" customWidth="1"/>
    <col min="12854" max="12854" width="15.28515625" style="80" customWidth="1"/>
    <col min="12855" max="12855" width="14" style="80" bestFit="1" customWidth="1"/>
    <col min="12856" max="12856" width="17.140625" style="80" customWidth="1"/>
    <col min="12857" max="12878" width="16.5703125" style="80" customWidth="1"/>
    <col min="12879" max="12879" width="20.140625" style="80" customWidth="1"/>
    <col min="12880" max="12880" width="13.28515625" style="80" customWidth="1"/>
    <col min="12881" max="12881" width="14.85546875" style="80" customWidth="1"/>
    <col min="12882" max="12882" width="13.85546875" style="80" customWidth="1"/>
    <col min="12883" max="12883" width="13.5703125" style="80" customWidth="1"/>
    <col min="12884" max="12884" width="13" style="80" customWidth="1"/>
    <col min="12885" max="12885" width="13.5703125" style="80" customWidth="1"/>
    <col min="12886" max="12886" width="7.7109375" style="80" bestFit="1" customWidth="1"/>
    <col min="12887" max="13056" width="9.140625" style="80"/>
    <col min="13057" max="13057" width="4.28515625" style="80" customWidth="1"/>
    <col min="13058" max="13058" width="10.140625" style="80" customWidth="1"/>
    <col min="13059" max="13059" width="8.85546875" style="80" customWidth="1"/>
    <col min="13060" max="13060" width="11.140625" style="80" customWidth="1"/>
    <col min="13061" max="13061" width="15" style="80" bestFit="1" customWidth="1"/>
    <col min="13062" max="13062" width="13.5703125" style="80" customWidth="1"/>
    <col min="13063" max="13063" width="11.42578125" style="80" bestFit="1" customWidth="1"/>
    <col min="13064" max="13064" width="11.28515625" style="80" customWidth="1"/>
    <col min="13065" max="13065" width="15.28515625" style="80" bestFit="1" customWidth="1"/>
    <col min="13066" max="13068" width="11.85546875" style="80" customWidth="1"/>
    <col min="13069" max="13069" width="19.140625" style="80" customWidth="1"/>
    <col min="13070" max="13070" width="15" style="80" customWidth="1"/>
    <col min="13071" max="13071" width="15.28515625" style="80" customWidth="1"/>
    <col min="13072" max="13074" width="18.85546875" style="80" customWidth="1"/>
    <col min="13075" max="13075" width="12.7109375" style="80" customWidth="1"/>
    <col min="13076" max="13076" width="13.7109375" style="80" customWidth="1"/>
    <col min="13077" max="13077" width="16.140625" style="80" customWidth="1"/>
    <col min="13078" max="13078" width="17" style="80" customWidth="1"/>
    <col min="13079" max="13079" width="15" style="80" customWidth="1"/>
    <col min="13080" max="13080" width="14.28515625" style="80" customWidth="1"/>
    <col min="13081" max="13081" width="14.85546875" style="80" customWidth="1"/>
    <col min="13082" max="13082" width="17.140625" style="80" customWidth="1"/>
    <col min="13083" max="13083" width="13.5703125" style="80" customWidth="1"/>
    <col min="13084" max="13085" width="14.85546875" style="80" customWidth="1"/>
    <col min="13086" max="13086" width="18.85546875" style="80" customWidth="1"/>
    <col min="13087" max="13087" width="19.42578125" style="80" customWidth="1"/>
    <col min="13088" max="13088" width="16.140625" style="80" customWidth="1"/>
    <col min="13089" max="13089" width="14.5703125" style="80" customWidth="1"/>
    <col min="13090" max="13090" width="20.28515625" style="80" customWidth="1"/>
    <col min="13091" max="13091" width="13.85546875" style="80" customWidth="1"/>
    <col min="13092" max="13092" width="19.140625" style="80" customWidth="1"/>
    <col min="13093" max="13093" width="19.7109375" style="80" customWidth="1"/>
    <col min="13094" max="13094" width="16.5703125" style="80" customWidth="1"/>
    <col min="13095" max="13095" width="19.140625" style="80" customWidth="1"/>
    <col min="13096" max="13098" width="16.5703125" style="80" customWidth="1"/>
    <col min="13099" max="13099" width="15.7109375" style="80" customWidth="1"/>
    <col min="13100" max="13100" width="19.42578125" style="80" customWidth="1"/>
    <col min="13101" max="13101" width="14.85546875" style="80" bestFit="1" customWidth="1"/>
    <col min="13102" max="13102" width="13.7109375" style="80" bestFit="1" customWidth="1"/>
    <col min="13103" max="13103" width="13" style="80" customWidth="1"/>
    <col min="13104" max="13104" width="18.42578125" style="80" customWidth="1"/>
    <col min="13105" max="13107" width="13.140625" style="80" customWidth="1"/>
    <col min="13108" max="13108" width="16.42578125" style="80" customWidth="1"/>
    <col min="13109" max="13109" width="13.140625" style="80" customWidth="1"/>
    <col min="13110" max="13110" width="15.28515625" style="80" customWidth="1"/>
    <col min="13111" max="13111" width="14" style="80" bestFit="1" customWidth="1"/>
    <col min="13112" max="13112" width="17.140625" style="80" customWidth="1"/>
    <col min="13113" max="13134" width="16.5703125" style="80" customWidth="1"/>
    <col min="13135" max="13135" width="20.140625" style="80" customWidth="1"/>
    <col min="13136" max="13136" width="13.28515625" style="80" customWidth="1"/>
    <col min="13137" max="13137" width="14.85546875" style="80" customWidth="1"/>
    <col min="13138" max="13138" width="13.85546875" style="80" customWidth="1"/>
    <col min="13139" max="13139" width="13.5703125" style="80" customWidth="1"/>
    <col min="13140" max="13140" width="13" style="80" customWidth="1"/>
    <col min="13141" max="13141" width="13.5703125" style="80" customWidth="1"/>
    <col min="13142" max="13142" width="7.7109375" style="80" bestFit="1" customWidth="1"/>
    <col min="13143" max="13312" width="9.140625" style="80"/>
    <col min="13313" max="13313" width="4.28515625" style="80" customWidth="1"/>
    <col min="13314" max="13314" width="10.140625" style="80" customWidth="1"/>
    <col min="13315" max="13315" width="8.85546875" style="80" customWidth="1"/>
    <col min="13316" max="13316" width="11.140625" style="80" customWidth="1"/>
    <col min="13317" max="13317" width="15" style="80" bestFit="1" customWidth="1"/>
    <col min="13318" max="13318" width="13.5703125" style="80" customWidth="1"/>
    <col min="13319" max="13319" width="11.42578125" style="80" bestFit="1" customWidth="1"/>
    <col min="13320" max="13320" width="11.28515625" style="80" customWidth="1"/>
    <col min="13321" max="13321" width="15.28515625" style="80" bestFit="1" customWidth="1"/>
    <col min="13322" max="13324" width="11.85546875" style="80" customWidth="1"/>
    <col min="13325" max="13325" width="19.140625" style="80" customWidth="1"/>
    <col min="13326" max="13326" width="15" style="80" customWidth="1"/>
    <col min="13327" max="13327" width="15.28515625" style="80" customWidth="1"/>
    <col min="13328" max="13330" width="18.85546875" style="80" customWidth="1"/>
    <col min="13331" max="13331" width="12.7109375" style="80" customWidth="1"/>
    <col min="13332" max="13332" width="13.7109375" style="80" customWidth="1"/>
    <col min="13333" max="13333" width="16.140625" style="80" customWidth="1"/>
    <col min="13334" max="13334" width="17" style="80" customWidth="1"/>
    <col min="13335" max="13335" width="15" style="80" customWidth="1"/>
    <col min="13336" max="13336" width="14.28515625" style="80" customWidth="1"/>
    <col min="13337" max="13337" width="14.85546875" style="80" customWidth="1"/>
    <col min="13338" max="13338" width="17.140625" style="80" customWidth="1"/>
    <col min="13339" max="13339" width="13.5703125" style="80" customWidth="1"/>
    <col min="13340" max="13341" width="14.85546875" style="80" customWidth="1"/>
    <col min="13342" max="13342" width="18.85546875" style="80" customWidth="1"/>
    <col min="13343" max="13343" width="19.42578125" style="80" customWidth="1"/>
    <col min="13344" max="13344" width="16.140625" style="80" customWidth="1"/>
    <col min="13345" max="13345" width="14.5703125" style="80" customWidth="1"/>
    <col min="13346" max="13346" width="20.28515625" style="80" customWidth="1"/>
    <col min="13347" max="13347" width="13.85546875" style="80" customWidth="1"/>
    <col min="13348" max="13348" width="19.140625" style="80" customWidth="1"/>
    <col min="13349" max="13349" width="19.7109375" style="80" customWidth="1"/>
    <col min="13350" max="13350" width="16.5703125" style="80" customWidth="1"/>
    <col min="13351" max="13351" width="19.140625" style="80" customWidth="1"/>
    <col min="13352" max="13354" width="16.5703125" style="80" customWidth="1"/>
    <col min="13355" max="13355" width="15.7109375" style="80" customWidth="1"/>
    <col min="13356" max="13356" width="19.42578125" style="80" customWidth="1"/>
    <col min="13357" max="13357" width="14.85546875" style="80" bestFit="1" customWidth="1"/>
    <col min="13358" max="13358" width="13.7109375" style="80" bestFit="1" customWidth="1"/>
    <col min="13359" max="13359" width="13" style="80" customWidth="1"/>
    <col min="13360" max="13360" width="18.42578125" style="80" customWidth="1"/>
    <col min="13361" max="13363" width="13.140625" style="80" customWidth="1"/>
    <col min="13364" max="13364" width="16.42578125" style="80" customWidth="1"/>
    <col min="13365" max="13365" width="13.140625" style="80" customWidth="1"/>
    <col min="13366" max="13366" width="15.28515625" style="80" customWidth="1"/>
    <col min="13367" max="13367" width="14" style="80" bestFit="1" customWidth="1"/>
    <col min="13368" max="13368" width="17.140625" style="80" customWidth="1"/>
    <col min="13369" max="13390" width="16.5703125" style="80" customWidth="1"/>
    <col min="13391" max="13391" width="20.140625" style="80" customWidth="1"/>
    <col min="13392" max="13392" width="13.28515625" style="80" customWidth="1"/>
    <col min="13393" max="13393" width="14.85546875" style="80" customWidth="1"/>
    <col min="13394" max="13394" width="13.85546875" style="80" customWidth="1"/>
    <col min="13395" max="13395" width="13.5703125" style="80" customWidth="1"/>
    <col min="13396" max="13396" width="13" style="80" customWidth="1"/>
    <col min="13397" max="13397" width="13.5703125" style="80" customWidth="1"/>
    <col min="13398" max="13398" width="7.7109375" style="80" bestFit="1" customWidth="1"/>
    <col min="13399" max="13568" width="9.140625" style="80"/>
    <col min="13569" max="13569" width="4.28515625" style="80" customWidth="1"/>
    <col min="13570" max="13570" width="10.140625" style="80" customWidth="1"/>
    <col min="13571" max="13571" width="8.85546875" style="80" customWidth="1"/>
    <col min="13572" max="13572" width="11.140625" style="80" customWidth="1"/>
    <col min="13573" max="13573" width="15" style="80" bestFit="1" customWidth="1"/>
    <col min="13574" max="13574" width="13.5703125" style="80" customWidth="1"/>
    <col min="13575" max="13575" width="11.42578125" style="80" bestFit="1" customWidth="1"/>
    <col min="13576" max="13576" width="11.28515625" style="80" customWidth="1"/>
    <col min="13577" max="13577" width="15.28515625" style="80" bestFit="1" customWidth="1"/>
    <col min="13578" max="13580" width="11.85546875" style="80" customWidth="1"/>
    <col min="13581" max="13581" width="19.140625" style="80" customWidth="1"/>
    <col min="13582" max="13582" width="15" style="80" customWidth="1"/>
    <col min="13583" max="13583" width="15.28515625" style="80" customWidth="1"/>
    <col min="13584" max="13586" width="18.85546875" style="80" customWidth="1"/>
    <col min="13587" max="13587" width="12.7109375" style="80" customWidth="1"/>
    <col min="13588" max="13588" width="13.7109375" style="80" customWidth="1"/>
    <col min="13589" max="13589" width="16.140625" style="80" customWidth="1"/>
    <col min="13590" max="13590" width="17" style="80" customWidth="1"/>
    <col min="13591" max="13591" width="15" style="80" customWidth="1"/>
    <col min="13592" max="13592" width="14.28515625" style="80" customWidth="1"/>
    <col min="13593" max="13593" width="14.85546875" style="80" customWidth="1"/>
    <col min="13594" max="13594" width="17.140625" style="80" customWidth="1"/>
    <col min="13595" max="13595" width="13.5703125" style="80" customWidth="1"/>
    <col min="13596" max="13597" width="14.85546875" style="80" customWidth="1"/>
    <col min="13598" max="13598" width="18.85546875" style="80" customWidth="1"/>
    <col min="13599" max="13599" width="19.42578125" style="80" customWidth="1"/>
    <col min="13600" max="13600" width="16.140625" style="80" customWidth="1"/>
    <col min="13601" max="13601" width="14.5703125" style="80" customWidth="1"/>
    <col min="13602" max="13602" width="20.28515625" style="80" customWidth="1"/>
    <col min="13603" max="13603" width="13.85546875" style="80" customWidth="1"/>
    <col min="13604" max="13604" width="19.140625" style="80" customWidth="1"/>
    <col min="13605" max="13605" width="19.7109375" style="80" customWidth="1"/>
    <col min="13606" max="13606" width="16.5703125" style="80" customWidth="1"/>
    <col min="13607" max="13607" width="19.140625" style="80" customWidth="1"/>
    <col min="13608" max="13610" width="16.5703125" style="80" customWidth="1"/>
    <col min="13611" max="13611" width="15.7109375" style="80" customWidth="1"/>
    <col min="13612" max="13612" width="19.42578125" style="80" customWidth="1"/>
    <col min="13613" max="13613" width="14.85546875" style="80" bestFit="1" customWidth="1"/>
    <col min="13614" max="13614" width="13.7109375" style="80" bestFit="1" customWidth="1"/>
    <col min="13615" max="13615" width="13" style="80" customWidth="1"/>
    <col min="13616" max="13616" width="18.42578125" style="80" customWidth="1"/>
    <col min="13617" max="13619" width="13.140625" style="80" customWidth="1"/>
    <col min="13620" max="13620" width="16.42578125" style="80" customWidth="1"/>
    <col min="13621" max="13621" width="13.140625" style="80" customWidth="1"/>
    <col min="13622" max="13622" width="15.28515625" style="80" customWidth="1"/>
    <col min="13623" max="13623" width="14" style="80" bestFit="1" customWidth="1"/>
    <col min="13624" max="13624" width="17.140625" style="80" customWidth="1"/>
    <col min="13625" max="13646" width="16.5703125" style="80" customWidth="1"/>
    <col min="13647" max="13647" width="20.140625" style="80" customWidth="1"/>
    <col min="13648" max="13648" width="13.28515625" style="80" customWidth="1"/>
    <col min="13649" max="13649" width="14.85546875" style="80" customWidth="1"/>
    <col min="13650" max="13650" width="13.85546875" style="80" customWidth="1"/>
    <col min="13651" max="13651" width="13.5703125" style="80" customWidth="1"/>
    <col min="13652" max="13652" width="13" style="80" customWidth="1"/>
    <col min="13653" max="13653" width="13.5703125" style="80" customWidth="1"/>
    <col min="13654" max="13654" width="7.7109375" style="80" bestFit="1" customWidth="1"/>
    <col min="13655" max="13824" width="9.140625" style="80"/>
    <col min="13825" max="13825" width="4.28515625" style="80" customWidth="1"/>
    <col min="13826" max="13826" width="10.140625" style="80" customWidth="1"/>
    <col min="13827" max="13827" width="8.85546875" style="80" customWidth="1"/>
    <col min="13828" max="13828" width="11.140625" style="80" customWidth="1"/>
    <col min="13829" max="13829" width="15" style="80" bestFit="1" customWidth="1"/>
    <col min="13830" max="13830" width="13.5703125" style="80" customWidth="1"/>
    <col min="13831" max="13831" width="11.42578125" style="80" bestFit="1" customWidth="1"/>
    <col min="13832" max="13832" width="11.28515625" style="80" customWidth="1"/>
    <col min="13833" max="13833" width="15.28515625" style="80" bestFit="1" customWidth="1"/>
    <col min="13834" max="13836" width="11.85546875" style="80" customWidth="1"/>
    <col min="13837" max="13837" width="19.140625" style="80" customWidth="1"/>
    <col min="13838" max="13838" width="15" style="80" customWidth="1"/>
    <col min="13839" max="13839" width="15.28515625" style="80" customWidth="1"/>
    <col min="13840" max="13842" width="18.85546875" style="80" customWidth="1"/>
    <col min="13843" max="13843" width="12.7109375" style="80" customWidth="1"/>
    <col min="13844" max="13844" width="13.7109375" style="80" customWidth="1"/>
    <col min="13845" max="13845" width="16.140625" style="80" customWidth="1"/>
    <col min="13846" max="13846" width="17" style="80" customWidth="1"/>
    <col min="13847" max="13847" width="15" style="80" customWidth="1"/>
    <col min="13848" max="13848" width="14.28515625" style="80" customWidth="1"/>
    <col min="13849" max="13849" width="14.85546875" style="80" customWidth="1"/>
    <col min="13850" max="13850" width="17.140625" style="80" customWidth="1"/>
    <col min="13851" max="13851" width="13.5703125" style="80" customWidth="1"/>
    <col min="13852" max="13853" width="14.85546875" style="80" customWidth="1"/>
    <col min="13854" max="13854" width="18.85546875" style="80" customWidth="1"/>
    <col min="13855" max="13855" width="19.42578125" style="80" customWidth="1"/>
    <col min="13856" max="13856" width="16.140625" style="80" customWidth="1"/>
    <col min="13857" max="13857" width="14.5703125" style="80" customWidth="1"/>
    <col min="13858" max="13858" width="20.28515625" style="80" customWidth="1"/>
    <col min="13859" max="13859" width="13.85546875" style="80" customWidth="1"/>
    <col min="13860" max="13860" width="19.140625" style="80" customWidth="1"/>
    <col min="13861" max="13861" width="19.7109375" style="80" customWidth="1"/>
    <col min="13862" max="13862" width="16.5703125" style="80" customWidth="1"/>
    <col min="13863" max="13863" width="19.140625" style="80" customWidth="1"/>
    <col min="13864" max="13866" width="16.5703125" style="80" customWidth="1"/>
    <col min="13867" max="13867" width="15.7109375" style="80" customWidth="1"/>
    <col min="13868" max="13868" width="19.42578125" style="80" customWidth="1"/>
    <col min="13869" max="13869" width="14.85546875" style="80" bestFit="1" customWidth="1"/>
    <col min="13870" max="13870" width="13.7109375" style="80" bestFit="1" customWidth="1"/>
    <col min="13871" max="13871" width="13" style="80" customWidth="1"/>
    <col min="13872" max="13872" width="18.42578125" style="80" customWidth="1"/>
    <col min="13873" max="13875" width="13.140625" style="80" customWidth="1"/>
    <col min="13876" max="13876" width="16.42578125" style="80" customWidth="1"/>
    <col min="13877" max="13877" width="13.140625" style="80" customWidth="1"/>
    <col min="13878" max="13878" width="15.28515625" style="80" customWidth="1"/>
    <col min="13879" max="13879" width="14" style="80" bestFit="1" customWidth="1"/>
    <col min="13880" max="13880" width="17.140625" style="80" customWidth="1"/>
    <col min="13881" max="13902" width="16.5703125" style="80" customWidth="1"/>
    <col min="13903" max="13903" width="20.140625" style="80" customWidth="1"/>
    <col min="13904" max="13904" width="13.28515625" style="80" customWidth="1"/>
    <col min="13905" max="13905" width="14.85546875" style="80" customWidth="1"/>
    <col min="13906" max="13906" width="13.85546875" style="80" customWidth="1"/>
    <col min="13907" max="13907" width="13.5703125" style="80" customWidth="1"/>
    <col min="13908" max="13908" width="13" style="80" customWidth="1"/>
    <col min="13909" max="13909" width="13.5703125" style="80" customWidth="1"/>
    <col min="13910" max="13910" width="7.7109375" style="80" bestFit="1" customWidth="1"/>
    <col min="13911" max="14080" width="9.140625" style="80"/>
    <col min="14081" max="14081" width="4.28515625" style="80" customWidth="1"/>
    <col min="14082" max="14082" width="10.140625" style="80" customWidth="1"/>
    <col min="14083" max="14083" width="8.85546875" style="80" customWidth="1"/>
    <col min="14084" max="14084" width="11.140625" style="80" customWidth="1"/>
    <col min="14085" max="14085" width="15" style="80" bestFit="1" customWidth="1"/>
    <col min="14086" max="14086" width="13.5703125" style="80" customWidth="1"/>
    <col min="14087" max="14087" width="11.42578125" style="80" bestFit="1" customWidth="1"/>
    <col min="14088" max="14088" width="11.28515625" style="80" customWidth="1"/>
    <col min="14089" max="14089" width="15.28515625" style="80" bestFit="1" customWidth="1"/>
    <col min="14090" max="14092" width="11.85546875" style="80" customWidth="1"/>
    <col min="14093" max="14093" width="19.140625" style="80" customWidth="1"/>
    <col min="14094" max="14094" width="15" style="80" customWidth="1"/>
    <col min="14095" max="14095" width="15.28515625" style="80" customWidth="1"/>
    <col min="14096" max="14098" width="18.85546875" style="80" customWidth="1"/>
    <col min="14099" max="14099" width="12.7109375" style="80" customWidth="1"/>
    <col min="14100" max="14100" width="13.7109375" style="80" customWidth="1"/>
    <col min="14101" max="14101" width="16.140625" style="80" customWidth="1"/>
    <col min="14102" max="14102" width="17" style="80" customWidth="1"/>
    <col min="14103" max="14103" width="15" style="80" customWidth="1"/>
    <col min="14104" max="14104" width="14.28515625" style="80" customWidth="1"/>
    <col min="14105" max="14105" width="14.85546875" style="80" customWidth="1"/>
    <col min="14106" max="14106" width="17.140625" style="80" customWidth="1"/>
    <col min="14107" max="14107" width="13.5703125" style="80" customWidth="1"/>
    <col min="14108" max="14109" width="14.85546875" style="80" customWidth="1"/>
    <col min="14110" max="14110" width="18.85546875" style="80" customWidth="1"/>
    <col min="14111" max="14111" width="19.42578125" style="80" customWidth="1"/>
    <col min="14112" max="14112" width="16.140625" style="80" customWidth="1"/>
    <col min="14113" max="14113" width="14.5703125" style="80" customWidth="1"/>
    <col min="14114" max="14114" width="20.28515625" style="80" customWidth="1"/>
    <col min="14115" max="14115" width="13.85546875" style="80" customWidth="1"/>
    <col min="14116" max="14116" width="19.140625" style="80" customWidth="1"/>
    <col min="14117" max="14117" width="19.7109375" style="80" customWidth="1"/>
    <col min="14118" max="14118" width="16.5703125" style="80" customWidth="1"/>
    <col min="14119" max="14119" width="19.140625" style="80" customWidth="1"/>
    <col min="14120" max="14122" width="16.5703125" style="80" customWidth="1"/>
    <col min="14123" max="14123" width="15.7109375" style="80" customWidth="1"/>
    <col min="14124" max="14124" width="19.42578125" style="80" customWidth="1"/>
    <col min="14125" max="14125" width="14.85546875" style="80" bestFit="1" customWidth="1"/>
    <col min="14126" max="14126" width="13.7109375" style="80" bestFit="1" customWidth="1"/>
    <col min="14127" max="14127" width="13" style="80" customWidth="1"/>
    <col min="14128" max="14128" width="18.42578125" style="80" customWidth="1"/>
    <col min="14129" max="14131" width="13.140625" style="80" customWidth="1"/>
    <col min="14132" max="14132" width="16.42578125" style="80" customWidth="1"/>
    <col min="14133" max="14133" width="13.140625" style="80" customWidth="1"/>
    <col min="14134" max="14134" width="15.28515625" style="80" customWidth="1"/>
    <col min="14135" max="14135" width="14" style="80" bestFit="1" customWidth="1"/>
    <col min="14136" max="14136" width="17.140625" style="80" customWidth="1"/>
    <col min="14137" max="14158" width="16.5703125" style="80" customWidth="1"/>
    <col min="14159" max="14159" width="20.140625" style="80" customWidth="1"/>
    <col min="14160" max="14160" width="13.28515625" style="80" customWidth="1"/>
    <col min="14161" max="14161" width="14.85546875" style="80" customWidth="1"/>
    <col min="14162" max="14162" width="13.85546875" style="80" customWidth="1"/>
    <col min="14163" max="14163" width="13.5703125" style="80" customWidth="1"/>
    <col min="14164" max="14164" width="13" style="80" customWidth="1"/>
    <col min="14165" max="14165" width="13.5703125" style="80" customWidth="1"/>
    <col min="14166" max="14166" width="7.7109375" style="80" bestFit="1" customWidth="1"/>
    <col min="14167" max="14336" width="9.140625" style="80"/>
    <col min="14337" max="14337" width="4.28515625" style="80" customWidth="1"/>
    <col min="14338" max="14338" width="10.140625" style="80" customWidth="1"/>
    <col min="14339" max="14339" width="8.85546875" style="80" customWidth="1"/>
    <col min="14340" max="14340" width="11.140625" style="80" customWidth="1"/>
    <col min="14341" max="14341" width="15" style="80" bestFit="1" customWidth="1"/>
    <col min="14342" max="14342" width="13.5703125" style="80" customWidth="1"/>
    <col min="14343" max="14343" width="11.42578125" style="80" bestFit="1" customWidth="1"/>
    <col min="14344" max="14344" width="11.28515625" style="80" customWidth="1"/>
    <col min="14345" max="14345" width="15.28515625" style="80" bestFit="1" customWidth="1"/>
    <col min="14346" max="14348" width="11.85546875" style="80" customWidth="1"/>
    <col min="14349" max="14349" width="19.140625" style="80" customWidth="1"/>
    <col min="14350" max="14350" width="15" style="80" customWidth="1"/>
    <col min="14351" max="14351" width="15.28515625" style="80" customWidth="1"/>
    <col min="14352" max="14354" width="18.85546875" style="80" customWidth="1"/>
    <col min="14355" max="14355" width="12.7109375" style="80" customWidth="1"/>
    <col min="14356" max="14356" width="13.7109375" style="80" customWidth="1"/>
    <col min="14357" max="14357" width="16.140625" style="80" customWidth="1"/>
    <col min="14358" max="14358" width="17" style="80" customWidth="1"/>
    <col min="14359" max="14359" width="15" style="80" customWidth="1"/>
    <col min="14360" max="14360" width="14.28515625" style="80" customWidth="1"/>
    <col min="14361" max="14361" width="14.85546875" style="80" customWidth="1"/>
    <col min="14362" max="14362" width="17.140625" style="80" customWidth="1"/>
    <col min="14363" max="14363" width="13.5703125" style="80" customWidth="1"/>
    <col min="14364" max="14365" width="14.85546875" style="80" customWidth="1"/>
    <col min="14366" max="14366" width="18.85546875" style="80" customWidth="1"/>
    <col min="14367" max="14367" width="19.42578125" style="80" customWidth="1"/>
    <col min="14368" max="14368" width="16.140625" style="80" customWidth="1"/>
    <col min="14369" max="14369" width="14.5703125" style="80" customWidth="1"/>
    <col min="14370" max="14370" width="20.28515625" style="80" customWidth="1"/>
    <col min="14371" max="14371" width="13.85546875" style="80" customWidth="1"/>
    <col min="14372" max="14372" width="19.140625" style="80" customWidth="1"/>
    <col min="14373" max="14373" width="19.7109375" style="80" customWidth="1"/>
    <col min="14374" max="14374" width="16.5703125" style="80" customWidth="1"/>
    <col min="14375" max="14375" width="19.140625" style="80" customWidth="1"/>
    <col min="14376" max="14378" width="16.5703125" style="80" customWidth="1"/>
    <col min="14379" max="14379" width="15.7109375" style="80" customWidth="1"/>
    <col min="14380" max="14380" width="19.42578125" style="80" customWidth="1"/>
    <col min="14381" max="14381" width="14.85546875" style="80" bestFit="1" customWidth="1"/>
    <col min="14382" max="14382" width="13.7109375" style="80" bestFit="1" customWidth="1"/>
    <col min="14383" max="14383" width="13" style="80" customWidth="1"/>
    <col min="14384" max="14384" width="18.42578125" style="80" customWidth="1"/>
    <col min="14385" max="14387" width="13.140625" style="80" customWidth="1"/>
    <col min="14388" max="14388" width="16.42578125" style="80" customWidth="1"/>
    <col min="14389" max="14389" width="13.140625" style="80" customWidth="1"/>
    <col min="14390" max="14390" width="15.28515625" style="80" customWidth="1"/>
    <col min="14391" max="14391" width="14" style="80" bestFit="1" customWidth="1"/>
    <col min="14392" max="14392" width="17.140625" style="80" customWidth="1"/>
    <col min="14393" max="14414" width="16.5703125" style="80" customWidth="1"/>
    <col min="14415" max="14415" width="20.140625" style="80" customWidth="1"/>
    <col min="14416" max="14416" width="13.28515625" style="80" customWidth="1"/>
    <col min="14417" max="14417" width="14.85546875" style="80" customWidth="1"/>
    <col min="14418" max="14418" width="13.85546875" style="80" customWidth="1"/>
    <col min="14419" max="14419" width="13.5703125" style="80" customWidth="1"/>
    <col min="14420" max="14420" width="13" style="80" customWidth="1"/>
    <col min="14421" max="14421" width="13.5703125" style="80" customWidth="1"/>
    <col min="14422" max="14422" width="7.7109375" style="80" bestFit="1" customWidth="1"/>
    <col min="14423" max="14592" width="9.140625" style="80"/>
    <col min="14593" max="14593" width="4.28515625" style="80" customWidth="1"/>
    <col min="14594" max="14594" width="10.140625" style="80" customWidth="1"/>
    <col min="14595" max="14595" width="8.85546875" style="80" customWidth="1"/>
    <col min="14596" max="14596" width="11.140625" style="80" customWidth="1"/>
    <col min="14597" max="14597" width="15" style="80" bestFit="1" customWidth="1"/>
    <col min="14598" max="14598" width="13.5703125" style="80" customWidth="1"/>
    <col min="14599" max="14599" width="11.42578125" style="80" bestFit="1" customWidth="1"/>
    <col min="14600" max="14600" width="11.28515625" style="80" customWidth="1"/>
    <col min="14601" max="14601" width="15.28515625" style="80" bestFit="1" customWidth="1"/>
    <col min="14602" max="14604" width="11.85546875" style="80" customWidth="1"/>
    <col min="14605" max="14605" width="19.140625" style="80" customWidth="1"/>
    <col min="14606" max="14606" width="15" style="80" customWidth="1"/>
    <col min="14607" max="14607" width="15.28515625" style="80" customWidth="1"/>
    <col min="14608" max="14610" width="18.85546875" style="80" customWidth="1"/>
    <col min="14611" max="14611" width="12.7109375" style="80" customWidth="1"/>
    <col min="14612" max="14612" width="13.7109375" style="80" customWidth="1"/>
    <col min="14613" max="14613" width="16.140625" style="80" customWidth="1"/>
    <col min="14614" max="14614" width="17" style="80" customWidth="1"/>
    <col min="14615" max="14615" width="15" style="80" customWidth="1"/>
    <col min="14616" max="14616" width="14.28515625" style="80" customWidth="1"/>
    <col min="14617" max="14617" width="14.85546875" style="80" customWidth="1"/>
    <col min="14618" max="14618" width="17.140625" style="80" customWidth="1"/>
    <col min="14619" max="14619" width="13.5703125" style="80" customWidth="1"/>
    <col min="14620" max="14621" width="14.85546875" style="80" customWidth="1"/>
    <col min="14622" max="14622" width="18.85546875" style="80" customWidth="1"/>
    <col min="14623" max="14623" width="19.42578125" style="80" customWidth="1"/>
    <col min="14624" max="14624" width="16.140625" style="80" customWidth="1"/>
    <col min="14625" max="14625" width="14.5703125" style="80" customWidth="1"/>
    <col min="14626" max="14626" width="20.28515625" style="80" customWidth="1"/>
    <col min="14627" max="14627" width="13.85546875" style="80" customWidth="1"/>
    <col min="14628" max="14628" width="19.140625" style="80" customWidth="1"/>
    <col min="14629" max="14629" width="19.7109375" style="80" customWidth="1"/>
    <col min="14630" max="14630" width="16.5703125" style="80" customWidth="1"/>
    <col min="14631" max="14631" width="19.140625" style="80" customWidth="1"/>
    <col min="14632" max="14634" width="16.5703125" style="80" customWidth="1"/>
    <col min="14635" max="14635" width="15.7109375" style="80" customWidth="1"/>
    <col min="14636" max="14636" width="19.42578125" style="80" customWidth="1"/>
    <col min="14637" max="14637" width="14.85546875" style="80" bestFit="1" customWidth="1"/>
    <col min="14638" max="14638" width="13.7109375" style="80" bestFit="1" customWidth="1"/>
    <col min="14639" max="14639" width="13" style="80" customWidth="1"/>
    <col min="14640" max="14640" width="18.42578125" style="80" customWidth="1"/>
    <col min="14641" max="14643" width="13.140625" style="80" customWidth="1"/>
    <col min="14644" max="14644" width="16.42578125" style="80" customWidth="1"/>
    <col min="14645" max="14645" width="13.140625" style="80" customWidth="1"/>
    <col min="14646" max="14646" width="15.28515625" style="80" customWidth="1"/>
    <col min="14647" max="14647" width="14" style="80" bestFit="1" customWidth="1"/>
    <col min="14648" max="14648" width="17.140625" style="80" customWidth="1"/>
    <col min="14649" max="14670" width="16.5703125" style="80" customWidth="1"/>
    <col min="14671" max="14671" width="20.140625" style="80" customWidth="1"/>
    <col min="14672" max="14672" width="13.28515625" style="80" customWidth="1"/>
    <col min="14673" max="14673" width="14.85546875" style="80" customWidth="1"/>
    <col min="14674" max="14674" width="13.85546875" style="80" customWidth="1"/>
    <col min="14675" max="14675" width="13.5703125" style="80" customWidth="1"/>
    <col min="14676" max="14676" width="13" style="80" customWidth="1"/>
    <col min="14677" max="14677" width="13.5703125" style="80" customWidth="1"/>
    <col min="14678" max="14678" width="7.7109375" style="80" bestFit="1" customWidth="1"/>
    <col min="14679" max="14848" width="9.140625" style="80"/>
    <col min="14849" max="14849" width="4.28515625" style="80" customWidth="1"/>
    <col min="14850" max="14850" width="10.140625" style="80" customWidth="1"/>
    <col min="14851" max="14851" width="8.85546875" style="80" customWidth="1"/>
    <col min="14852" max="14852" width="11.140625" style="80" customWidth="1"/>
    <col min="14853" max="14853" width="15" style="80" bestFit="1" customWidth="1"/>
    <col min="14854" max="14854" width="13.5703125" style="80" customWidth="1"/>
    <col min="14855" max="14855" width="11.42578125" style="80" bestFit="1" customWidth="1"/>
    <col min="14856" max="14856" width="11.28515625" style="80" customWidth="1"/>
    <col min="14857" max="14857" width="15.28515625" style="80" bestFit="1" customWidth="1"/>
    <col min="14858" max="14860" width="11.85546875" style="80" customWidth="1"/>
    <col min="14861" max="14861" width="19.140625" style="80" customWidth="1"/>
    <col min="14862" max="14862" width="15" style="80" customWidth="1"/>
    <col min="14863" max="14863" width="15.28515625" style="80" customWidth="1"/>
    <col min="14864" max="14866" width="18.85546875" style="80" customWidth="1"/>
    <col min="14867" max="14867" width="12.7109375" style="80" customWidth="1"/>
    <col min="14868" max="14868" width="13.7109375" style="80" customWidth="1"/>
    <col min="14869" max="14869" width="16.140625" style="80" customWidth="1"/>
    <col min="14870" max="14870" width="17" style="80" customWidth="1"/>
    <col min="14871" max="14871" width="15" style="80" customWidth="1"/>
    <col min="14872" max="14872" width="14.28515625" style="80" customWidth="1"/>
    <col min="14873" max="14873" width="14.85546875" style="80" customWidth="1"/>
    <col min="14874" max="14874" width="17.140625" style="80" customWidth="1"/>
    <col min="14875" max="14875" width="13.5703125" style="80" customWidth="1"/>
    <col min="14876" max="14877" width="14.85546875" style="80" customWidth="1"/>
    <col min="14878" max="14878" width="18.85546875" style="80" customWidth="1"/>
    <col min="14879" max="14879" width="19.42578125" style="80" customWidth="1"/>
    <col min="14880" max="14880" width="16.140625" style="80" customWidth="1"/>
    <col min="14881" max="14881" width="14.5703125" style="80" customWidth="1"/>
    <col min="14882" max="14882" width="20.28515625" style="80" customWidth="1"/>
    <col min="14883" max="14883" width="13.85546875" style="80" customWidth="1"/>
    <col min="14884" max="14884" width="19.140625" style="80" customWidth="1"/>
    <col min="14885" max="14885" width="19.7109375" style="80" customWidth="1"/>
    <col min="14886" max="14886" width="16.5703125" style="80" customWidth="1"/>
    <col min="14887" max="14887" width="19.140625" style="80" customWidth="1"/>
    <col min="14888" max="14890" width="16.5703125" style="80" customWidth="1"/>
    <col min="14891" max="14891" width="15.7109375" style="80" customWidth="1"/>
    <col min="14892" max="14892" width="19.42578125" style="80" customWidth="1"/>
    <col min="14893" max="14893" width="14.85546875" style="80" bestFit="1" customWidth="1"/>
    <col min="14894" max="14894" width="13.7109375" style="80" bestFit="1" customWidth="1"/>
    <col min="14895" max="14895" width="13" style="80" customWidth="1"/>
    <col min="14896" max="14896" width="18.42578125" style="80" customWidth="1"/>
    <col min="14897" max="14899" width="13.140625" style="80" customWidth="1"/>
    <col min="14900" max="14900" width="16.42578125" style="80" customWidth="1"/>
    <col min="14901" max="14901" width="13.140625" style="80" customWidth="1"/>
    <col min="14902" max="14902" width="15.28515625" style="80" customWidth="1"/>
    <col min="14903" max="14903" width="14" style="80" bestFit="1" customWidth="1"/>
    <col min="14904" max="14904" width="17.140625" style="80" customWidth="1"/>
    <col min="14905" max="14926" width="16.5703125" style="80" customWidth="1"/>
    <col min="14927" max="14927" width="20.140625" style="80" customWidth="1"/>
    <col min="14928" max="14928" width="13.28515625" style="80" customWidth="1"/>
    <col min="14929" max="14929" width="14.85546875" style="80" customWidth="1"/>
    <col min="14930" max="14930" width="13.85546875" style="80" customWidth="1"/>
    <col min="14931" max="14931" width="13.5703125" style="80" customWidth="1"/>
    <col min="14932" max="14932" width="13" style="80" customWidth="1"/>
    <col min="14933" max="14933" width="13.5703125" style="80" customWidth="1"/>
    <col min="14934" max="14934" width="7.7109375" style="80" bestFit="1" customWidth="1"/>
    <col min="14935" max="15104" width="9.140625" style="80"/>
    <col min="15105" max="15105" width="4.28515625" style="80" customWidth="1"/>
    <col min="15106" max="15106" width="10.140625" style="80" customWidth="1"/>
    <col min="15107" max="15107" width="8.85546875" style="80" customWidth="1"/>
    <col min="15108" max="15108" width="11.140625" style="80" customWidth="1"/>
    <col min="15109" max="15109" width="15" style="80" bestFit="1" customWidth="1"/>
    <col min="15110" max="15110" width="13.5703125" style="80" customWidth="1"/>
    <col min="15111" max="15111" width="11.42578125" style="80" bestFit="1" customWidth="1"/>
    <col min="15112" max="15112" width="11.28515625" style="80" customWidth="1"/>
    <col min="15113" max="15113" width="15.28515625" style="80" bestFit="1" customWidth="1"/>
    <col min="15114" max="15116" width="11.85546875" style="80" customWidth="1"/>
    <col min="15117" max="15117" width="19.140625" style="80" customWidth="1"/>
    <col min="15118" max="15118" width="15" style="80" customWidth="1"/>
    <col min="15119" max="15119" width="15.28515625" style="80" customWidth="1"/>
    <col min="15120" max="15122" width="18.85546875" style="80" customWidth="1"/>
    <col min="15123" max="15123" width="12.7109375" style="80" customWidth="1"/>
    <col min="15124" max="15124" width="13.7109375" style="80" customWidth="1"/>
    <col min="15125" max="15125" width="16.140625" style="80" customWidth="1"/>
    <col min="15126" max="15126" width="17" style="80" customWidth="1"/>
    <col min="15127" max="15127" width="15" style="80" customWidth="1"/>
    <col min="15128" max="15128" width="14.28515625" style="80" customWidth="1"/>
    <col min="15129" max="15129" width="14.85546875" style="80" customWidth="1"/>
    <col min="15130" max="15130" width="17.140625" style="80" customWidth="1"/>
    <col min="15131" max="15131" width="13.5703125" style="80" customWidth="1"/>
    <col min="15132" max="15133" width="14.85546875" style="80" customWidth="1"/>
    <col min="15134" max="15134" width="18.85546875" style="80" customWidth="1"/>
    <col min="15135" max="15135" width="19.42578125" style="80" customWidth="1"/>
    <col min="15136" max="15136" width="16.140625" style="80" customWidth="1"/>
    <col min="15137" max="15137" width="14.5703125" style="80" customWidth="1"/>
    <col min="15138" max="15138" width="20.28515625" style="80" customWidth="1"/>
    <col min="15139" max="15139" width="13.85546875" style="80" customWidth="1"/>
    <col min="15140" max="15140" width="19.140625" style="80" customWidth="1"/>
    <col min="15141" max="15141" width="19.7109375" style="80" customWidth="1"/>
    <col min="15142" max="15142" width="16.5703125" style="80" customWidth="1"/>
    <col min="15143" max="15143" width="19.140625" style="80" customWidth="1"/>
    <col min="15144" max="15146" width="16.5703125" style="80" customWidth="1"/>
    <col min="15147" max="15147" width="15.7109375" style="80" customWidth="1"/>
    <col min="15148" max="15148" width="19.42578125" style="80" customWidth="1"/>
    <col min="15149" max="15149" width="14.85546875" style="80" bestFit="1" customWidth="1"/>
    <col min="15150" max="15150" width="13.7109375" style="80" bestFit="1" customWidth="1"/>
    <col min="15151" max="15151" width="13" style="80" customWidth="1"/>
    <col min="15152" max="15152" width="18.42578125" style="80" customWidth="1"/>
    <col min="15153" max="15155" width="13.140625" style="80" customWidth="1"/>
    <col min="15156" max="15156" width="16.42578125" style="80" customWidth="1"/>
    <col min="15157" max="15157" width="13.140625" style="80" customWidth="1"/>
    <col min="15158" max="15158" width="15.28515625" style="80" customWidth="1"/>
    <col min="15159" max="15159" width="14" style="80" bestFit="1" customWidth="1"/>
    <col min="15160" max="15160" width="17.140625" style="80" customWidth="1"/>
    <col min="15161" max="15182" width="16.5703125" style="80" customWidth="1"/>
    <col min="15183" max="15183" width="20.140625" style="80" customWidth="1"/>
    <col min="15184" max="15184" width="13.28515625" style="80" customWidth="1"/>
    <col min="15185" max="15185" width="14.85546875" style="80" customWidth="1"/>
    <col min="15186" max="15186" width="13.85546875" style="80" customWidth="1"/>
    <col min="15187" max="15187" width="13.5703125" style="80" customWidth="1"/>
    <col min="15188" max="15188" width="13" style="80" customWidth="1"/>
    <col min="15189" max="15189" width="13.5703125" style="80" customWidth="1"/>
    <col min="15190" max="15190" width="7.7109375" style="80" bestFit="1" customWidth="1"/>
    <col min="15191" max="15360" width="9.140625" style="80"/>
    <col min="15361" max="15361" width="4.28515625" style="80" customWidth="1"/>
    <col min="15362" max="15362" width="10.140625" style="80" customWidth="1"/>
    <col min="15363" max="15363" width="8.85546875" style="80" customWidth="1"/>
    <col min="15364" max="15364" width="11.140625" style="80" customWidth="1"/>
    <col min="15365" max="15365" width="15" style="80" bestFit="1" customWidth="1"/>
    <col min="15366" max="15366" width="13.5703125" style="80" customWidth="1"/>
    <col min="15367" max="15367" width="11.42578125" style="80" bestFit="1" customWidth="1"/>
    <col min="15368" max="15368" width="11.28515625" style="80" customWidth="1"/>
    <col min="15369" max="15369" width="15.28515625" style="80" bestFit="1" customWidth="1"/>
    <col min="15370" max="15372" width="11.85546875" style="80" customWidth="1"/>
    <col min="15373" max="15373" width="19.140625" style="80" customWidth="1"/>
    <col min="15374" max="15374" width="15" style="80" customWidth="1"/>
    <col min="15375" max="15375" width="15.28515625" style="80" customWidth="1"/>
    <col min="15376" max="15378" width="18.85546875" style="80" customWidth="1"/>
    <col min="15379" max="15379" width="12.7109375" style="80" customWidth="1"/>
    <col min="15380" max="15380" width="13.7109375" style="80" customWidth="1"/>
    <col min="15381" max="15381" width="16.140625" style="80" customWidth="1"/>
    <col min="15382" max="15382" width="17" style="80" customWidth="1"/>
    <col min="15383" max="15383" width="15" style="80" customWidth="1"/>
    <col min="15384" max="15384" width="14.28515625" style="80" customWidth="1"/>
    <col min="15385" max="15385" width="14.85546875" style="80" customWidth="1"/>
    <col min="15386" max="15386" width="17.140625" style="80" customWidth="1"/>
    <col min="15387" max="15387" width="13.5703125" style="80" customWidth="1"/>
    <col min="15388" max="15389" width="14.85546875" style="80" customWidth="1"/>
    <col min="15390" max="15390" width="18.85546875" style="80" customWidth="1"/>
    <col min="15391" max="15391" width="19.42578125" style="80" customWidth="1"/>
    <col min="15392" max="15392" width="16.140625" style="80" customWidth="1"/>
    <col min="15393" max="15393" width="14.5703125" style="80" customWidth="1"/>
    <col min="15394" max="15394" width="20.28515625" style="80" customWidth="1"/>
    <col min="15395" max="15395" width="13.85546875" style="80" customWidth="1"/>
    <col min="15396" max="15396" width="19.140625" style="80" customWidth="1"/>
    <col min="15397" max="15397" width="19.7109375" style="80" customWidth="1"/>
    <col min="15398" max="15398" width="16.5703125" style="80" customWidth="1"/>
    <col min="15399" max="15399" width="19.140625" style="80" customWidth="1"/>
    <col min="15400" max="15402" width="16.5703125" style="80" customWidth="1"/>
    <col min="15403" max="15403" width="15.7109375" style="80" customWidth="1"/>
    <col min="15404" max="15404" width="19.42578125" style="80" customWidth="1"/>
    <col min="15405" max="15405" width="14.85546875" style="80" bestFit="1" customWidth="1"/>
    <col min="15406" max="15406" width="13.7109375" style="80" bestFit="1" customWidth="1"/>
    <col min="15407" max="15407" width="13" style="80" customWidth="1"/>
    <col min="15408" max="15408" width="18.42578125" style="80" customWidth="1"/>
    <col min="15409" max="15411" width="13.140625" style="80" customWidth="1"/>
    <col min="15412" max="15412" width="16.42578125" style="80" customWidth="1"/>
    <col min="15413" max="15413" width="13.140625" style="80" customWidth="1"/>
    <col min="15414" max="15414" width="15.28515625" style="80" customWidth="1"/>
    <col min="15415" max="15415" width="14" style="80" bestFit="1" customWidth="1"/>
    <col min="15416" max="15416" width="17.140625" style="80" customWidth="1"/>
    <col min="15417" max="15438" width="16.5703125" style="80" customWidth="1"/>
    <col min="15439" max="15439" width="20.140625" style="80" customWidth="1"/>
    <col min="15440" max="15440" width="13.28515625" style="80" customWidth="1"/>
    <col min="15441" max="15441" width="14.85546875" style="80" customWidth="1"/>
    <col min="15442" max="15442" width="13.85546875" style="80" customWidth="1"/>
    <col min="15443" max="15443" width="13.5703125" style="80" customWidth="1"/>
    <col min="15444" max="15444" width="13" style="80" customWidth="1"/>
    <col min="15445" max="15445" width="13.5703125" style="80" customWidth="1"/>
    <col min="15446" max="15446" width="7.7109375" style="80" bestFit="1" customWidth="1"/>
    <col min="15447" max="15616" width="9.140625" style="80"/>
    <col min="15617" max="15617" width="4.28515625" style="80" customWidth="1"/>
    <col min="15618" max="15618" width="10.140625" style="80" customWidth="1"/>
    <col min="15619" max="15619" width="8.85546875" style="80" customWidth="1"/>
    <col min="15620" max="15620" width="11.140625" style="80" customWidth="1"/>
    <col min="15621" max="15621" width="15" style="80" bestFit="1" customWidth="1"/>
    <col min="15622" max="15622" width="13.5703125" style="80" customWidth="1"/>
    <col min="15623" max="15623" width="11.42578125" style="80" bestFit="1" customWidth="1"/>
    <col min="15624" max="15624" width="11.28515625" style="80" customWidth="1"/>
    <col min="15625" max="15625" width="15.28515625" style="80" bestFit="1" customWidth="1"/>
    <col min="15626" max="15628" width="11.85546875" style="80" customWidth="1"/>
    <col min="15629" max="15629" width="19.140625" style="80" customWidth="1"/>
    <col min="15630" max="15630" width="15" style="80" customWidth="1"/>
    <col min="15631" max="15631" width="15.28515625" style="80" customWidth="1"/>
    <col min="15632" max="15634" width="18.85546875" style="80" customWidth="1"/>
    <col min="15635" max="15635" width="12.7109375" style="80" customWidth="1"/>
    <col min="15636" max="15636" width="13.7109375" style="80" customWidth="1"/>
    <col min="15637" max="15637" width="16.140625" style="80" customWidth="1"/>
    <col min="15638" max="15638" width="17" style="80" customWidth="1"/>
    <col min="15639" max="15639" width="15" style="80" customWidth="1"/>
    <col min="15640" max="15640" width="14.28515625" style="80" customWidth="1"/>
    <col min="15641" max="15641" width="14.85546875" style="80" customWidth="1"/>
    <col min="15642" max="15642" width="17.140625" style="80" customWidth="1"/>
    <col min="15643" max="15643" width="13.5703125" style="80" customWidth="1"/>
    <col min="15644" max="15645" width="14.85546875" style="80" customWidth="1"/>
    <col min="15646" max="15646" width="18.85546875" style="80" customWidth="1"/>
    <col min="15647" max="15647" width="19.42578125" style="80" customWidth="1"/>
    <col min="15648" max="15648" width="16.140625" style="80" customWidth="1"/>
    <col min="15649" max="15649" width="14.5703125" style="80" customWidth="1"/>
    <col min="15650" max="15650" width="20.28515625" style="80" customWidth="1"/>
    <col min="15651" max="15651" width="13.85546875" style="80" customWidth="1"/>
    <col min="15652" max="15652" width="19.140625" style="80" customWidth="1"/>
    <col min="15653" max="15653" width="19.7109375" style="80" customWidth="1"/>
    <col min="15654" max="15654" width="16.5703125" style="80" customWidth="1"/>
    <col min="15655" max="15655" width="19.140625" style="80" customWidth="1"/>
    <col min="15656" max="15658" width="16.5703125" style="80" customWidth="1"/>
    <col min="15659" max="15659" width="15.7109375" style="80" customWidth="1"/>
    <col min="15660" max="15660" width="19.42578125" style="80" customWidth="1"/>
    <col min="15661" max="15661" width="14.85546875" style="80" bestFit="1" customWidth="1"/>
    <col min="15662" max="15662" width="13.7109375" style="80" bestFit="1" customWidth="1"/>
    <col min="15663" max="15663" width="13" style="80" customWidth="1"/>
    <col min="15664" max="15664" width="18.42578125" style="80" customWidth="1"/>
    <col min="15665" max="15667" width="13.140625" style="80" customWidth="1"/>
    <col min="15668" max="15668" width="16.42578125" style="80" customWidth="1"/>
    <col min="15669" max="15669" width="13.140625" style="80" customWidth="1"/>
    <col min="15670" max="15670" width="15.28515625" style="80" customWidth="1"/>
    <col min="15671" max="15671" width="14" style="80" bestFit="1" customWidth="1"/>
    <col min="15672" max="15672" width="17.140625" style="80" customWidth="1"/>
    <col min="15673" max="15694" width="16.5703125" style="80" customWidth="1"/>
    <col min="15695" max="15695" width="20.140625" style="80" customWidth="1"/>
    <col min="15696" max="15696" width="13.28515625" style="80" customWidth="1"/>
    <col min="15697" max="15697" width="14.85546875" style="80" customWidth="1"/>
    <col min="15698" max="15698" width="13.85546875" style="80" customWidth="1"/>
    <col min="15699" max="15699" width="13.5703125" style="80" customWidth="1"/>
    <col min="15700" max="15700" width="13" style="80" customWidth="1"/>
    <col min="15701" max="15701" width="13.5703125" style="80" customWidth="1"/>
    <col min="15702" max="15702" width="7.7109375" style="80" bestFit="1" customWidth="1"/>
    <col min="15703" max="15872" width="9.140625" style="80"/>
    <col min="15873" max="15873" width="4.28515625" style="80" customWidth="1"/>
    <col min="15874" max="15874" width="10.140625" style="80" customWidth="1"/>
    <col min="15875" max="15875" width="8.85546875" style="80" customWidth="1"/>
    <col min="15876" max="15876" width="11.140625" style="80" customWidth="1"/>
    <col min="15877" max="15877" width="15" style="80" bestFit="1" customWidth="1"/>
    <col min="15878" max="15878" width="13.5703125" style="80" customWidth="1"/>
    <col min="15879" max="15879" width="11.42578125" style="80" bestFit="1" customWidth="1"/>
    <col min="15880" max="15880" width="11.28515625" style="80" customWidth="1"/>
    <col min="15881" max="15881" width="15.28515625" style="80" bestFit="1" customWidth="1"/>
    <col min="15882" max="15884" width="11.85546875" style="80" customWidth="1"/>
    <col min="15885" max="15885" width="19.140625" style="80" customWidth="1"/>
    <col min="15886" max="15886" width="15" style="80" customWidth="1"/>
    <col min="15887" max="15887" width="15.28515625" style="80" customWidth="1"/>
    <col min="15888" max="15890" width="18.85546875" style="80" customWidth="1"/>
    <col min="15891" max="15891" width="12.7109375" style="80" customWidth="1"/>
    <col min="15892" max="15892" width="13.7109375" style="80" customWidth="1"/>
    <col min="15893" max="15893" width="16.140625" style="80" customWidth="1"/>
    <col min="15894" max="15894" width="17" style="80" customWidth="1"/>
    <col min="15895" max="15895" width="15" style="80" customWidth="1"/>
    <col min="15896" max="15896" width="14.28515625" style="80" customWidth="1"/>
    <col min="15897" max="15897" width="14.85546875" style="80" customWidth="1"/>
    <col min="15898" max="15898" width="17.140625" style="80" customWidth="1"/>
    <col min="15899" max="15899" width="13.5703125" style="80" customWidth="1"/>
    <col min="15900" max="15901" width="14.85546875" style="80" customWidth="1"/>
    <col min="15902" max="15902" width="18.85546875" style="80" customWidth="1"/>
    <col min="15903" max="15903" width="19.42578125" style="80" customWidth="1"/>
    <col min="15904" max="15904" width="16.140625" style="80" customWidth="1"/>
    <col min="15905" max="15905" width="14.5703125" style="80" customWidth="1"/>
    <col min="15906" max="15906" width="20.28515625" style="80" customWidth="1"/>
    <col min="15907" max="15907" width="13.85546875" style="80" customWidth="1"/>
    <col min="15908" max="15908" width="19.140625" style="80" customWidth="1"/>
    <col min="15909" max="15909" width="19.7109375" style="80" customWidth="1"/>
    <col min="15910" max="15910" width="16.5703125" style="80" customWidth="1"/>
    <col min="15911" max="15911" width="19.140625" style="80" customWidth="1"/>
    <col min="15912" max="15914" width="16.5703125" style="80" customWidth="1"/>
    <col min="15915" max="15915" width="15.7109375" style="80" customWidth="1"/>
    <col min="15916" max="15916" width="19.42578125" style="80" customWidth="1"/>
    <col min="15917" max="15917" width="14.85546875" style="80" bestFit="1" customWidth="1"/>
    <col min="15918" max="15918" width="13.7109375" style="80" bestFit="1" customWidth="1"/>
    <col min="15919" max="15919" width="13" style="80" customWidth="1"/>
    <col min="15920" max="15920" width="18.42578125" style="80" customWidth="1"/>
    <col min="15921" max="15923" width="13.140625" style="80" customWidth="1"/>
    <col min="15924" max="15924" width="16.42578125" style="80" customWidth="1"/>
    <col min="15925" max="15925" width="13.140625" style="80" customWidth="1"/>
    <col min="15926" max="15926" width="15.28515625" style="80" customWidth="1"/>
    <col min="15927" max="15927" width="14" style="80" bestFit="1" customWidth="1"/>
    <col min="15928" max="15928" width="17.140625" style="80" customWidth="1"/>
    <col min="15929" max="15950" width="16.5703125" style="80" customWidth="1"/>
    <col min="15951" max="15951" width="20.140625" style="80" customWidth="1"/>
    <col min="15952" max="15952" width="13.28515625" style="80" customWidth="1"/>
    <col min="15953" max="15953" width="14.85546875" style="80" customWidth="1"/>
    <col min="15954" max="15954" width="13.85546875" style="80" customWidth="1"/>
    <col min="15955" max="15955" width="13.5703125" style="80" customWidth="1"/>
    <col min="15956" max="15956" width="13" style="80" customWidth="1"/>
    <col min="15957" max="15957" width="13.5703125" style="80" customWidth="1"/>
    <col min="15958" max="15958" width="7.7109375" style="80" bestFit="1" customWidth="1"/>
    <col min="15959" max="16128" width="9.140625" style="80"/>
    <col min="16129" max="16129" width="4.28515625" style="80" customWidth="1"/>
    <col min="16130" max="16130" width="10.140625" style="80" customWidth="1"/>
    <col min="16131" max="16131" width="8.85546875" style="80" customWidth="1"/>
    <col min="16132" max="16132" width="11.140625" style="80" customWidth="1"/>
    <col min="16133" max="16133" width="15" style="80" bestFit="1" customWidth="1"/>
    <col min="16134" max="16134" width="13.5703125" style="80" customWidth="1"/>
    <col min="16135" max="16135" width="11.42578125" style="80" bestFit="1" customWidth="1"/>
    <col min="16136" max="16136" width="11.28515625" style="80" customWidth="1"/>
    <col min="16137" max="16137" width="15.28515625" style="80" bestFit="1" customWidth="1"/>
    <col min="16138" max="16140" width="11.85546875" style="80" customWidth="1"/>
    <col min="16141" max="16141" width="19.140625" style="80" customWidth="1"/>
    <col min="16142" max="16142" width="15" style="80" customWidth="1"/>
    <col min="16143" max="16143" width="15.28515625" style="80" customWidth="1"/>
    <col min="16144" max="16146" width="18.85546875" style="80" customWidth="1"/>
    <col min="16147" max="16147" width="12.7109375" style="80" customWidth="1"/>
    <col min="16148" max="16148" width="13.7109375" style="80" customWidth="1"/>
    <col min="16149" max="16149" width="16.140625" style="80" customWidth="1"/>
    <col min="16150" max="16150" width="17" style="80" customWidth="1"/>
    <col min="16151" max="16151" width="15" style="80" customWidth="1"/>
    <col min="16152" max="16152" width="14.28515625" style="80" customWidth="1"/>
    <col min="16153" max="16153" width="14.85546875" style="80" customWidth="1"/>
    <col min="16154" max="16154" width="17.140625" style="80" customWidth="1"/>
    <col min="16155" max="16155" width="13.5703125" style="80" customWidth="1"/>
    <col min="16156" max="16157" width="14.85546875" style="80" customWidth="1"/>
    <col min="16158" max="16158" width="18.85546875" style="80" customWidth="1"/>
    <col min="16159" max="16159" width="19.42578125" style="80" customWidth="1"/>
    <col min="16160" max="16160" width="16.140625" style="80" customWidth="1"/>
    <col min="16161" max="16161" width="14.5703125" style="80" customWidth="1"/>
    <col min="16162" max="16162" width="20.28515625" style="80" customWidth="1"/>
    <col min="16163" max="16163" width="13.85546875" style="80" customWidth="1"/>
    <col min="16164" max="16164" width="19.140625" style="80" customWidth="1"/>
    <col min="16165" max="16165" width="19.7109375" style="80" customWidth="1"/>
    <col min="16166" max="16166" width="16.5703125" style="80" customWidth="1"/>
    <col min="16167" max="16167" width="19.140625" style="80" customWidth="1"/>
    <col min="16168" max="16170" width="16.5703125" style="80" customWidth="1"/>
    <col min="16171" max="16171" width="15.7109375" style="80" customWidth="1"/>
    <col min="16172" max="16172" width="19.42578125" style="80" customWidth="1"/>
    <col min="16173" max="16173" width="14.85546875" style="80" bestFit="1" customWidth="1"/>
    <col min="16174" max="16174" width="13.7109375" style="80" bestFit="1" customWidth="1"/>
    <col min="16175" max="16175" width="13" style="80" customWidth="1"/>
    <col min="16176" max="16176" width="18.42578125" style="80" customWidth="1"/>
    <col min="16177" max="16179" width="13.140625" style="80" customWidth="1"/>
    <col min="16180" max="16180" width="16.42578125" style="80" customWidth="1"/>
    <col min="16181" max="16181" width="13.140625" style="80" customWidth="1"/>
    <col min="16182" max="16182" width="15.28515625" style="80" customWidth="1"/>
    <col min="16183" max="16183" width="14" style="80" bestFit="1" customWidth="1"/>
    <col min="16184" max="16184" width="17.140625" style="80" customWidth="1"/>
    <col min="16185" max="16206" width="16.5703125" style="80" customWidth="1"/>
    <col min="16207" max="16207" width="20.140625" style="80" customWidth="1"/>
    <col min="16208" max="16208" width="13.28515625" style="80" customWidth="1"/>
    <col min="16209" max="16209" width="14.85546875" style="80" customWidth="1"/>
    <col min="16210" max="16210" width="13.85546875" style="80" customWidth="1"/>
    <col min="16211" max="16211" width="13.5703125" style="80" customWidth="1"/>
    <col min="16212" max="16212" width="13" style="80" customWidth="1"/>
    <col min="16213" max="16213" width="13.5703125" style="80" customWidth="1"/>
    <col min="16214" max="16214" width="7.7109375" style="80" bestFit="1" customWidth="1"/>
    <col min="16215" max="16384" width="9.140625" style="80"/>
  </cols>
  <sheetData>
    <row r="1" spans="2:84" s="51" customFormat="1" ht="29.25" customHeight="1">
      <c r="B1" s="50" t="s">
        <v>59</v>
      </c>
      <c r="AS1" s="52"/>
      <c r="AT1" s="52"/>
      <c r="AU1" s="53"/>
      <c r="AV1" s="52"/>
      <c r="AW1" s="52"/>
      <c r="AX1" s="52"/>
      <c r="AY1" s="52"/>
      <c r="AZ1" s="52"/>
      <c r="BA1" s="52"/>
      <c r="BB1" s="52"/>
      <c r="BC1" s="52"/>
      <c r="BD1" s="54"/>
      <c r="BK1" s="55"/>
      <c r="BL1" s="55"/>
      <c r="CB1" s="56"/>
      <c r="CC1" s="56"/>
      <c r="CD1" s="56"/>
      <c r="CE1" s="56"/>
      <c r="CF1" s="56"/>
    </row>
    <row r="2" spans="2:84" s="51" customFormat="1" ht="15.75" customHeight="1">
      <c r="B2" s="57"/>
      <c r="C2" s="58" t="s">
        <v>60</v>
      </c>
      <c r="D2" s="59"/>
      <c r="E2" s="59"/>
      <c r="F2" s="59"/>
      <c r="G2" s="59"/>
      <c r="H2" s="59"/>
      <c r="I2" s="59"/>
      <c r="J2" s="59"/>
      <c r="K2" s="59"/>
      <c r="L2" s="59"/>
      <c r="M2" s="60"/>
      <c r="N2" s="61"/>
      <c r="O2" s="62"/>
      <c r="P2" s="574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4"/>
      <c r="AT2" s="64"/>
      <c r="AU2" s="65"/>
      <c r="AV2" s="64"/>
      <c r="AW2" s="64"/>
      <c r="AX2" s="64"/>
      <c r="AY2" s="64"/>
      <c r="AZ2" s="64"/>
      <c r="BA2" s="64"/>
      <c r="BB2" s="64"/>
      <c r="BC2" s="64"/>
      <c r="BD2" s="66"/>
      <c r="BE2" s="63"/>
      <c r="BF2" s="63"/>
      <c r="BG2" s="63"/>
      <c r="BH2" s="63"/>
      <c r="BI2" s="63"/>
      <c r="BJ2" s="63"/>
      <c r="BK2" s="67"/>
      <c r="BL2" s="67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8"/>
      <c r="CC2" s="68"/>
      <c r="CD2" s="68"/>
      <c r="CE2" s="68"/>
      <c r="CF2" s="68"/>
    </row>
    <row r="3" spans="2:84" ht="15.75" customHeight="1" thickBot="1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71"/>
      <c r="O3" s="72"/>
      <c r="P3" s="73"/>
      <c r="Q3" s="73"/>
      <c r="R3" s="73"/>
      <c r="S3" s="73"/>
      <c r="T3" s="73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5"/>
      <c r="AT3" s="75"/>
      <c r="AU3" s="76"/>
      <c r="AV3" s="75"/>
      <c r="AW3" s="75"/>
      <c r="AX3" s="75"/>
      <c r="AY3" s="75"/>
      <c r="AZ3" s="75"/>
      <c r="BA3" s="75"/>
      <c r="BB3" s="75"/>
      <c r="BC3" s="75"/>
      <c r="BD3" s="77"/>
      <c r="BE3" s="74"/>
      <c r="BF3" s="74"/>
      <c r="BG3" s="74"/>
      <c r="BH3" s="74"/>
      <c r="BI3" s="74"/>
      <c r="BJ3" s="74"/>
      <c r="BK3" s="78"/>
      <c r="BL3" s="78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9"/>
      <c r="CC3" s="79"/>
      <c r="CD3" s="79"/>
      <c r="CE3" s="79"/>
      <c r="CF3" s="79"/>
    </row>
    <row r="4" spans="2:84" s="90" customFormat="1" ht="18" customHeight="1" thickTop="1" thickBot="1">
      <c r="B4" s="1402" t="s">
        <v>61</v>
      </c>
      <c r="C4" s="1403"/>
      <c r="D4" s="1403"/>
      <c r="E4" s="1403"/>
      <c r="F4" s="1403"/>
      <c r="G4" s="1404"/>
      <c r="H4" s="81" t="s">
        <v>62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3"/>
      <c r="AN4" s="84"/>
      <c r="AO4" s="84"/>
      <c r="AP4" s="84"/>
      <c r="AQ4" s="84"/>
      <c r="AR4" s="84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6"/>
      <c r="BE4" s="84"/>
      <c r="BF4" s="84"/>
      <c r="BG4" s="84"/>
      <c r="BH4" s="84"/>
      <c r="BI4" s="84"/>
      <c r="BJ4" s="84"/>
      <c r="BK4" s="87"/>
      <c r="BL4" s="87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8"/>
      <c r="CB4" s="89"/>
      <c r="CC4" s="89"/>
      <c r="CD4" s="89"/>
      <c r="CE4" s="89"/>
      <c r="CF4" s="89"/>
    </row>
    <row r="5" spans="2:84" s="102" customFormat="1" ht="15.75" customHeight="1" thickTop="1" thickBot="1">
      <c r="B5" s="91" t="s">
        <v>63</v>
      </c>
      <c r="C5" s="92"/>
      <c r="D5" s="93"/>
      <c r="E5" s="1405" t="s">
        <v>64</v>
      </c>
      <c r="F5" s="1405"/>
      <c r="G5" s="1406"/>
      <c r="H5" s="1407" t="s">
        <v>65</v>
      </c>
      <c r="I5" s="1408"/>
      <c r="J5" s="1408"/>
      <c r="K5" s="94"/>
      <c r="L5" s="94"/>
      <c r="M5" s="1409" t="s">
        <v>66</v>
      </c>
      <c r="N5" s="1408"/>
      <c r="O5" s="1410"/>
      <c r="P5" s="1411" t="s">
        <v>67</v>
      </c>
      <c r="Q5" s="1411"/>
      <c r="R5" s="1411"/>
      <c r="S5" s="1409" t="s">
        <v>68</v>
      </c>
      <c r="T5" s="1408"/>
      <c r="U5" s="1408"/>
      <c r="V5" s="1408"/>
      <c r="W5" s="1410"/>
      <c r="X5" s="1411" t="s">
        <v>69</v>
      </c>
      <c r="Y5" s="1411"/>
      <c r="Z5" s="1411"/>
      <c r="AA5" s="1411"/>
      <c r="AB5" s="1411"/>
      <c r="AC5" s="95"/>
      <c r="AD5" s="1409" t="s">
        <v>70</v>
      </c>
      <c r="AE5" s="1408"/>
      <c r="AF5" s="1408"/>
      <c r="AG5" s="1408"/>
      <c r="AH5" s="1408"/>
      <c r="AI5" s="1408"/>
      <c r="AJ5" s="1408"/>
      <c r="AK5" s="1408"/>
      <c r="AL5" s="1408"/>
      <c r="AM5" s="1412"/>
      <c r="AN5" s="96"/>
      <c r="AO5" s="96"/>
      <c r="AP5" s="96"/>
      <c r="AQ5" s="96"/>
      <c r="AR5" s="96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8"/>
      <c r="BE5" s="96"/>
      <c r="BF5" s="96"/>
      <c r="BG5" s="96"/>
      <c r="BH5" s="96"/>
      <c r="BI5" s="96"/>
      <c r="BJ5" s="96"/>
      <c r="BK5" s="99"/>
      <c r="BL5" s="99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100"/>
      <c r="CB5" s="101"/>
      <c r="CC5" s="101"/>
      <c r="CD5" s="101"/>
      <c r="CE5" s="101"/>
      <c r="CF5" s="101"/>
    </row>
    <row r="6" spans="2:84" s="102" customFormat="1" ht="15.75" customHeight="1" thickTop="1">
      <c r="B6" s="103" t="s">
        <v>71</v>
      </c>
      <c r="C6" s="104"/>
      <c r="D6" s="105"/>
      <c r="E6" s="104"/>
      <c r="F6" s="104"/>
      <c r="G6" s="106"/>
      <c r="H6" s="107" t="s">
        <v>72</v>
      </c>
      <c r="I6" s="108"/>
      <c r="J6" s="109" t="e">
        <f>AG26</f>
        <v>#REF!</v>
      </c>
      <c r="K6" s="109"/>
      <c r="L6" s="109"/>
      <c r="M6" s="110" t="s">
        <v>73</v>
      </c>
      <c r="N6" s="111"/>
      <c r="O6" s="112">
        <f>300000000-27272727</f>
        <v>272727273</v>
      </c>
      <c r="P6" s="113" t="s">
        <v>74</v>
      </c>
      <c r="Q6" s="108"/>
      <c r="R6" s="114">
        <f>50000000-4545455</f>
        <v>45454545</v>
      </c>
      <c r="S6" s="1413" t="s">
        <v>75</v>
      </c>
      <c r="T6" s="1414"/>
      <c r="U6" s="1415"/>
      <c r="V6" s="115" t="s">
        <v>76</v>
      </c>
      <c r="W6" s="116" t="s">
        <v>77</v>
      </c>
      <c r="X6" s="1416" t="s">
        <v>75</v>
      </c>
      <c r="Y6" s="1416"/>
      <c r="Z6" s="1417"/>
      <c r="AA6" s="117" t="s">
        <v>76</v>
      </c>
      <c r="AB6" s="118" t="s">
        <v>77</v>
      </c>
      <c r="AC6" s="118"/>
      <c r="AD6" s="1418" t="s">
        <v>78</v>
      </c>
      <c r="AE6" s="1416"/>
      <c r="AF6" s="1417"/>
      <c r="AG6" s="119" t="s">
        <v>79</v>
      </c>
      <c r="AH6" s="120" t="s">
        <v>80</v>
      </c>
      <c r="AI6" s="1419" t="s">
        <v>81</v>
      </c>
      <c r="AJ6" s="1416"/>
      <c r="AK6" s="1416"/>
      <c r="AL6" s="1417"/>
      <c r="AM6" s="121" t="s">
        <v>80</v>
      </c>
      <c r="AN6" s="96"/>
      <c r="AO6" s="96"/>
      <c r="AP6" s="96"/>
      <c r="AQ6" s="96"/>
      <c r="AR6" s="96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8"/>
      <c r="BE6" s="96"/>
      <c r="BF6" s="96"/>
      <c r="BG6" s="96"/>
      <c r="BH6" s="96"/>
      <c r="BI6" s="96"/>
      <c r="BJ6" s="96"/>
      <c r="BK6" s="99"/>
      <c r="BL6" s="99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122"/>
      <c r="CB6" s="123"/>
      <c r="CC6" s="123"/>
      <c r="CD6" s="123"/>
      <c r="CE6" s="123"/>
      <c r="CF6" s="123"/>
    </row>
    <row r="7" spans="2:84" s="102" customFormat="1" ht="15.75" customHeight="1">
      <c r="B7" s="103" t="s">
        <v>82</v>
      </c>
      <c r="C7" s="124"/>
      <c r="D7" s="125"/>
      <c r="E7" s="126">
        <v>1</v>
      </c>
      <c r="F7" s="127">
        <v>5</v>
      </c>
      <c r="G7" s="128">
        <v>2018</v>
      </c>
      <c r="H7" s="129" t="s">
        <v>83</v>
      </c>
      <c r="I7" s="125"/>
      <c r="J7" s="130" t="e">
        <f>Calculation!#REF!</f>
        <v>#REF!</v>
      </c>
      <c r="K7" s="130"/>
      <c r="L7" s="130"/>
      <c r="M7" s="131" t="s">
        <v>84</v>
      </c>
      <c r="N7" s="132"/>
      <c r="O7" s="133">
        <v>0</v>
      </c>
      <c r="P7" s="124" t="s">
        <v>85</v>
      </c>
      <c r="Q7" s="125"/>
      <c r="R7" s="134"/>
      <c r="S7" s="135" t="s">
        <v>86</v>
      </c>
      <c r="T7" s="136"/>
      <c r="U7" s="137"/>
      <c r="V7" s="138">
        <v>0</v>
      </c>
      <c r="W7" s="139">
        <f>IF(V7&gt;0,V7*J7,0)</f>
        <v>0</v>
      </c>
      <c r="X7" s="140" t="s">
        <v>87</v>
      </c>
      <c r="Y7" s="140"/>
      <c r="Z7" s="141"/>
      <c r="AA7" s="142"/>
      <c r="AB7" s="143"/>
      <c r="AC7" s="144"/>
      <c r="AD7" s="145" t="s">
        <v>88</v>
      </c>
      <c r="AE7" s="140"/>
      <c r="AF7" s="141"/>
      <c r="AG7" s="146">
        <v>0</v>
      </c>
      <c r="AH7" s="147">
        <f>AG7*O8</f>
        <v>0</v>
      </c>
      <c r="AI7" s="148" t="s">
        <v>89</v>
      </c>
      <c r="AJ7" s="140"/>
      <c r="AK7" s="140"/>
      <c r="AL7" s="149"/>
      <c r="AM7" s="150"/>
      <c r="AN7" s="151"/>
      <c r="AO7" s="151"/>
      <c r="AP7" s="151"/>
      <c r="AQ7" s="151"/>
      <c r="AR7" s="151"/>
      <c r="AS7" s="152"/>
      <c r="AT7" s="152"/>
      <c r="AU7" s="97"/>
      <c r="AV7" s="152"/>
      <c r="AW7" s="152"/>
      <c r="AX7" s="152"/>
      <c r="AY7" s="152"/>
      <c r="AZ7" s="152"/>
      <c r="BA7" s="152"/>
      <c r="BB7" s="152"/>
      <c r="BC7" s="152"/>
      <c r="BD7" s="153"/>
      <c r="BE7" s="151"/>
      <c r="BF7" s="151"/>
      <c r="BG7" s="151"/>
      <c r="BH7" s="151"/>
      <c r="BI7" s="151"/>
      <c r="BJ7" s="151"/>
      <c r="BK7" s="154"/>
      <c r="BL7" s="154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22"/>
      <c r="CB7" s="123"/>
      <c r="CC7" s="123"/>
      <c r="CD7" s="123"/>
      <c r="CE7" s="123"/>
      <c r="CF7" s="123"/>
    </row>
    <row r="8" spans="2:84" s="102" customFormat="1" ht="15.75" customHeight="1">
      <c r="B8" s="103" t="s">
        <v>90</v>
      </c>
      <c r="C8" s="104"/>
      <c r="D8" s="155" t="s">
        <v>91</v>
      </c>
      <c r="E8" s="126">
        <v>1</v>
      </c>
      <c r="F8" s="127">
        <v>5</v>
      </c>
      <c r="G8" s="156">
        <f>G7</f>
        <v>2018</v>
      </c>
      <c r="H8" s="103" t="s">
        <v>92</v>
      </c>
      <c r="I8" s="105"/>
      <c r="J8" s="157" t="s">
        <v>93</v>
      </c>
      <c r="K8" s="157"/>
      <c r="L8" s="157"/>
      <c r="M8" s="131" t="s">
        <v>94</v>
      </c>
      <c r="N8" s="158"/>
      <c r="O8" s="159">
        <f>O6-O7</f>
        <v>272727273</v>
      </c>
      <c r="P8" s="124" t="s">
        <v>95</v>
      </c>
      <c r="Q8" s="125"/>
      <c r="R8" s="134"/>
      <c r="S8" s="160" t="s">
        <v>96</v>
      </c>
      <c r="T8" s="161"/>
      <c r="U8" s="162"/>
      <c r="V8" s="163"/>
      <c r="W8" s="164">
        <f>IF(V8&gt;0,V8*J7,0)</f>
        <v>0</v>
      </c>
      <c r="X8" s="124" t="s">
        <v>97</v>
      </c>
      <c r="Y8" s="124"/>
      <c r="Z8" s="125"/>
      <c r="AA8" s="165"/>
      <c r="AB8" s="166">
        <f>2.5%*((O6+R6)*110/100)*3</f>
        <v>26249999.985000003</v>
      </c>
      <c r="AC8" s="167"/>
      <c r="AD8" s="168" t="s">
        <v>98</v>
      </c>
      <c r="AE8" s="124"/>
      <c r="AF8" s="125"/>
      <c r="AG8" s="169">
        <v>0</v>
      </c>
      <c r="AH8" s="170">
        <f>AG8*R6</f>
        <v>0</v>
      </c>
      <c r="AI8" s="171" t="s">
        <v>99</v>
      </c>
      <c r="AJ8" s="124"/>
      <c r="AK8" s="124"/>
      <c r="AL8" s="172"/>
      <c r="AM8" s="173"/>
      <c r="AN8" s="151"/>
      <c r="AO8" s="151"/>
      <c r="AP8" s="151"/>
      <c r="AQ8" s="151"/>
      <c r="AR8" s="151"/>
      <c r="AS8" s="152"/>
      <c r="AT8" s="152"/>
      <c r="AU8" s="97"/>
      <c r="AV8" s="152"/>
      <c r="AW8" s="152"/>
      <c r="AX8" s="152"/>
      <c r="AY8" s="152"/>
      <c r="AZ8" s="152"/>
      <c r="BA8" s="152"/>
      <c r="BB8" s="152"/>
      <c r="BC8" s="152"/>
      <c r="BD8" s="153"/>
      <c r="BE8" s="151"/>
      <c r="BF8" s="151"/>
      <c r="BG8" s="151"/>
      <c r="BH8" s="151"/>
      <c r="BI8" s="151"/>
      <c r="BJ8" s="151"/>
      <c r="BK8" s="154"/>
      <c r="BL8" s="154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22"/>
      <c r="CB8" s="123"/>
      <c r="CC8" s="123"/>
      <c r="CD8" s="123"/>
      <c r="CE8" s="123"/>
      <c r="CF8" s="123"/>
    </row>
    <row r="9" spans="2:84" s="102" customFormat="1" ht="15.75" customHeight="1">
      <c r="B9" s="174"/>
      <c r="C9" s="175"/>
      <c r="D9" s="176"/>
      <c r="E9" s="177"/>
      <c r="F9" s="177"/>
      <c r="G9" s="178"/>
      <c r="H9" s="103" t="s">
        <v>100</v>
      </c>
      <c r="I9" s="105"/>
      <c r="J9" s="179" t="s">
        <v>101</v>
      </c>
      <c r="K9" s="157"/>
      <c r="L9" s="157"/>
      <c r="M9" s="131" t="s">
        <v>102</v>
      </c>
      <c r="N9" s="180"/>
      <c r="O9" s="181">
        <v>0</v>
      </c>
      <c r="P9" s="124"/>
      <c r="Q9" s="125"/>
      <c r="R9" s="182"/>
      <c r="S9" s="183" t="s">
        <v>103</v>
      </c>
      <c r="T9" s="184"/>
      <c r="U9" s="124"/>
      <c r="V9" s="163"/>
      <c r="W9" s="164">
        <v>1000000</v>
      </c>
      <c r="X9" s="124" t="s">
        <v>104</v>
      </c>
      <c r="Y9" s="124"/>
      <c r="Z9" s="125"/>
      <c r="AA9" s="165"/>
      <c r="AB9" s="166">
        <v>30000000</v>
      </c>
      <c r="AC9" s="167"/>
      <c r="AD9" s="168" t="s">
        <v>105</v>
      </c>
      <c r="AE9" s="124"/>
      <c r="AF9" s="125"/>
      <c r="AG9" s="185">
        <v>0</v>
      </c>
      <c r="AH9" s="170">
        <f>AG9*R7</f>
        <v>0</v>
      </c>
      <c r="AI9" s="171" t="s">
        <v>106</v>
      </c>
      <c r="AJ9" s="124"/>
      <c r="AK9" s="124"/>
      <c r="AL9" s="172"/>
      <c r="AM9" s="173"/>
      <c r="AN9" s="151"/>
      <c r="AO9" s="151"/>
      <c r="AP9" s="151"/>
      <c r="AQ9" s="151"/>
      <c r="AR9" s="151"/>
      <c r="AS9" s="152"/>
      <c r="AT9" s="152"/>
      <c r="AU9" s="97"/>
      <c r="AV9" s="152"/>
      <c r="AW9" s="152"/>
      <c r="AX9" s="152"/>
      <c r="AY9" s="152"/>
      <c r="AZ9" s="152"/>
      <c r="BA9" s="152"/>
      <c r="BB9" s="152"/>
      <c r="BC9" s="152"/>
      <c r="BD9" s="153"/>
      <c r="BE9" s="151"/>
      <c r="BF9" s="151"/>
      <c r="BG9" s="151"/>
      <c r="BH9" s="151"/>
      <c r="BI9" s="151"/>
      <c r="BJ9" s="151"/>
      <c r="BK9" s="154"/>
      <c r="BL9" s="154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22"/>
      <c r="CB9" s="123"/>
      <c r="CC9" s="123"/>
      <c r="CD9" s="123"/>
      <c r="CE9" s="123"/>
      <c r="CF9" s="123"/>
    </row>
    <row r="10" spans="2:84" s="102" customFormat="1" ht="15.75" customHeight="1">
      <c r="B10" s="186" t="s">
        <v>107</v>
      </c>
      <c r="C10" s="140"/>
      <c r="D10" s="140"/>
      <c r="E10" s="140"/>
      <c r="F10" s="141"/>
      <c r="G10" s="187">
        <f>G14+5%</f>
        <v>0.13240000000000002</v>
      </c>
      <c r="H10" s="103" t="s">
        <v>108</v>
      </c>
      <c r="I10" s="132"/>
      <c r="J10" s="179">
        <v>14</v>
      </c>
      <c r="K10" s="157"/>
      <c r="L10" s="157"/>
      <c r="M10" s="188" t="s">
        <v>109</v>
      </c>
      <c r="N10" s="189"/>
      <c r="O10" s="190">
        <v>0</v>
      </c>
      <c r="P10" s="124" t="s">
        <v>110</v>
      </c>
      <c r="Q10" s="125"/>
      <c r="R10" s="182">
        <f>R6+R7+R8</f>
        <v>45454545</v>
      </c>
      <c r="S10" s="183" t="s">
        <v>111</v>
      </c>
      <c r="T10" s="191"/>
      <c r="U10" s="191"/>
      <c r="V10" s="192"/>
      <c r="W10" s="164">
        <f>IF(V10&gt;0,V10*J7,0)</f>
        <v>0</v>
      </c>
      <c r="X10" s="124" t="s">
        <v>112</v>
      </c>
      <c r="Y10" s="124"/>
      <c r="Z10" s="193">
        <v>4.8611111111111112E-2</v>
      </c>
      <c r="AA10" s="165"/>
      <c r="AB10" s="166"/>
      <c r="AC10" s="167"/>
      <c r="AD10" s="168" t="s">
        <v>113</v>
      </c>
      <c r="AE10" s="124"/>
      <c r="AF10" s="194"/>
      <c r="AG10" s="172"/>
      <c r="AH10" s="163">
        <v>3</v>
      </c>
      <c r="AI10" s="171" t="s">
        <v>114</v>
      </c>
      <c r="AJ10" s="124"/>
      <c r="AK10" s="194"/>
      <c r="AL10" s="172"/>
      <c r="AM10" s="173">
        <v>1</v>
      </c>
      <c r="AN10" s="151"/>
      <c r="AO10" s="151"/>
      <c r="AP10" s="151"/>
      <c r="AQ10" s="151"/>
      <c r="AR10" s="151"/>
      <c r="AS10" s="152"/>
      <c r="AT10" s="152"/>
      <c r="AU10" s="97"/>
      <c r="AV10" s="152"/>
      <c r="AW10" s="152"/>
      <c r="AX10" s="152"/>
      <c r="AY10" s="152"/>
      <c r="AZ10" s="152"/>
      <c r="BA10" s="152"/>
      <c r="BB10" s="152"/>
      <c r="BC10" s="152"/>
      <c r="BD10" s="153"/>
      <c r="BE10" s="151"/>
      <c r="BF10" s="151"/>
      <c r="BG10" s="151"/>
      <c r="BH10" s="151"/>
      <c r="BI10" s="151"/>
      <c r="BJ10" s="151"/>
      <c r="BK10" s="154"/>
      <c r="BL10" s="154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22"/>
      <c r="CB10" s="123"/>
      <c r="CC10" s="123"/>
      <c r="CD10" s="123"/>
      <c r="CE10" s="123"/>
      <c r="CF10" s="123"/>
    </row>
    <row r="11" spans="2:84" s="102" customFormat="1" ht="15.75" customHeight="1">
      <c r="B11" s="195" t="s">
        <v>115</v>
      </c>
      <c r="C11" s="196"/>
      <c r="D11" s="196"/>
      <c r="E11" s="196"/>
      <c r="F11" s="197"/>
      <c r="G11" s="198" t="e">
        <f>IRR(AQ21:AQ90,0.001)*12</f>
        <v>#VALUE!</v>
      </c>
      <c r="H11" s="199"/>
      <c r="I11" s="200"/>
      <c r="J11" s="201"/>
      <c r="K11" s="201"/>
      <c r="L11" s="201"/>
      <c r="M11" s="202" t="s">
        <v>116</v>
      </c>
      <c r="N11" s="203"/>
      <c r="O11" s="204"/>
      <c r="P11" s="124" t="s">
        <v>117</v>
      </c>
      <c r="Q11" s="125"/>
      <c r="R11" s="134">
        <v>0</v>
      </c>
      <c r="S11" s="183" t="s">
        <v>118</v>
      </c>
      <c r="T11" s="191"/>
      <c r="U11" s="191"/>
      <c r="V11" s="192">
        <v>0</v>
      </c>
      <c r="W11" s="164">
        <f>IF(V11&gt;0,V11*J7,0)</f>
        <v>0</v>
      </c>
      <c r="X11" s="123" t="s">
        <v>119</v>
      </c>
      <c r="Y11" s="123"/>
      <c r="Z11" s="205"/>
      <c r="AA11" s="206"/>
      <c r="AB11" s="207">
        <f>AB8*25%</f>
        <v>6562499.9962500008</v>
      </c>
      <c r="AC11" s="151"/>
      <c r="AD11" s="168" t="s">
        <v>120</v>
      </c>
      <c r="AE11" s="124"/>
      <c r="AF11" s="124"/>
      <c r="AG11" s="172"/>
      <c r="AH11" s="163">
        <v>3</v>
      </c>
      <c r="AI11" s="171" t="s">
        <v>121</v>
      </c>
      <c r="AJ11" s="124"/>
      <c r="AK11" s="124"/>
      <c r="AL11" s="172"/>
      <c r="AM11" s="173">
        <v>1</v>
      </c>
      <c r="AN11" s="151"/>
      <c r="AO11" s="151"/>
      <c r="AP11" s="151"/>
      <c r="AQ11" s="151"/>
      <c r="AR11" s="151"/>
      <c r="AS11" s="152"/>
      <c r="AT11" s="152"/>
      <c r="AU11" s="97"/>
      <c r="AV11" s="152"/>
      <c r="AW11" s="152"/>
      <c r="AX11" s="152"/>
      <c r="AY11" s="152"/>
      <c r="AZ11" s="152"/>
      <c r="BA11" s="152"/>
      <c r="BB11" s="152"/>
      <c r="BC11" s="152"/>
      <c r="BD11" s="153"/>
      <c r="BE11" s="151"/>
      <c r="BF11" s="151"/>
      <c r="BG11" s="151"/>
      <c r="BH11" s="151"/>
      <c r="BI11" s="151"/>
      <c r="BJ11" s="151"/>
      <c r="BK11" s="154"/>
      <c r="BL11" s="154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22"/>
      <c r="CB11" s="123"/>
      <c r="CC11" s="123"/>
      <c r="CD11" s="123"/>
      <c r="CE11" s="123"/>
      <c r="CF11" s="123"/>
    </row>
    <row r="12" spans="2:84" s="102" customFormat="1" ht="15.75" customHeight="1">
      <c r="B12" s="208" t="s">
        <v>122</v>
      </c>
      <c r="C12" s="209"/>
      <c r="D12" s="209"/>
      <c r="E12" s="209"/>
      <c r="F12" s="210"/>
      <c r="G12" s="211" t="e">
        <f>IRR(AR21:AR90,0.001)*12</f>
        <v>#VALUE!</v>
      </c>
      <c r="H12" s="212" t="s">
        <v>123</v>
      </c>
      <c r="I12" s="213"/>
      <c r="J12" s="214"/>
      <c r="K12" s="214"/>
      <c r="L12" s="214"/>
      <c r="M12" s="131" t="s">
        <v>124</v>
      </c>
      <c r="N12" s="180"/>
      <c r="O12" s="215">
        <f>O11*10%</f>
        <v>0</v>
      </c>
      <c r="P12" s="124" t="s">
        <v>125</v>
      </c>
      <c r="Q12" s="216"/>
      <c r="R12" s="217"/>
      <c r="S12" s="218"/>
      <c r="T12" s="219"/>
      <c r="U12" s="220"/>
      <c r="V12" s="221"/>
      <c r="W12" s="222"/>
      <c r="X12" s="123"/>
      <c r="Y12" s="123"/>
      <c r="Z12" s="205"/>
      <c r="AA12" s="206"/>
      <c r="AB12" s="207"/>
      <c r="AC12" s="151"/>
      <c r="AD12" s="168" t="s">
        <v>126</v>
      </c>
      <c r="AE12" s="124"/>
      <c r="AF12" s="124"/>
      <c r="AG12" s="172"/>
      <c r="AH12" s="163">
        <v>3</v>
      </c>
      <c r="AI12" s="171" t="s">
        <v>127</v>
      </c>
      <c r="AJ12" s="124"/>
      <c r="AK12" s="124"/>
      <c r="AL12" s="172"/>
      <c r="AM12" s="223">
        <v>1</v>
      </c>
      <c r="AN12" s="151"/>
      <c r="AO12" s="151"/>
      <c r="AP12" s="151"/>
      <c r="AQ12" s="151"/>
      <c r="AR12" s="151"/>
      <c r="AS12" s="152"/>
      <c r="AT12" s="152"/>
      <c r="AU12" s="97"/>
      <c r="AV12" s="152"/>
      <c r="AW12" s="152"/>
      <c r="AX12" s="152"/>
      <c r="AY12" s="152"/>
      <c r="AZ12" s="152"/>
      <c r="BA12" s="152"/>
      <c r="BB12" s="152"/>
      <c r="BC12" s="152"/>
      <c r="BD12" s="153"/>
      <c r="BE12" s="151"/>
      <c r="BF12" s="151"/>
      <c r="BG12" s="151"/>
      <c r="BH12" s="151"/>
      <c r="BI12" s="151"/>
      <c r="BJ12" s="151"/>
      <c r="BK12" s="154"/>
      <c r="BL12" s="154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22"/>
      <c r="CB12" s="123"/>
      <c r="CC12" s="123"/>
      <c r="CD12" s="123"/>
      <c r="CE12" s="123"/>
      <c r="CF12" s="123"/>
    </row>
    <row r="13" spans="2:84" s="102" customFormat="1" ht="15.75" customHeight="1">
      <c r="B13" s="224" t="s">
        <v>128</v>
      </c>
      <c r="C13" s="225"/>
      <c r="D13" s="225"/>
      <c r="E13" s="225"/>
      <c r="F13" s="226"/>
      <c r="G13" s="227" t="e">
        <f>Calculation!#REF!</f>
        <v>#REF!</v>
      </c>
      <c r="H13" s="199"/>
      <c r="I13" s="213"/>
      <c r="J13" s="228"/>
      <c r="K13" s="228"/>
      <c r="L13" s="228"/>
      <c r="M13" s="229" t="s">
        <v>129</v>
      </c>
      <c r="N13" s="125"/>
      <c r="O13" s="215">
        <f>O11*15%</f>
        <v>0</v>
      </c>
      <c r="P13" s="124" t="s">
        <v>130</v>
      </c>
      <c r="Q13" s="230"/>
      <c r="R13" s="217"/>
      <c r="S13" s="1428" t="s">
        <v>131</v>
      </c>
      <c r="T13" s="1429"/>
      <c r="U13" s="1430"/>
      <c r="V13" s="231"/>
      <c r="W13" s="232"/>
      <c r="X13" s="123"/>
      <c r="Y13" s="123"/>
      <c r="Z13" s="205"/>
      <c r="AA13" s="206"/>
      <c r="AB13" s="207"/>
      <c r="AC13" s="151"/>
      <c r="AD13" s="233"/>
      <c r="AE13" s="123"/>
      <c r="AF13" s="205"/>
      <c r="AG13" s="234"/>
      <c r="AH13" s="207"/>
      <c r="AI13" s="235"/>
      <c r="AJ13" s="123"/>
      <c r="AK13" s="123"/>
      <c r="AL13" s="234"/>
      <c r="AM13" s="236"/>
      <c r="AN13" s="151"/>
      <c r="AO13" s="151"/>
      <c r="AP13" s="151"/>
      <c r="AQ13" s="151"/>
      <c r="AR13" s="151"/>
      <c r="AS13" s="152"/>
      <c r="AT13" s="152"/>
      <c r="AU13" s="97"/>
      <c r="AV13" s="152"/>
      <c r="AW13" s="152"/>
      <c r="AX13" s="152"/>
      <c r="AY13" s="152"/>
      <c r="AZ13" s="152"/>
      <c r="BA13" s="152"/>
      <c r="BB13" s="152"/>
      <c r="BC13" s="152"/>
      <c r="BD13" s="153"/>
      <c r="BE13" s="151"/>
      <c r="BF13" s="151"/>
      <c r="BG13" s="151"/>
      <c r="BH13" s="151"/>
      <c r="BI13" s="151"/>
      <c r="BJ13" s="151"/>
      <c r="BK13" s="154"/>
      <c r="BL13" s="154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22"/>
      <c r="CB13" s="123"/>
      <c r="CC13" s="123"/>
      <c r="CD13" s="123"/>
      <c r="CE13" s="123"/>
      <c r="CF13" s="123"/>
    </row>
    <row r="14" spans="2:84" s="102" customFormat="1" ht="15.75" customHeight="1">
      <c r="B14" s="224" t="s">
        <v>132</v>
      </c>
      <c r="C14" s="225"/>
      <c r="D14" s="225"/>
      <c r="E14" s="237"/>
      <c r="F14" s="226"/>
      <c r="G14" s="211">
        <v>8.2400000000000001E-2</v>
      </c>
      <c r="H14" s="199"/>
      <c r="I14" s="238"/>
      <c r="J14" s="239"/>
      <c r="K14" s="239"/>
      <c r="L14" s="239"/>
      <c r="M14" s="202" t="s">
        <v>133</v>
      </c>
      <c r="N14" s="203"/>
      <c r="O14" s="204" t="e">
        <f>(Calculation!#REF!*(O6+R6))*110/100</f>
        <v>#REF!</v>
      </c>
      <c r="P14" s="225" t="s">
        <v>134</v>
      </c>
      <c r="Q14" s="240"/>
      <c r="R14" s="241">
        <v>0</v>
      </c>
      <c r="S14" s="1431"/>
      <c r="T14" s="1432"/>
      <c r="U14" s="1433"/>
      <c r="V14" s="242"/>
      <c r="W14" s="243">
        <v>1</v>
      </c>
      <c r="X14" s="123"/>
      <c r="Y14" s="123"/>
      <c r="Z14" s="205"/>
      <c r="AA14" s="206"/>
      <c r="AB14" s="207"/>
      <c r="AC14" s="151"/>
      <c r="AD14" s="233"/>
      <c r="AE14" s="123"/>
      <c r="AF14" s="205"/>
      <c r="AG14" s="234"/>
      <c r="AH14" s="207"/>
      <c r="AI14" s="235"/>
      <c r="AJ14" s="123"/>
      <c r="AK14" s="123"/>
      <c r="AL14" s="234"/>
      <c r="AM14" s="236"/>
      <c r="AN14" s="151"/>
      <c r="AO14" s="151"/>
      <c r="AP14" s="151"/>
      <c r="AQ14" s="151"/>
      <c r="AR14" s="151"/>
      <c r="AS14" s="152"/>
      <c r="AT14" s="152"/>
      <c r="AU14" s="97"/>
      <c r="AV14" s="152"/>
      <c r="AW14" s="152"/>
      <c r="AX14" s="152"/>
      <c r="AY14" s="152"/>
      <c r="AZ14" s="152"/>
      <c r="BA14" s="152"/>
      <c r="BB14" s="152"/>
      <c r="BC14" s="152"/>
      <c r="BD14" s="153"/>
      <c r="BE14" s="151"/>
      <c r="BF14" s="151"/>
      <c r="BG14" s="151"/>
      <c r="BH14" s="151"/>
      <c r="BI14" s="151"/>
      <c r="BJ14" s="151"/>
      <c r="BK14" s="154"/>
      <c r="BL14" s="154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22"/>
      <c r="CB14" s="123"/>
      <c r="CC14" s="123"/>
      <c r="CD14" s="123"/>
      <c r="CE14" s="123"/>
      <c r="CF14" s="123"/>
    </row>
    <row r="15" spans="2:84" s="102" customFormat="1" ht="15.75" customHeight="1" thickBot="1">
      <c r="B15" s="244" t="s">
        <v>135</v>
      </c>
      <c r="C15" s="245"/>
      <c r="D15" s="245"/>
      <c r="E15" s="245"/>
      <c r="F15" s="246"/>
      <c r="G15" s="548">
        <f>14%-8.24%</f>
        <v>5.7600000000000012E-2</v>
      </c>
      <c r="H15" s="247"/>
      <c r="I15" s="248"/>
      <c r="J15" s="249"/>
      <c r="K15" s="249"/>
      <c r="L15" s="249"/>
      <c r="M15" s="250" t="s">
        <v>136</v>
      </c>
      <c r="N15" s="251"/>
      <c r="O15" s="252" t="e">
        <f>O14*10%</f>
        <v>#REF!</v>
      </c>
      <c r="P15" s="253"/>
      <c r="Q15" s="254"/>
      <c r="R15" s="255"/>
      <c r="S15" s="256"/>
      <c r="T15" s="257"/>
      <c r="U15" s="253"/>
      <c r="V15" s="258"/>
      <c r="W15" s="259"/>
      <c r="X15" s="253"/>
      <c r="Y15" s="253"/>
      <c r="Z15" s="260"/>
      <c r="AA15" s="261"/>
      <c r="AB15" s="262"/>
      <c r="AC15" s="263"/>
      <c r="AD15" s="264"/>
      <c r="AE15" s="253"/>
      <c r="AF15" s="260"/>
      <c r="AG15" s="265"/>
      <c r="AH15" s="262"/>
      <c r="AI15" s="266"/>
      <c r="AJ15" s="253"/>
      <c r="AK15" s="253"/>
      <c r="AL15" s="265"/>
      <c r="AM15" s="267"/>
      <c r="AN15" s="151"/>
      <c r="AO15" s="151"/>
      <c r="AP15" s="151"/>
      <c r="AQ15" s="151"/>
      <c r="AR15" s="151"/>
      <c r="AS15" s="152"/>
      <c r="AT15" s="152"/>
      <c r="AU15" s="97"/>
      <c r="AV15" s="152"/>
      <c r="AW15" s="152"/>
      <c r="AX15" s="152"/>
      <c r="AY15" s="152"/>
      <c r="AZ15" s="152"/>
      <c r="BA15" s="152"/>
      <c r="BB15" s="152"/>
      <c r="BC15" s="152"/>
      <c r="BD15" s="153"/>
      <c r="BE15" s="151"/>
      <c r="BF15" s="151"/>
      <c r="BG15" s="151"/>
      <c r="BH15" s="151"/>
      <c r="BI15" s="151"/>
      <c r="BJ15" s="151"/>
      <c r="BK15" s="154"/>
      <c r="BL15" s="154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B15" s="268"/>
      <c r="CC15" s="268"/>
      <c r="CD15" s="268"/>
      <c r="CE15" s="268"/>
      <c r="CF15" s="268"/>
    </row>
    <row r="16" spans="2:84" ht="15.75" customHeight="1" thickTop="1" thickBot="1">
      <c r="B16" s="269"/>
      <c r="C16" s="269"/>
      <c r="D16" s="269"/>
      <c r="E16" s="270"/>
      <c r="F16" s="270"/>
      <c r="G16" s="269"/>
      <c r="H16" s="269"/>
      <c r="I16" s="269"/>
      <c r="J16" s="269"/>
      <c r="K16" s="269"/>
      <c r="L16" s="269"/>
      <c r="O16" s="271"/>
      <c r="U16" s="272"/>
    </row>
    <row r="17" spans="1:88" s="278" customFormat="1" ht="21.95" customHeight="1" thickTop="1" thickBot="1">
      <c r="B17" s="279" t="s">
        <v>137</v>
      </c>
      <c r="C17" s="280" t="s">
        <v>138</v>
      </c>
      <c r="D17" s="281" t="s">
        <v>139</v>
      </c>
      <c r="E17" s="1434" t="s">
        <v>140</v>
      </c>
      <c r="F17" s="1435"/>
      <c r="G17" s="1435"/>
      <c r="H17" s="1435"/>
      <c r="I17" s="1435"/>
      <c r="J17" s="1435"/>
      <c r="K17" s="1435"/>
      <c r="L17" s="1435"/>
      <c r="M17" s="1435"/>
      <c r="N17" s="1435"/>
      <c r="O17" s="1435"/>
      <c r="P17" s="1435"/>
      <c r="Q17" s="1435"/>
      <c r="R17" s="1435"/>
      <c r="S17" s="1435"/>
      <c r="T17" s="1435"/>
      <c r="U17" s="1435"/>
      <c r="V17" s="1436"/>
      <c r="W17" s="1437" t="s">
        <v>141</v>
      </c>
      <c r="X17" s="1440" t="s">
        <v>142</v>
      </c>
      <c r="Y17" s="1441"/>
      <c r="Z17" s="1441"/>
      <c r="AA17" s="1441"/>
      <c r="AB17" s="1441"/>
      <c r="AC17" s="282"/>
      <c r="AD17" s="1442" t="s">
        <v>143</v>
      </c>
      <c r="AE17" s="1445" t="s">
        <v>144</v>
      </c>
      <c r="AF17" s="1465" t="s">
        <v>145</v>
      </c>
      <c r="AG17" s="1434" t="s">
        <v>146</v>
      </c>
      <c r="AH17" s="1435"/>
      <c r="AI17" s="1435"/>
      <c r="AJ17" s="1435"/>
      <c r="AK17" s="1468"/>
      <c r="AL17" s="1434" t="s">
        <v>147</v>
      </c>
      <c r="AM17" s="1435"/>
      <c r="AN17" s="1435"/>
      <c r="AO17" s="1468"/>
      <c r="AP17" s="1469" t="s">
        <v>148</v>
      </c>
      <c r="AQ17" s="1472" t="s">
        <v>149</v>
      </c>
      <c r="AR17" s="1475" t="s">
        <v>150</v>
      </c>
      <c r="AS17" s="1458" t="s">
        <v>151</v>
      </c>
      <c r="AU17" s="283" t="s">
        <v>152</v>
      </c>
      <c r="AV17" s="284"/>
      <c r="AW17" s="284"/>
      <c r="AX17" s="284"/>
      <c r="AY17" s="284"/>
      <c r="AZ17" s="284"/>
      <c r="BA17" s="284"/>
      <c r="BB17" s="284"/>
      <c r="BC17" s="284"/>
      <c r="BD17" s="284"/>
      <c r="BE17" s="284"/>
      <c r="BF17" s="284"/>
      <c r="BG17" s="284"/>
      <c r="BH17" s="284"/>
      <c r="BI17" s="284"/>
      <c r="BJ17" s="284"/>
      <c r="BK17" s="285"/>
      <c r="BL17" s="285"/>
    </row>
    <row r="18" spans="1:88" s="278" customFormat="1" ht="18" customHeight="1" thickTop="1">
      <c r="B18" s="286"/>
      <c r="C18" s="287"/>
      <c r="D18" s="288"/>
      <c r="E18" s="1461" t="s">
        <v>153</v>
      </c>
      <c r="F18" s="1456"/>
      <c r="G18" s="1456" t="s">
        <v>154</v>
      </c>
      <c r="H18" s="1456"/>
      <c r="I18" s="1456" t="s">
        <v>155</v>
      </c>
      <c r="J18" s="1456"/>
      <c r="K18" s="1462"/>
      <c r="L18" s="1463"/>
      <c r="M18" s="1456" t="s">
        <v>156</v>
      </c>
      <c r="N18" s="1456"/>
      <c r="O18" s="1425" t="s">
        <v>157</v>
      </c>
      <c r="P18" s="1425" t="s">
        <v>158</v>
      </c>
      <c r="Q18" s="1425" t="s">
        <v>159</v>
      </c>
      <c r="R18" s="1456" t="s">
        <v>160</v>
      </c>
      <c r="S18" s="1464"/>
      <c r="T18" s="1448" t="s">
        <v>161</v>
      </c>
      <c r="U18" s="1448" t="s">
        <v>162</v>
      </c>
      <c r="V18" s="1451" t="s">
        <v>163</v>
      </c>
      <c r="W18" s="1438"/>
      <c r="X18" s="1454" t="s">
        <v>164</v>
      </c>
      <c r="Y18" s="1455"/>
      <c r="Z18" s="1455" t="s">
        <v>165</v>
      </c>
      <c r="AA18" s="1455"/>
      <c r="AB18" s="1455"/>
      <c r="AC18" s="289"/>
      <c r="AD18" s="1443"/>
      <c r="AE18" s="1446"/>
      <c r="AF18" s="1466"/>
      <c r="AG18" s="1488" t="s">
        <v>166</v>
      </c>
      <c r="AH18" s="1491" t="s">
        <v>167</v>
      </c>
      <c r="AI18" s="1491" t="s">
        <v>168</v>
      </c>
      <c r="AJ18" s="1491" t="s">
        <v>169</v>
      </c>
      <c r="AK18" s="1494" t="s">
        <v>170</v>
      </c>
      <c r="AL18" s="1420" t="s">
        <v>171</v>
      </c>
      <c r="AM18" s="1423" t="s">
        <v>172</v>
      </c>
      <c r="AN18" s="1425" t="s">
        <v>173</v>
      </c>
      <c r="AO18" s="290" t="s">
        <v>174</v>
      </c>
      <c r="AP18" s="1470"/>
      <c r="AQ18" s="1473"/>
      <c r="AR18" s="1476"/>
      <c r="AS18" s="1459"/>
      <c r="AU18" s="291" t="s">
        <v>175</v>
      </c>
      <c r="AV18" s="1478" t="s">
        <v>176</v>
      </c>
      <c r="AW18" s="1479"/>
      <c r="AX18" s="1479"/>
      <c r="AY18" s="1479"/>
      <c r="AZ18" s="1479"/>
      <c r="BA18" s="1479"/>
      <c r="BB18" s="1479"/>
      <c r="BC18" s="1480"/>
      <c r="BD18" s="1478" t="s">
        <v>177</v>
      </c>
      <c r="BE18" s="1479"/>
      <c r="BF18" s="1479"/>
      <c r="BG18" s="1480"/>
      <c r="BH18" s="1481" t="s">
        <v>178</v>
      </c>
      <c r="BI18" s="1482"/>
      <c r="BJ18" s="1483"/>
      <c r="BK18" s="292" t="s">
        <v>179</v>
      </c>
      <c r="BL18" s="293" t="s">
        <v>180</v>
      </c>
      <c r="BM18" s="294"/>
      <c r="BN18" s="294"/>
      <c r="BO18" s="294"/>
      <c r="BP18" s="294"/>
      <c r="BQ18" s="294"/>
      <c r="BR18" s="294"/>
      <c r="BS18" s="294"/>
      <c r="BT18" s="294"/>
      <c r="BU18" s="294"/>
      <c r="BV18" s="294"/>
      <c r="BW18" s="294"/>
      <c r="BX18" s="294"/>
      <c r="BY18" s="294"/>
      <c r="BZ18" s="294"/>
      <c r="CA18" s="294"/>
      <c r="CB18" s="294"/>
      <c r="CC18" s="294"/>
      <c r="CD18" s="294"/>
      <c r="CE18" s="294"/>
      <c r="CF18" s="294"/>
      <c r="CG18" s="294"/>
      <c r="CH18" s="294"/>
      <c r="CI18" s="294"/>
      <c r="CJ18" s="294"/>
    </row>
    <row r="19" spans="1:88" s="278" customFormat="1" ht="18" customHeight="1">
      <c r="B19" s="286"/>
      <c r="C19" s="287"/>
      <c r="D19" s="295"/>
      <c r="E19" s="1484" t="s">
        <v>181</v>
      </c>
      <c r="F19" s="1486" t="s">
        <v>182</v>
      </c>
      <c r="G19" s="1486" t="s">
        <v>181</v>
      </c>
      <c r="H19" s="1486" t="s">
        <v>182</v>
      </c>
      <c r="I19" s="1486" t="s">
        <v>181</v>
      </c>
      <c r="J19" s="1486" t="s">
        <v>182</v>
      </c>
      <c r="K19" s="279"/>
      <c r="L19" s="279"/>
      <c r="M19" s="1486" t="s">
        <v>183</v>
      </c>
      <c r="N19" s="1486" t="s">
        <v>182</v>
      </c>
      <c r="O19" s="1426"/>
      <c r="P19" s="1426"/>
      <c r="Q19" s="1426"/>
      <c r="R19" s="1486" t="s">
        <v>183</v>
      </c>
      <c r="S19" s="1486" t="s">
        <v>182</v>
      </c>
      <c r="T19" s="1449"/>
      <c r="U19" s="1449"/>
      <c r="V19" s="1452"/>
      <c r="W19" s="1438"/>
      <c r="X19" s="1454" t="s">
        <v>184</v>
      </c>
      <c r="Y19" s="1455" t="s">
        <v>169</v>
      </c>
      <c r="Z19" s="1455" t="s">
        <v>185</v>
      </c>
      <c r="AA19" s="1456" t="s">
        <v>169</v>
      </c>
      <c r="AB19" s="1456" t="s">
        <v>170</v>
      </c>
      <c r="AC19" s="288" t="s">
        <v>186</v>
      </c>
      <c r="AD19" s="1443"/>
      <c r="AE19" s="1446"/>
      <c r="AF19" s="1466"/>
      <c r="AG19" s="1489"/>
      <c r="AH19" s="1492"/>
      <c r="AI19" s="1492"/>
      <c r="AJ19" s="1492"/>
      <c r="AK19" s="1495"/>
      <c r="AL19" s="1421"/>
      <c r="AM19" s="1423"/>
      <c r="AN19" s="1426"/>
      <c r="AO19" s="296"/>
      <c r="AP19" s="1470"/>
      <c r="AQ19" s="1473"/>
      <c r="AR19" s="1476"/>
      <c r="AS19" s="1459"/>
      <c r="AU19" s="297"/>
      <c r="AV19" s="1500" t="s">
        <v>166</v>
      </c>
      <c r="AW19" s="1501"/>
      <c r="AX19" s="1502" t="s">
        <v>187</v>
      </c>
      <c r="AY19" s="1501"/>
      <c r="AZ19" s="1502" t="s">
        <v>165</v>
      </c>
      <c r="BA19" s="1501"/>
      <c r="BB19" s="298" t="s">
        <v>188</v>
      </c>
      <c r="BC19" s="299" t="s">
        <v>58</v>
      </c>
      <c r="BD19" s="1503" t="s">
        <v>189</v>
      </c>
      <c r="BE19" s="300" t="s">
        <v>190</v>
      </c>
      <c r="BF19" s="1505" t="s">
        <v>191</v>
      </c>
      <c r="BG19" s="299" t="s">
        <v>58</v>
      </c>
      <c r="BH19" s="301" t="s">
        <v>192</v>
      </c>
      <c r="BI19" s="1505" t="s">
        <v>193</v>
      </c>
      <c r="BJ19" s="1497" t="s">
        <v>194</v>
      </c>
      <c r="BK19" s="302"/>
      <c r="BL19" s="302"/>
      <c r="BM19" s="294"/>
      <c r="BN19" s="294"/>
      <c r="BO19" s="294"/>
      <c r="BP19" s="294"/>
      <c r="BQ19" s="294"/>
      <c r="BR19" s="294"/>
      <c r="BS19" s="294"/>
      <c r="BT19" s="294"/>
      <c r="BU19" s="294"/>
      <c r="BV19" s="294"/>
      <c r="BW19" s="294"/>
      <c r="BX19" s="294"/>
      <c r="BY19" s="294"/>
      <c r="BZ19" s="294"/>
      <c r="CA19" s="294"/>
      <c r="CB19" s="294"/>
      <c r="CC19" s="294"/>
      <c r="CD19" s="294"/>
      <c r="CE19" s="294"/>
      <c r="CF19" s="294"/>
      <c r="CG19" s="294"/>
      <c r="CH19" s="294"/>
      <c r="CI19" s="294"/>
      <c r="CJ19" s="294"/>
    </row>
    <row r="20" spans="1:88" s="278" customFormat="1" ht="30.75" customHeight="1" thickBot="1">
      <c r="B20" s="303"/>
      <c r="C20" s="304"/>
      <c r="D20" s="305"/>
      <c r="E20" s="1485"/>
      <c r="F20" s="1487"/>
      <c r="G20" s="1487"/>
      <c r="H20" s="1487"/>
      <c r="I20" s="1487"/>
      <c r="J20" s="1487"/>
      <c r="K20" s="306"/>
      <c r="L20" s="306"/>
      <c r="M20" s="1487"/>
      <c r="N20" s="1487"/>
      <c r="O20" s="1427"/>
      <c r="P20" s="1427"/>
      <c r="Q20" s="1427"/>
      <c r="R20" s="1487"/>
      <c r="S20" s="1487"/>
      <c r="T20" s="1450"/>
      <c r="U20" s="1450"/>
      <c r="V20" s="1453"/>
      <c r="W20" s="1439"/>
      <c r="X20" s="1507"/>
      <c r="Y20" s="1508"/>
      <c r="Z20" s="1508"/>
      <c r="AA20" s="1457"/>
      <c r="AB20" s="1457"/>
      <c r="AC20" s="307"/>
      <c r="AD20" s="1444"/>
      <c r="AE20" s="1447"/>
      <c r="AF20" s="1467"/>
      <c r="AG20" s="1490"/>
      <c r="AH20" s="1493"/>
      <c r="AI20" s="1493"/>
      <c r="AJ20" s="1493"/>
      <c r="AK20" s="1496"/>
      <c r="AL20" s="1422"/>
      <c r="AM20" s="1424"/>
      <c r="AN20" s="1427"/>
      <c r="AO20" s="308"/>
      <c r="AP20" s="1471"/>
      <c r="AQ20" s="1474"/>
      <c r="AR20" s="1477"/>
      <c r="AS20" s="1460"/>
      <c r="AU20" s="309"/>
      <c r="AV20" s="310" t="s">
        <v>195</v>
      </c>
      <c r="AW20" s="311" t="s">
        <v>169</v>
      </c>
      <c r="AX20" s="311" t="s">
        <v>196</v>
      </c>
      <c r="AY20" s="311" t="s">
        <v>169</v>
      </c>
      <c r="AZ20" s="311" t="s">
        <v>196</v>
      </c>
      <c r="BA20" s="311" t="s">
        <v>169</v>
      </c>
      <c r="BB20" s="312"/>
      <c r="BC20" s="313"/>
      <c r="BD20" s="1504"/>
      <c r="BE20" s="312"/>
      <c r="BF20" s="1506"/>
      <c r="BG20" s="313"/>
      <c r="BH20" s="314"/>
      <c r="BI20" s="1506"/>
      <c r="BJ20" s="1498"/>
      <c r="BK20" s="315"/>
      <c r="BL20" s="315"/>
      <c r="BM20" s="294"/>
      <c r="BN20" s="294"/>
      <c r="BO20" s="294"/>
      <c r="BP20" s="294"/>
      <c r="BQ20" s="294"/>
      <c r="BR20" s="294"/>
      <c r="BS20" s="294"/>
      <c r="BT20" s="294"/>
      <c r="BU20" s="294"/>
      <c r="BV20" s="294"/>
      <c r="BW20" s="294"/>
      <c r="BX20" s="294"/>
      <c r="BY20" s="294"/>
      <c r="BZ20" s="294"/>
      <c r="CA20" s="294"/>
      <c r="CB20" s="294"/>
      <c r="CC20" s="294"/>
      <c r="CD20" s="294"/>
      <c r="CE20" s="294"/>
      <c r="CF20" s="294"/>
      <c r="CG20" s="294"/>
      <c r="CH20" s="294"/>
      <c r="CI20" s="294"/>
      <c r="CJ20" s="294"/>
    </row>
    <row r="21" spans="1:88" s="316" customFormat="1" ht="15.75" customHeight="1" thickTop="1" thickBot="1">
      <c r="B21" s="317"/>
      <c r="C21" s="318"/>
      <c r="D21" s="318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20"/>
      <c r="Y21" s="319"/>
      <c r="Z21" s="319"/>
      <c r="AA21" s="319"/>
      <c r="AB21" s="319"/>
      <c r="AC21" s="319"/>
      <c r="AD21" s="319"/>
      <c r="AE21" s="319"/>
      <c r="AF21" s="319"/>
      <c r="AG21" s="319"/>
      <c r="AH21" s="319"/>
      <c r="AI21" s="319"/>
      <c r="AJ21" s="319"/>
      <c r="AK21" s="319"/>
      <c r="AL21" s="321"/>
      <c r="AM21" s="321"/>
      <c r="AN21" s="321"/>
      <c r="AO21" s="321"/>
      <c r="AP21" s="321"/>
      <c r="AQ21" s="319"/>
      <c r="AR21" s="319"/>
      <c r="AS21" s="319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322"/>
      <c r="BI21" s="322"/>
      <c r="BJ21" s="322"/>
      <c r="BK21" s="323"/>
      <c r="BL21" s="323"/>
    </row>
    <row r="22" spans="1:88" s="316" customFormat="1" ht="15.75" customHeight="1" thickTop="1">
      <c r="A22" s="324">
        <v>-3</v>
      </c>
      <c r="B22" s="325" t="str">
        <f>IF(E22+G22+I22&lt;0,0,"  ")</f>
        <v xml:space="preserve">  </v>
      </c>
      <c r="C22" s="326">
        <f>IF($C23=1,12,$C23-1)</f>
        <v>2</v>
      </c>
      <c r="D22" s="327" t="str">
        <f>IF($C25=1,$D$25-1,"             ")</f>
        <v xml:space="preserve">             </v>
      </c>
      <c r="E22" s="328">
        <f>IF($AH$10=$A22*-1,$AH$7*-1,0)</f>
        <v>0</v>
      </c>
      <c r="F22" s="329">
        <v>0</v>
      </c>
      <c r="G22" s="329">
        <f>IF($AH$11=$A22*-1,$AH$8*-1,0)</f>
        <v>0</v>
      </c>
      <c r="H22" s="329">
        <v>0</v>
      </c>
      <c r="I22" s="329">
        <f>IF($A22*-1=$AH$12,$AH$9*-1,0)</f>
        <v>0</v>
      </c>
      <c r="J22" s="329">
        <v>0</v>
      </c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>
        <f>(E22+F22+G22+H22+I22+J22)*G14*1/12</f>
        <v>0</v>
      </c>
      <c r="V22" s="329"/>
      <c r="W22" s="330">
        <f>SUM(E22:V22)</f>
        <v>0</v>
      </c>
      <c r="X22" s="331"/>
      <c r="Y22" s="332"/>
      <c r="Z22" s="332"/>
      <c r="AA22" s="332"/>
      <c r="AB22" s="332"/>
      <c r="AC22" s="333"/>
      <c r="AD22" s="334">
        <v>0</v>
      </c>
      <c r="AE22" s="335">
        <f t="shared" ref="AE22:AE85" si="0">W22+AD22</f>
        <v>0</v>
      </c>
      <c r="AF22" s="335">
        <f>IF(AE22&lt;0,PV($G$14/12,$B22,0,$AE22*-1,0),0)</f>
        <v>0</v>
      </c>
      <c r="AG22" s="331"/>
      <c r="AH22" s="332"/>
      <c r="AI22" s="332"/>
      <c r="AJ22" s="332"/>
      <c r="AK22" s="336"/>
      <c r="AL22" s="337"/>
      <c r="AM22" s="338"/>
      <c r="AN22" s="338"/>
      <c r="AO22" s="339"/>
      <c r="AP22" s="340"/>
      <c r="AQ22" s="341">
        <f>AE22+AG22+AK22+AP22</f>
        <v>0</v>
      </c>
      <c r="AR22" s="341">
        <f>AE22+Y22+AA22+AJ22+AN22+AP22</f>
        <v>0</v>
      </c>
      <c r="AS22" s="342">
        <v>-3</v>
      </c>
      <c r="AU22" s="343" t="str">
        <f>B22</f>
        <v xml:space="preserve">  </v>
      </c>
      <c r="AV22" s="344">
        <f>AI22-AK22</f>
        <v>0</v>
      </c>
      <c r="AW22" s="345">
        <f>AJ22</f>
        <v>0</v>
      </c>
      <c r="AX22" s="345">
        <f>X22</f>
        <v>0</v>
      </c>
      <c r="AY22" s="345">
        <f>Y22</f>
        <v>0</v>
      </c>
      <c r="AZ22" s="345">
        <f>Z22</f>
        <v>0</v>
      </c>
      <c r="BA22" s="345">
        <f>AA22</f>
        <v>0</v>
      </c>
      <c r="BB22" s="345">
        <f>AP22</f>
        <v>0</v>
      </c>
      <c r="BC22" s="346">
        <f>AV22+AW22+AX22+AY22+AZ22+BA22+BB22</f>
        <v>0</v>
      </c>
      <c r="BD22" s="344">
        <f>W22</f>
        <v>0</v>
      </c>
      <c r="BE22" s="345">
        <f>AN22</f>
        <v>0</v>
      </c>
      <c r="BF22" s="345">
        <v>0</v>
      </c>
      <c r="BG22" s="346">
        <f>BD22+BE22+BF22</f>
        <v>0</v>
      </c>
      <c r="BH22" s="347">
        <f>BC22+BG22</f>
        <v>0</v>
      </c>
      <c r="BI22" s="348">
        <v>0</v>
      </c>
      <c r="BJ22" s="349">
        <f>BH22+BI22</f>
        <v>0</v>
      </c>
      <c r="BK22" s="350">
        <f>IF($BJ22&lt;0,$BJ22*-1,0)</f>
        <v>0</v>
      </c>
      <c r="BL22" s="350">
        <f t="shared" ref="BL22:BL85" si="1">$BK22*$G$14*1/12</f>
        <v>0</v>
      </c>
    </row>
    <row r="23" spans="1:88" s="316" customFormat="1" ht="15.75" customHeight="1">
      <c r="A23" s="324">
        <v>-2</v>
      </c>
      <c r="B23" s="351" t="str">
        <f>IF(B22=0,1,IF(E23+G23+I23&lt;0,0,"  "))</f>
        <v xml:space="preserve">  </v>
      </c>
      <c r="C23" s="352">
        <f>IF($C24=1,12,$C24-1)</f>
        <v>3</v>
      </c>
      <c r="D23" s="353"/>
      <c r="E23" s="354">
        <f>IF($AH$10=$A23*-1,$AH$7*-1,0)</f>
        <v>0</v>
      </c>
      <c r="F23" s="355">
        <v>0</v>
      </c>
      <c r="G23" s="355">
        <f>IF($AH$11*-1=$A23,$AH$8*-1,0)</f>
        <v>0</v>
      </c>
      <c r="H23" s="355">
        <v>0</v>
      </c>
      <c r="I23" s="355">
        <f>IF($A23*-1=$AH$12,$AH$9*-1,0)</f>
        <v>0</v>
      </c>
      <c r="J23" s="355">
        <v>0</v>
      </c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>
        <f>SUM(E22:J23)*G14*1/12</f>
        <v>0</v>
      </c>
      <c r="V23" s="355"/>
      <c r="W23" s="356">
        <f t="shared" ref="W23:W85" si="2">SUM(E23:V23)</f>
        <v>0</v>
      </c>
      <c r="X23" s="357"/>
      <c r="Y23" s="351"/>
      <c r="Z23" s="351"/>
      <c r="AA23" s="351"/>
      <c r="AB23" s="351"/>
      <c r="AC23" s="358"/>
      <c r="AD23" s="359">
        <v>0</v>
      </c>
      <c r="AE23" s="360">
        <f t="shared" si="0"/>
        <v>0</v>
      </c>
      <c r="AF23" s="361">
        <f>IF(AE23&lt;0,PV($G$14/12,$B23,0,$AE23*-1,0),0)</f>
        <v>0</v>
      </c>
      <c r="AG23" s="357"/>
      <c r="AH23" s="351"/>
      <c r="AI23" s="351"/>
      <c r="AJ23" s="351"/>
      <c r="AK23" s="362"/>
      <c r="AL23" s="363"/>
      <c r="AM23" s="364"/>
      <c r="AN23" s="364"/>
      <c r="AO23" s="365"/>
      <c r="AP23" s="366"/>
      <c r="AQ23" s="367">
        <f>AE23+AG23+AK23+AP23</f>
        <v>0</v>
      </c>
      <c r="AR23" s="367">
        <f>AE23+Y23+AA23+AJ23+AN23+AP23</f>
        <v>0</v>
      </c>
      <c r="AS23" s="368">
        <v>-2</v>
      </c>
      <c r="AU23" s="369" t="str">
        <f>B23</f>
        <v xml:space="preserve">  </v>
      </c>
      <c r="AV23" s="370">
        <f>AI23-AK23</f>
        <v>0</v>
      </c>
      <c r="AW23" s="371">
        <f t="shared" ref="AW23:AW86" si="3">AJ23</f>
        <v>0</v>
      </c>
      <c r="AX23" s="371">
        <f t="shared" ref="AX23:BA86" si="4">X23</f>
        <v>0</v>
      </c>
      <c r="AY23" s="371">
        <f t="shared" si="4"/>
        <v>0</v>
      </c>
      <c r="AZ23" s="371">
        <f t="shared" si="4"/>
        <v>0</v>
      </c>
      <c r="BA23" s="371">
        <f t="shared" si="4"/>
        <v>0</v>
      </c>
      <c r="BB23" s="371">
        <f t="shared" ref="BB23:BB86" si="5">AP23</f>
        <v>0</v>
      </c>
      <c r="BC23" s="372">
        <f t="shared" ref="BC23:BC86" si="6">AV23+AW23+AX23+AY23+AZ23+BA23+BB23</f>
        <v>0</v>
      </c>
      <c r="BD23" s="370">
        <f t="shared" ref="BD23:BD86" si="7">W23</f>
        <v>0</v>
      </c>
      <c r="BE23" s="371">
        <f t="shared" ref="BE23:BE86" si="8">AN23</f>
        <v>0</v>
      </c>
      <c r="BF23" s="371">
        <f>BL22*-1</f>
        <v>0</v>
      </c>
      <c r="BG23" s="372">
        <f t="shared" ref="BG23:BG86" si="9">BD23+BE23+BF23</f>
        <v>0</v>
      </c>
      <c r="BH23" s="373">
        <f>BC23+BG23</f>
        <v>0</v>
      </c>
      <c r="BI23" s="374">
        <f>BJ22</f>
        <v>0</v>
      </c>
      <c r="BJ23" s="375">
        <f>BH23+BI23</f>
        <v>0</v>
      </c>
      <c r="BK23" s="376">
        <f>IF($BJ23&lt;0,$BJ23*-1,0)</f>
        <v>0</v>
      </c>
      <c r="BL23" s="376">
        <f t="shared" si="1"/>
        <v>0</v>
      </c>
    </row>
    <row r="24" spans="1:88" s="316" customFormat="1" ht="15.75" customHeight="1">
      <c r="A24" s="324">
        <v>-1</v>
      </c>
      <c r="B24" s="351" t="str">
        <f>IF(B22=0,2,IF(B23=0,1,IF(E24+G24+I24&lt;0,0,"  ")))</f>
        <v xml:space="preserve">  </v>
      </c>
      <c r="C24" s="352">
        <f>IF($C25=1,12,$C25-1)</f>
        <v>4</v>
      </c>
      <c r="D24" s="353"/>
      <c r="E24" s="354">
        <f>(IF($AH$10=$A24*-1,$AH$7*-1,0))+(AM7*-1)+(IF(AM7&gt;0,O9,0))</f>
        <v>0</v>
      </c>
      <c r="F24" s="355">
        <f>IF(AM7&gt;0,O9*-1,0)</f>
        <v>0</v>
      </c>
      <c r="G24" s="355">
        <f>(IF($AH$11*-1=$A24,$AH$8*-1,0))+(AM8*-1)+(IF(AM8&gt;0,R11,0))</f>
        <v>0</v>
      </c>
      <c r="H24" s="355">
        <f>IF(AM8&gt;0,R11*-1,0)</f>
        <v>0</v>
      </c>
      <c r="I24" s="355">
        <f>(IF($A24*-1=$AH$12,$AH$9*-1,0))+(AM9*-1)+(IF(AM9&gt;0,R12,0))</f>
        <v>0</v>
      </c>
      <c r="J24" s="355">
        <f>IF(AM9&gt;0,R12*-1,0)</f>
        <v>0</v>
      </c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>
        <f>SUM(E22:J24)*G14*1/12</f>
        <v>0</v>
      </c>
      <c r="V24" s="355"/>
      <c r="W24" s="356">
        <f>SUM(E24:V24)</f>
        <v>0</v>
      </c>
      <c r="X24" s="357"/>
      <c r="Y24" s="351"/>
      <c r="Z24" s="351"/>
      <c r="AA24" s="351"/>
      <c r="AB24" s="351"/>
      <c r="AC24" s="358"/>
      <c r="AD24" s="359">
        <v>0</v>
      </c>
      <c r="AE24" s="360">
        <f>W24+AD24</f>
        <v>0</v>
      </c>
      <c r="AF24" s="361">
        <f>IF(AE24&lt;0,PV($G$14/12,$B24,0,$AE24*-1,0),0)</f>
        <v>0</v>
      </c>
      <c r="AG24" s="357"/>
      <c r="AH24" s="351"/>
      <c r="AI24" s="351"/>
      <c r="AJ24" s="351"/>
      <c r="AK24" s="362"/>
      <c r="AL24" s="363"/>
      <c r="AM24" s="377">
        <f>($F24*$O$10)+($H24*$R$14)+($J24*$R$14)+($N24*$R$14)+($S24*$W$14)</f>
        <v>0</v>
      </c>
      <c r="AN24" s="378">
        <v>0</v>
      </c>
      <c r="AO24" s="379">
        <f t="shared" ref="AO24:AO87" si="10">IF(($AL24+$AO23+$AM24)&lt;0,($AL24+$AO23+$AM24),0)</f>
        <v>0</v>
      </c>
      <c r="AP24" s="366"/>
      <c r="AQ24" s="367">
        <f>AE24+AG24+AK24+AP24</f>
        <v>0</v>
      </c>
      <c r="AR24" s="367">
        <f>AE24+Y24+AA24+AJ24+AN24+AP24</f>
        <v>0</v>
      </c>
      <c r="AS24" s="368">
        <v>-1</v>
      </c>
      <c r="AU24" s="369" t="str">
        <f>B24</f>
        <v xml:space="preserve">  </v>
      </c>
      <c r="AV24" s="370">
        <f>AI24-AK24</f>
        <v>0</v>
      </c>
      <c r="AW24" s="371">
        <f t="shared" si="3"/>
        <v>0</v>
      </c>
      <c r="AX24" s="371">
        <f t="shared" si="4"/>
        <v>0</v>
      </c>
      <c r="AY24" s="371">
        <f t="shared" si="4"/>
        <v>0</v>
      </c>
      <c r="AZ24" s="371">
        <f t="shared" si="4"/>
        <v>0</v>
      </c>
      <c r="BA24" s="371">
        <f t="shared" si="4"/>
        <v>0</v>
      </c>
      <c r="BB24" s="371">
        <f t="shared" si="5"/>
        <v>0</v>
      </c>
      <c r="BC24" s="372">
        <f t="shared" si="6"/>
        <v>0</v>
      </c>
      <c r="BD24" s="370">
        <f t="shared" si="7"/>
        <v>0</v>
      </c>
      <c r="BE24" s="371">
        <f t="shared" si="8"/>
        <v>0</v>
      </c>
      <c r="BF24" s="371">
        <f>BL23*-1</f>
        <v>0</v>
      </c>
      <c r="BG24" s="372">
        <f t="shared" si="9"/>
        <v>0</v>
      </c>
      <c r="BH24" s="373">
        <f t="shared" ref="BH24:BH86" si="11">BC24+BG24</f>
        <v>0</v>
      </c>
      <c r="BI24" s="374">
        <f t="shared" ref="BI24:BI87" si="12">BJ23</f>
        <v>0</v>
      </c>
      <c r="BJ24" s="375">
        <f>BH24+BI24</f>
        <v>0</v>
      </c>
      <c r="BK24" s="376">
        <f>IF($BJ24&lt;0,$BJ24*-1,0)</f>
        <v>0</v>
      </c>
      <c r="BL24" s="376">
        <f t="shared" si="1"/>
        <v>0</v>
      </c>
    </row>
    <row r="25" spans="1:88" ht="15.75" customHeight="1">
      <c r="B25" s="351">
        <f>IF(B22=0,3,IF(B23=0,2,IF(B24=0,1,IF(E25+G25+I25&lt;0,0,"  "))))</f>
        <v>0</v>
      </c>
      <c r="C25" s="326">
        <f>$F$7</f>
        <v>5</v>
      </c>
      <c r="D25" s="380">
        <f>$G$7</f>
        <v>2018</v>
      </c>
      <c r="E25" s="381">
        <f>(-O8+O9)-E23-E24-E22</f>
        <v>-272727273</v>
      </c>
      <c r="F25" s="382">
        <f>-O9-F24</f>
        <v>0</v>
      </c>
      <c r="G25" s="382">
        <f>(-R6+R11)-G22-G23-G24</f>
        <v>-45454545</v>
      </c>
      <c r="H25" s="382">
        <f>-R11-H24</f>
        <v>0</v>
      </c>
      <c r="I25" s="382">
        <f>(-R7+R12)-I22-I23-I24</f>
        <v>0</v>
      </c>
      <c r="J25" s="382">
        <f>-R12-J24</f>
        <v>0</v>
      </c>
      <c r="K25" s="382"/>
      <c r="L25" s="382"/>
      <c r="M25" s="382">
        <f>-R8+R13</f>
        <v>0</v>
      </c>
      <c r="N25" s="382">
        <f>-R13</f>
        <v>0</v>
      </c>
      <c r="O25" s="382"/>
      <c r="P25" s="382">
        <f>AB8*-1</f>
        <v>-26249999.985000003</v>
      </c>
      <c r="Q25" s="382">
        <f>-AB7</f>
        <v>0</v>
      </c>
      <c r="R25" s="382"/>
      <c r="S25" s="393"/>
      <c r="T25" s="382">
        <f>(SUM(E25:S25)+V25+W22+W23+W24)*G14*J10/360</f>
        <v>-1103712.6256319333</v>
      </c>
      <c r="U25" s="382"/>
      <c r="V25" s="382">
        <f>-AB10</f>
        <v>0</v>
      </c>
      <c r="W25" s="383">
        <f>SUM(E25:V25)</f>
        <v>-345535530.61063194</v>
      </c>
      <c r="X25" s="384" t="e">
        <f t="shared" ref="X25:X88" si="13">IF($AS25=$J$7+1,$O$14,0)</f>
        <v>#REF!</v>
      </c>
      <c r="Y25" s="382" t="e">
        <f t="shared" ref="Y25:Y88" si="14">IF($AS25=$J$7+1,$O$15,0)</f>
        <v>#REF!</v>
      </c>
      <c r="Z25" s="382"/>
      <c r="AA25" s="382"/>
      <c r="AB25" s="382"/>
      <c r="AC25" s="385">
        <f>AB11</f>
        <v>6562499.9962500008</v>
      </c>
      <c r="AD25" s="383" t="e">
        <f>SUM(X25:AC25)-Y25-AA25</f>
        <v>#REF!</v>
      </c>
      <c r="AE25" s="386" t="e">
        <f>W25+AD25</f>
        <v>#REF!</v>
      </c>
      <c r="AF25" s="361" t="e">
        <f t="shared" ref="AF25:AF88" si="15">PV($G$14/12,$B25,0,$AE25*-1,0)</f>
        <v>#REF!</v>
      </c>
      <c r="AG25" s="384">
        <v>0</v>
      </c>
      <c r="AH25" s="382">
        <v>0</v>
      </c>
      <c r="AI25" s="382">
        <v>0</v>
      </c>
      <c r="AJ25" s="382">
        <v>0</v>
      </c>
      <c r="AK25" s="387">
        <v>0</v>
      </c>
      <c r="AL25" s="388" t="e">
        <f>Y25+AA25+AJ25</f>
        <v>#REF!</v>
      </c>
      <c r="AM25" s="377">
        <f>($F25*$O$10)+($H25*$R$14)+($J25*$R$14)+($N25*$R$14)+($S25*$W$14)</f>
        <v>0</v>
      </c>
      <c r="AN25" s="389">
        <v>0</v>
      </c>
      <c r="AO25" s="379" t="e">
        <f t="shared" si="10"/>
        <v>#REF!</v>
      </c>
      <c r="AP25" s="390">
        <v>0</v>
      </c>
      <c r="AQ25" s="367" t="e">
        <f>AE25+AG25+AK25+AP25</f>
        <v>#REF!</v>
      </c>
      <c r="AR25" s="367" t="e">
        <f>AE25+Y25+AA25+AJ25+AN25+AP25</f>
        <v>#REF!</v>
      </c>
      <c r="AS25" s="391">
        <v>0</v>
      </c>
      <c r="AT25" s="80"/>
      <c r="AU25" s="392">
        <f>B25</f>
        <v>0</v>
      </c>
      <c r="AV25" s="370">
        <f>AI25-AK25</f>
        <v>0</v>
      </c>
      <c r="AW25" s="371">
        <f t="shared" si="3"/>
        <v>0</v>
      </c>
      <c r="AX25" s="371" t="e">
        <f t="shared" si="4"/>
        <v>#REF!</v>
      </c>
      <c r="AY25" s="371" t="e">
        <f t="shared" si="4"/>
        <v>#REF!</v>
      </c>
      <c r="AZ25" s="371">
        <f t="shared" si="4"/>
        <v>0</v>
      </c>
      <c r="BA25" s="371">
        <f t="shared" si="4"/>
        <v>0</v>
      </c>
      <c r="BB25" s="371">
        <f t="shared" si="5"/>
        <v>0</v>
      </c>
      <c r="BC25" s="372" t="e">
        <f t="shared" si="6"/>
        <v>#REF!</v>
      </c>
      <c r="BD25" s="370" t="e">
        <f>AF25</f>
        <v>#REF!</v>
      </c>
      <c r="BE25" s="371">
        <f t="shared" si="8"/>
        <v>0</v>
      </c>
      <c r="BF25" s="371">
        <f t="shared" ref="BF25:BF88" si="16">BL24*-1</f>
        <v>0</v>
      </c>
      <c r="BG25" s="372" t="e">
        <f>BD25+BE25+BF25</f>
        <v>#REF!</v>
      </c>
      <c r="BH25" s="373" t="e">
        <f>BC25+BG25</f>
        <v>#REF!</v>
      </c>
      <c r="BI25" s="374">
        <f>BJ24</f>
        <v>0</v>
      </c>
      <c r="BJ25" s="375" t="e">
        <f>BH25+BI25</f>
        <v>#REF!</v>
      </c>
      <c r="BK25" s="376" t="e">
        <f>IF($BJ25&lt;0,$BJ25*-1,0)</f>
        <v>#REF!</v>
      </c>
      <c r="BL25" s="376" t="e">
        <f>$BK25*$G$14*1/12</f>
        <v>#REF!</v>
      </c>
      <c r="CB25" s="80"/>
      <c r="CC25" s="80"/>
      <c r="CD25" s="80"/>
      <c r="CE25" s="80"/>
      <c r="CF25" s="80"/>
    </row>
    <row r="26" spans="1:88" ht="15.75" customHeight="1">
      <c r="B26" s="351">
        <f>B25+1</f>
        <v>1</v>
      </c>
      <c r="C26" s="352">
        <f t="shared" ref="C26:C89" si="17">IF($C25=12,1,$C25+1)</f>
        <v>6</v>
      </c>
      <c r="D26" s="353" t="str">
        <f t="shared" ref="D26:D37" si="18">IF($C25=12,$D$25+1,"             ")</f>
        <v xml:space="preserve">             </v>
      </c>
      <c r="E26" s="381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>
        <f>-W9</f>
        <v>-1000000</v>
      </c>
      <c r="S26" s="393"/>
      <c r="T26" s="393"/>
      <c r="U26" s="393"/>
      <c r="V26" s="393"/>
      <c r="W26" s="394">
        <f>SUM(E26:V26)</f>
        <v>-1000000</v>
      </c>
      <c r="X26" s="393"/>
      <c r="Y26" s="382" t="e">
        <f t="shared" si="14"/>
        <v>#REF!</v>
      </c>
      <c r="Z26" s="382">
        <f>O11</f>
        <v>0</v>
      </c>
      <c r="AA26" s="382">
        <f>O12</f>
        <v>0</v>
      </c>
      <c r="AB26" s="382">
        <f>-O13</f>
        <v>0</v>
      </c>
      <c r="AD26" s="394" t="e">
        <f>SUM(X26:AC26)-Y26-AA26</f>
        <v>#REF!</v>
      </c>
      <c r="AE26" s="386" t="e">
        <f>W26+AD26</f>
        <v>#REF!</v>
      </c>
      <c r="AF26" s="386" t="e">
        <f t="shared" si="15"/>
        <v>#REF!</v>
      </c>
      <c r="AG26" s="381" t="e">
        <f>PMT($G$13/12,$J$7,$AF$91,0,0)</f>
        <v>#REF!</v>
      </c>
      <c r="AH26" s="393" t="e">
        <f t="shared" ref="AH26:AH89" si="19">IF($AS26&lt;=$J$7,$V$10,0)</f>
        <v>#REF!</v>
      </c>
      <c r="AI26" s="395" t="e">
        <f>AG26+AH26</f>
        <v>#REF!</v>
      </c>
      <c r="AJ26" s="393" t="e">
        <f>AI26*10%</f>
        <v>#REF!</v>
      </c>
      <c r="AK26" s="396" t="e">
        <f>-AI26*2%</f>
        <v>#REF!</v>
      </c>
      <c r="AL26" s="397" t="e">
        <f>Y26+AA26+AJ26</f>
        <v>#REF!</v>
      </c>
      <c r="AM26" s="398">
        <f>($F26*$O$12)+($H26*$R$14)+($J26*$R$14)+($N26*$R$14)+($S26*$W$14)</f>
        <v>0</v>
      </c>
      <c r="AN26" s="399" t="e">
        <f>IF(($AL26+$AO25+$AM26)&gt;0,($AL26+$AO25+$AM26)*-1,0)</f>
        <v>#REF!</v>
      </c>
      <c r="AO26" s="379" t="e">
        <f t="shared" si="10"/>
        <v>#REF!</v>
      </c>
      <c r="AP26" s="390">
        <f>IF($C26=3,SUM(AK25:AK26),0)*-1</f>
        <v>0</v>
      </c>
      <c r="AQ26" s="400" t="e">
        <f>AE26+AI26+AK26+AP26</f>
        <v>#REF!</v>
      </c>
      <c r="AR26" s="400" t="e">
        <f>AQ26+Y26+AA26+AJ26+AN26</f>
        <v>#REF!</v>
      </c>
      <c r="AS26" s="368">
        <v>1</v>
      </c>
      <c r="AT26" s="80"/>
      <c r="AU26" s="392">
        <f t="shared" ref="AU26:AU89" si="20">B26</f>
        <v>1</v>
      </c>
      <c r="AV26" s="370" t="e">
        <f>AI26+AK26</f>
        <v>#REF!</v>
      </c>
      <c r="AW26" s="371" t="e">
        <f t="shared" si="3"/>
        <v>#REF!</v>
      </c>
      <c r="AX26" s="371">
        <f t="shared" si="4"/>
        <v>0</v>
      </c>
      <c r="AY26" s="371" t="e">
        <f t="shared" si="4"/>
        <v>#REF!</v>
      </c>
      <c r="AZ26" s="371">
        <f t="shared" si="4"/>
        <v>0</v>
      </c>
      <c r="BA26" s="371">
        <f t="shared" si="4"/>
        <v>0</v>
      </c>
      <c r="BB26" s="371">
        <f t="shared" si="5"/>
        <v>0</v>
      </c>
      <c r="BC26" s="372" t="e">
        <f t="shared" si="6"/>
        <v>#REF!</v>
      </c>
      <c r="BD26" s="370">
        <f t="shared" si="7"/>
        <v>-1000000</v>
      </c>
      <c r="BE26" s="371" t="e">
        <f t="shared" si="8"/>
        <v>#REF!</v>
      </c>
      <c r="BF26" s="371" t="e">
        <f t="shared" si="16"/>
        <v>#REF!</v>
      </c>
      <c r="BG26" s="372" t="e">
        <f t="shared" si="9"/>
        <v>#REF!</v>
      </c>
      <c r="BH26" s="373" t="e">
        <f t="shared" si="11"/>
        <v>#REF!</v>
      </c>
      <c r="BI26" s="374" t="e">
        <f t="shared" si="12"/>
        <v>#REF!</v>
      </c>
      <c r="BJ26" s="375" t="e">
        <f t="shared" ref="BJ26:BJ87" si="21">BH26+BI26</f>
        <v>#REF!</v>
      </c>
      <c r="BK26" s="376" t="e">
        <f t="shared" ref="BK26:BK87" si="22">IF($BJ26&lt;0,$BJ26*-1,0)</f>
        <v>#REF!</v>
      </c>
      <c r="BL26" s="376" t="e">
        <f t="shared" si="1"/>
        <v>#REF!</v>
      </c>
      <c r="CB26" s="80"/>
      <c r="CC26" s="80"/>
      <c r="CD26" s="80"/>
      <c r="CE26" s="80"/>
      <c r="CF26" s="80"/>
    </row>
    <row r="27" spans="1:88" ht="15.75" customHeight="1">
      <c r="B27" s="351">
        <f t="shared" ref="B27:B90" si="23">B26+1</f>
        <v>2</v>
      </c>
      <c r="C27" s="352">
        <f t="shared" si="17"/>
        <v>7</v>
      </c>
      <c r="D27" s="353" t="str">
        <f t="shared" si="18"/>
        <v xml:space="preserve">             </v>
      </c>
      <c r="E27" s="381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>
        <f t="shared" ref="R27:R60" si="24">R26</f>
        <v>-1000000</v>
      </c>
      <c r="S27" s="393"/>
      <c r="T27" s="393"/>
      <c r="U27" s="393"/>
      <c r="V27" s="393"/>
      <c r="W27" s="394">
        <f t="shared" si="2"/>
        <v>-1000000</v>
      </c>
      <c r="X27" s="393"/>
      <c r="Y27" s="382" t="e">
        <f t="shared" si="14"/>
        <v>#REF!</v>
      </c>
      <c r="Z27" s="382"/>
      <c r="AA27" s="382"/>
      <c r="AB27" s="382"/>
      <c r="AC27" s="401"/>
      <c r="AD27" s="394" t="e">
        <f>SUM(X27:AB27)-Y27-AA27</f>
        <v>#REF!</v>
      </c>
      <c r="AE27" s="386" t="e">
        <f t="shared" si="0"/>
        <v>#REF!</v>
      </c>
      <c r="AF27" s="386" t="e">
        <f t="shared" si="15"/>
        <v>#REF!</v>
      </c>
      <c r="AG27" s="381" t="e">
        <f>IF(AS27&lt;=$J$7,AG26,0)</f>
        <v>#REF!</v>
      </c>
      <c r="AH27" s="393" t="e">
        <f t="shared" si="19"/>
        <v>#REF!</v>
      </c>
      <c r="AI27" s="393" t="e">
        <f t="shared" ref="AI27:AI90" si="25">AG27+AH27</f>
        <v>#REF!</v>
      </c>
      <c r="AJ27" s="393" t="e">
        <f t="shared" ref="AJ27:AJ90" si="26">AI27*10%</f>
        <v>#REF!</v>
      </c>
      <c r="AK27" s="396" t="e">
        <f>-AI27*2%</f>
        <v>#REF!</v>
      </c>
      <c r="AL27" s="397" t="e">
        <f t="shared" ref="AL27:AL90" si="27">Y27+AA27+AJ27</f>
        <v>#REF!</v>
      </c>
      <c r="AM27" s="398">
        <f t="shared" ref="AM27:AM89" si="28">($F27*$O$12)+($H27*$R$14)+($J27*$R$14)+($N27*$R$14)+($S27*$W$14)</f>
        <v>0</v>
      </c>
      <c r="AN27" s="399" t="e">
        <f>IF(($AL27+$AO26+$AM27)&gt;0,($AL27+$AO26+$AM27)*-1,0)</f>
        <v>#REF!</v>
      </c>
      <c r="AO27" s="379" t="e">
        <f t="shared" si="10"/>
        <v>#REF!</v>
      </c>
      <c r="AP27" s="390">
        <f>IF($C27=3,SUM(AK24:AK24),0)*-1</f>
        <v>0</v>
      </c>
      <c r="AQ27" s="400" t="e">
        <f>AE27+AI27+AK27+AP27</f>
        <v>#REF!</v>
      </c>
      <c r="AR27" s="400" t="e">
        <f>AQ27+Y27+AA27+AJ27+AN27</f>
        <v>#REF!</v>
      </c>
      <c r="AS27" s="368">
        <v>2</v>
      </c>
      <c r="AT27" s="80"/>
      <c r="AU27" s="392">
        <f t="shared" si="20"/>
        <v>2</v>
      </c>
      <c r="AV27" s="370" t="e">
        <f>AI27+AK27</f>
        <v>#REF!</v>
      </c>
      <c r="AW27" s="371" t="e">
        <f t="shared" si="3"/>
        <v>#REF!</v>
      </c>
      <c r="AX27" s="371">
        <f t="shared" si="4"/>
        <v>0</v>
      </c>
      <c r="AY27" s="371" t="e">
        <f t="shared" si="4"/>
        <v>#REF!</v>
      </c>
      <c r="AZ27" s="371">
        <f t="shared" si="4"/>
        <v>0</v>
      </c>
      <c r="BA27" s="371">
        <f t="shared" si="4"/>
        <v>0</v>
      </c>
      <c r="BB27" s="371">
        <f t="shared" si="5"/>
        <v>0</v>
      </c>
      <c r="BC27" s="372" t="e">
        <f t="shared" si="6"/>
        <v>#REF!</v>
      </c>
      <c r="BD27" s="370">
        <f t="shared" si="7"/>
        <v>-1000000</v>
      </c>
      <c r="BE27" s="371" t="e">
        <f t="shared" si="8"/>
        <v>#REF!</v>
      </c>
      <c r="BF27" s="371" t="e">
        <f t="shared" si="16"/>
        <v>#REF!</v>
      </c>
      <c r="BG27" s="372" t="e">
        <f t="shared" si="9"/>
        <v>#REF!</v>
      </c>
      <c r="BH27" s="373" t="e">
        <f>BC27+BG27</f>
        <v>#REF!</v>
      </c>
      <c r="BI27" s="374" t="e">
        <f>BJ26</f>
        <v>#REF!</v>
      </c>
      <c r="BJ27" s="375" t="e">
        <f>BH27+BI27</f>
        <v>#REF!</v>
      </c>
      <c r="BK27" s="376" t="e">
        <f t="shared" si="22"/>
        <v>#REF!</v>
      </c>
      <c r="BL27" s="376" t="e">
        <f t="shared" si="1"/>
        <v>#REF!</v>
      </c>
      <c r="CB27" s="80"/>
      <c r="CC27" s="80"/>
      <c r="CD27" s="80"/>
      <c r="CE27" s="80"/>
      <c r="CF27" s="80"/>
    </row>
    <row r="28" spans="1:88" ht="15.75" customHeight="1">
      <c r="B28" s="351">
        <f t="shared" si="23"/>
        <v>3</v>
      </c>
      <c r="C28" s="352">
        <f t="shared" si="17"/>
        <v>8</v>
      </c>
      <c r="D28" s="353" t="str">
        <f t="shared" si="18"/>
        <v xml:space="preserve">             </v>
      </c>
      <c r="E28" s="381"/>
      <c r="F28" s="393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>
        <f t="shared" si="24"/>
        <v>-1000000</v>
      </c>
      <c r="S28" s="393"/>
      <c r="T28" s="393"/>
      <c r="U28" s="393"/>
      <c r="V28" s="393"/>
      <c r="W28" s="394">
        <f t="shared" si="2"/>
        <v>-1000000</v>
      </c>
      <c r="X28" s="393"/>
      <c r="Y28" s="382" t="e">
        <f t="shared" si="14"/>
        <v>#REF!</v>
      </c>
      <c r="Z28" s="382"/>
      <c r="AA28" s="382"/>
      <c r="AB28" s="382"/>
      <c r="AC28" s="401"/>
      <c r="AD28" s="394" t="e">
        <f t="shared" ref="AD28:AD90" si="29">SUM(X28:AB28)-Y28-AA28</f>
        <v>#REF!</v>
      </c>
      <c r="AE28" s="386" t="e">
        <f t="shared" si="0"/>
        <v>#REF!</v>
      </c>
      <c r="AF28" s="386" t="e">
        <f t="shared" si="15"/>
        <v>#REF!</v>
      </c>
      <c r="AG28" s="381" t="e">
        <f>IF(AS28&lt;=$J$7,AG27,0)</f>
        <v>#REF!</v>
      </c>
      <c r="AH28" s="393" t="e">
        <f t="shared" si="19"/>
        <v>#REF!</v>
      </c>
      <c r="AI28" s="393" t="e">
        <f>AG28+AH28</f>
        <v>#REF!</v>
      </c>
      <c r="AJ28" s="393" t="e">
        <f t="shared" si="26"/>
        <v>#REF!</v>
      </c>
      <c r="AK28" s="396" t="e">
        <f t="shared" ref="AK28:AK90" si="30">-AI28*2%</f>
        <v>#REF!</v>
      </c>
      <c r="AL28" s="397" t="e">
        <f t="shared" si="27"/>
        <v>#REF!</v>
      </c>
      <c r="AM28" s="398">
        <f t="shared" si="28"/>
        <v>0</v>
      </c>
      <c r="AN28" s="399" t="e">
        <f>IF(($AL28+$AO27+$AM28)&gt;0,($AL28+$AO27+$AM28)*-1,0)</f>
        <v>#REF!</v>
      </c>
      <c r="AO28" s="379" t="e">
        <f t="shared" si="10"/>
        <v>#REF!</v>
      </c>
      <c r="AP28" s="390">
        <f>IF($C28=3,SUM(AK25:AK25),0)*-1</f>
        <v>0</v>
      </c>
      <c r="AQ28" s="400" t="e">
        <f>AE28+AI28+AK28+AP28</f>
        <v>#REF!</v>
      </c>
      <c r="AR28" s="400" t="e">
        <f>AQ28+Y28+AA28+AJ28+AN28</f>
        <v>#REF!</v>
      </c>
      <c r="AS28" s="368">
        <f>AS27+1</f>
        <v>3</v>
      </c>
      <c r="AT28" s="80"/>
      <c r="AU28" s="392">
        <f t="shared" si="20"/>
        <v>3</v>
      </c>
      <c r="AV28" s="370" t="e">
        <f t="shared" ref="AV28:AV75" si="31">AI28+AK28</f>
        <v>#REF!</v>
      </c>
      <c r="AW28" s="371" t="e">
        <f t="shared" si="3"/>
        <v>#REF!</v>
      </c>
      <c r="AX28" s="371">
        <f t="shared" si="4"/>
        <v>0</v>
      </c>
      <c r="AY28" s="371" t="e">
        <f t="shared" si="4"/>
        <v>#REF!</v>
      </c>
      <c r="AZ28" s="371">
        <f t="shared" si="4"/>
        <v>0</v>
      </c>
      <c r="BA28" s="371">
        <f t="shared" si="4"/>
        <v>0</v>
      </c>
      <c r="BB28" s="371">
        <f t="shared" si="5"/>
        <v>0</v>
      </c>
      <c r="BC28" s="372" t="e">
        <f t="shared" si="6"/>
        <v>#REF!</v>
      </c>
      <c r="BD28" s="370">
        <f t="shared" si="7"/>
        <v>-1000000</v>
      </c>
      <c r="BE28" s="371" t="e">
        <f t="shared" si="8"/>
        <v>#REF!</v>
      </c>
      <c r="BF28" s="371" t="e">
        <f t="shared" si="16"/>
        <v>#REF!</v>
      </c>
      <c r="BG28" s="372" t="e">
        <f t="shared" si="9"/>
        <v>#REF!</v>
      </c>
      <c r="BH28" s="373" t="e">
        <f t="shared" si="11"/>
        <v>#REF!</v>
      </c>
      <c r="BI28" s="374" t="e">
        <f t="shared" si="12"/>
        <v>#REF!</v>
      </c>
      <c r="BJ28" s="375" t="e">
        <f t="shared" si="21"/>
        <v>#REF!</v>
      </c>
      <c r="BK28" s="376" t="e">
        <f t="shared" si="22"/>
        <v>#REF!</v>
      </c>
      <c r="BL28" s="376" t="e">
        <f t="shared" si="1"/>
        <v>#REF!</v>
      </c>
      <c r="CB28" s="80"/>
      <c r="CC28" s="80"/>
      <c r="CD28" s="80"/>
      <c r="CE28" s="80"/>
      <c r="CF28" s="80"/>
    </row>
    <row r="29" spans="1:88" ht="15.75" customHeight="1">
      <c r="B29" s="351">
        <f t="shared" si="23"/>
        <v>4</v>
      </c>
      <c r="C29" s="352">
        <f t="shared" si="17"/>
        <v>9</v>
      </c>
      <c r="D29" s="353" t="str">
        <f t="shared" si="18"/>
        <v xml:space="preserve">             </v>
      </c>
      <c r="E29" s="381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>
        <f t="shared" si="24"/>
        <v>-1000000</v>
      </c>
      <c r="S29" s="393"/>
      <c r="T29" s="393"/>
      <c r="U29" s="393"/>
      <c r="V29" s="393"/>
      <c r="W29" s="394">
        <f t="shared" si="2"/>
        <v>-1000000</v>
      </c>
      <c r="X29" s="393"/>
      <c r="Y29" s="382" t="e">
        <f t="shared" si="14"/>
        <v>#REF!</v>
      </c>
      <c r="Z29" s="382"/>
      <c r="AA29" s="382"/>
      <c r="AB29" s="382"/>
      <c r="AC29" s="401"/>
      <c r="AD29" s="394" t="e">
        <f t="shared" si="29"/>
        <v>#REF!</v>
      </c>
      <c r="AE29" s="386" t="e">
        <f t="shared" si="0"/>
        <v>#REF!</v>
      </c>
      <c r="AF29" s="386" t="e">
        <f t="shared" si="15"/>
        <v>#REF!</v>
      </c>
      <c r="AG29" s="381" t="e">
        <f>IF(AS29&lt;=$J$7,AG28,0)</f>
        <v>#REF!</v>
      </c>
      <c r="AH29" s="393" t="e">
        <f t="shared" si="19"/>
        <v>#REF!</v>
      </c>
      <c r="AI29" s="393" t="e">
        <f t="shared" si="25"/>
        <v>#REF!</v>
      </c>
      <c r="AJ29" s="393" t="e">
        <f t="shared" si="26"/>
        <v>#REF!</v>
      </c>
      <c r="AK29" s="396" t="e">
        <f t="shared" si="30"/>
        <v>#REF!</v>
      </c>
      <c r="AL29" s="397" t="e">
        <f t="shared" si="27"/>
        <v>#REF!</v>
      </c>
      <c r="AM29" s="398">
        <f t="shared" si="28"/>
        <v>0</v>
      </c>
      <c r="AN29" s="399" t="e">
        <f t="shared" ref="AN29:AN90" si="32">IF(($AL29+$AO28+$AM29)&gt;0,($AL29+$AO28+$AM29)*-1,0)</f>
        <v>#REF!</v>
      </c>
      <c r="AO29" s="379" t="e">
        <f t="shared" si="10"/>
        <v>#REF!</v>
      </c>
      <c r="AP29" s="390">
        <f>IF($C29=3,SUM(AK25:AK26),0)*-1</f>
        <v>0</v>
      </c>
      <c r="AQ29" s="400" t="e">
        <f>AE29+AI29+AK29+AP29</f>
        <v>#REF!</v>
      </c>
      <c r="AR29" s="400" t="e">
        <f>AQ29+Y29+AA29+AJ29+AN29</f>
        <v>#REF!</v>
      </c>
      <c r="AS29" s="368">
        <f t="shared" ref="AS29:AS90" si="33">AS28+1</f>
        <v>4</v>
      </c>
      <c r="AT29" s="80"/>
      <c r="AU29" s="392">
        <f t="shared" si="20"/>
        <v>4</v>
      </c>
      <c r="AV29" s="370" t="e">
        <f t="shared" si="31"/>
        <v>#REF!</v>
      </c>
      <c r="AW29" s="371" t="e">
        <f t="shared" si="3"/>
        <v>#REF!</v>
      </c>
      <c r="AX29" s="371">
        <f t="shared" si="4"/>
        <v>0</v>
      </c>
      <c r="AY29" s="371" t="e">
        <f t="shared" si="4"/>
        <v>#REF!</v>
      </c>
      <c r="AZ29" s="371">
        <f t="shared" si="4"/>
        <v>0</v>
      </c>
      <c r="BA29" s="371">
        <f t="shared" si="4"/>
        <v>0</v>
      </c>
      <c r="BB29" s="371">
        <f t="shared" si="5"/>
        <v>0</v>
      </c>
      <c r="BC29" s="372" t="e">
        <f t="shared" si="6"/>
        <v>#REF!</v>
      </c>
      <c r="BD29" s="370">
        <f t="shared" si="7"/>
        <v>-1000000</v>
      </c>
      <c r="BE29" s="371" t="e">
        <f t="shared" si="8"/>
        <v>#REF!</v>
      </c>
      <c r="BF29" s="371" t="e">
        <f t="shared" si="16"/>
        <v>#REF!</v>
      </c>
      <c r="BG29" s="372" t="e">
        <f t="shared" si="9"/>
        <v>#REF!</v>
      </c>
      <c r="BH29" s="373" t="e">
        <f t="shared" si="11"/>
        <v>#REF!</v>
      </c>
      <c r="BI29" s="374" t="e">
        <f>BJ28</f>
        <v>#REF!</v>
      </c>
      <c r="BJ29" s="375" t="e">
        <f t="shared" si="21"/>
        <v>#REF!</v>
      </c>
      <c r="BK29" s="376" t="e">
        <f t="shared" si="22"/>
        <v>#REF!</v>
      </c>
      <c r="BL29" s="376" t="e">
        <f t="shared" si="1"/>
        <v>#REF!</v>
      </c>
      <c r="CB29" s="80"/>
      <c r="CC29" s="80"/>
      <c r="CD29" s="80"/>
      <c r="CE29" s="80"/>
      <c r="CF29" s="80"/>
    </row>
    <row r="30" spans="1:88" ht="15.75" customHeight="1">
      <c r="B30" s="351">
        <f t="shared" si="23"/>
        <v>5</v>
      </c>
      <c r="C30" s="352">
        <f t="shared" si="17"/>
        <v>10</v>
      </c>
      <c r="D30" s="353" t="str">
        <f t="shared" si="18"/>
        <v xml:space="preserve">             </v>
      </c>
      <c r="E30" s="381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>
        <f t="shared" si="24"/>
        <v>-1000000</v>
      </c>
      <c r="S30" s="393"/>
      <c r="T30" s="393"/>
      <c r="U30" s="393"/>
      <c r="V30" s="393"/>
      <c r="W30" s="394">
        <f t="shared" si="2"/>
        <v>-1000000</v>
      </c>
      <c r="X30" s="393"/>
      <c r="Y30" s="382" t="e">
        <f t="shared" si="14"/>
        <v>#REF!</v>
      </c>
      <c r="Z30" s="382"/>
      <c r="AA30" s="382"/>
      <c r="AB30" s="382"/>
      <c r="AC30" s="401"/>
      <c r="AD30" s="394" t="e">
        <f t="shared" si="29"/>
        <v>#REF!</v>
      </c>
      <c r="AE30" s="386" t="e">
        <f t="shared" si="0"/>
        <v>#REF!</v>
      </c>
      <c r="AF30" s="386" t="e">
        <f t="shared" si="15"/>
        <v>#REF!</v>
      </c>
      <c r="AG30" s="381" t="e">
        <f t="shared" ref="AG30:AG90" si="34">IF(AS30&lt;=$J$7,AG29,0)</f>
        <v>#REF!</v>
      </c>
      <c r="AH30" s="393" t="e">
        <f t="shared" si="19"/>
        <v>#REF!</v>
      </c>
      <c r="AI30" s="393" t="e">
        <f t="shared" si="25"/>
        <v>#REF!</v>
      </c>
      <c r="AJ30" s="393" t="e">
        <f t="shared" si="26"/>
        <v>#REF!</v>
      </c>
      <c r="AK30" s="396" t="e">
        <f t="shared" si="30"/>
        <v>#REF!</v>
      </c>
      <c r="AL30" s="397" t="e">
        <f t="shared" si="27"/>
        <v>#REF!</v>
      </c>
      <c r="AM30" s="398">
        <f t="shared" si="28"/>
        <v>0</v>
      </c>
      <c r="AN30" s="399" t="e">
        <f t="shared" si="32"/>
        <v>#REF!</v>
      </c>
      <c r="AO30" s="379" t="e">
        <f t="shared" si="10"/>
        <v>#REF!</v>
      </c>
      <c r="AP30" s="390">
        <f>IF($C30=3,SUM(AK25:AK27),0)*-1</f>
        <v>0</v>
      </c>
      <c r="AQ30" s="400" t="e">
        <f t="shared" ref="AQ30:AQ90" si="35">AE30+AI30+AK30+AP30</f>
        <v>#REF!</v>
      </c>
      <c r="AR30" s="400" t="e">
        <f>AQ30+Y30+AA30+AJ30+AN30</f>
        <v>#REF!</v>
      </c>
      <c r="AS30" s="368">
        <f t="shared" si="33"/>
        <v>5</v>
      </c>
      <c r="AT30" s="80"/>
      <c r="AU30" s="392">
        <f t="shared" si="20"/>
        <v>5</v>
      </c>
      <c r="AV30" s="370" t="e">
        <f t="shared" si="31"/>
        <v>#REF!</v>
      </c>
      <c r="AW30" s="371" t="e">
        <f t="shared" si="3"/>
        <v>#REF!</v>
      </c>
      <c r="AX30" s="371">
        <f t="shared" si="4"/>
        <v>0</v>
      </c>
      <c r="AY30" s="371" t="e">
        <f t="shared" si="4"/>
        <v>#REF!</v>
      </c>
      <c r="AZ30" s="371">
        <f t="shared" si="4"/>
        <v>0</v>
      </c>
      <c r="BA30" s="371">
        <f t="shared" si="4"/>
        <v>0</v>
      </c>
      <c r="BB30" s="371">
        <f t="shared" si="5"/>
        <v>0</v>
      </c>
      <c r="BC30" s="372" t="e">
        <f t="shared" si="6"/>
        <v>#REF!</v>
      </c>
      <c r="BD30" s="370">
        <f t="shared" si="7"/>
        <v>-1000000</v>
      </c>
      <c r="BE30" s="371" t="e">
        <f t="shared" si="8"/>
        <v>#REF!</v>
      </c>
      <c r="BF30" s="371" t="e">
        <f t="shared" si="16"/>
        <v>#REF!</v>
      </c>
      <c r="BG30" s="372" t="e">
        <f t="shared" si="9"/>
        <v>#REF!</v>
      </c>
      <c r="BH30" s="373" t="e">
        <f t="shared" si="11"/>
        <v>#REF!</v>
      </c>
      <c r="BI30" s="374" t="e">
        <f t="shared" si="12"/>
        <v>#REF!</v>
      </c>
      <c r="BJ30" s="375" t="e">
        <f>BH30+BI30</f>
        <v>#REF!</v>
      </c>
      <c r="BK30" s="376" t="e">
        <f t="shared" si="22"/>
        <v>#REF!</v>
      </c>
      <c r="BL30" s="376" t="e">
        <f t="shared" si="1"/>
        <v>#REF!</v>
      </c>
      <c r="CB30" s="80"/>
      <c r="CC30" s="80"/>
      <c r="CD30" s="80"/>
      <c r="CE30" s="80"/>
      <c r="CF30" s="80"/>
    </row>
    <row r="31" spans="1:88" ht="15.75" customHeight="1">
      <c r="B31" s="351">
        <f t="shared" si="23"/>
        <v>6</v>
      </c>
      <c r="C31" s="352">
        <f t="shared" si="17"/>
        <v>11</v>
      </c>
      <c r="D31" s="353" t="str">
        <f t="shared" si="18"/>
        <v xml:space="preserve">             </v>
      </c>
      <c r="E31" s="381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>
        <f t="shared" si="24"/>
        <v>-1000000</v>
      </c>
      <c r="S31" s="393"/>
      <c r="T31" s="393"/>
      <c r="U31" s="393"/>
      <c r="V31" s="393"/>
      <c r="W31" s="394">
        <f t="shared" si="2"/>
        <v>-1000000</v>
      </c>
      <c r="X31" s="393"/>
      <c r="Y31" s="382" t="e">
        <f t="shared" si="14"/>
        <v>#REF!</v>
      </c>
      <c r="Z31" s="382"/>
      <c r="AA31" s="382"/>
      <c r="AB31" s="382"/>
      <c r="AC31" s="401"/>
      <c r="AD31" s="394" t="e">
        <f t="shared" si="29"/>
        <v>#REF!</v>
      </c>
      <c r="AE31" s="386" t="e">
        <f t="shared" si="0"/>
        <v>#REF!</v>
      </c>
      <c r="AF31" s="386" t="e">
        <f t="shared" si="15"/>
        <v>#REF!</v>
      </c>
      <c r="AG31" s="381" t="e">
        <f t="shared" si="34"/>
        <v>#REF!</v>
      </c>
      <c r="AH31" s="393" t="e">
        <f t="shared" si="19"/>
        <v>#REF!</v>
      </c>
      <c r="AI31" s="393" t="e">
        <f t="shared" si="25"/>
        <v>#REF!</v>
      </c>
      <c r="AJ31" s="393" t="e">
        <f t="shared" si="26"/>
        <v>#REF!</v>
      </c>
      <c r="AK31" s="396" t="e">
        <f t="shared" si="30"/>
        <v>#REF!</v>
      </c>
      <c r="AL31" s="397" t="e">
        <f t="shared" si="27"/>
        <v>#REF!</v>
      </c>
      <c r="AM31" s="398">
        <f t="shared" si="28"/>
        <v>0</v>
      </c>
      <c r="AN31" s="399" t="e">
        <f t="shared" si="32"/>
        <v>#REF!</v>
      </c>
      <c r="AO31" s="379" t="e">
        <f t="shared" si="10"/>
        <v>#REF!</v>
      </c>
      <c r="AP31" s="390">
        <f>IF($C31=3,SUM(AK25:AK28),0)*-1</f>
        <v>0</v>
      </c>
      <c r="AQ31" s="400" t="e">
        <f t="shared" si="35"/>
        <v>#REF!</v>
      </c>
      <c r="AR31" s="400" t="e">
        <f t="shared" ref="AR31:AR90" si="36">AQ31+Y31+AA31+AJ31+AN31</f>
        <v>#REF!</v>
      </c>
      <c r="AS31" s="368">
        <f t="shared" si="33"/>
        <v>6</v>
      </c>
      <c r="AT31" s="80"/>
      <c r="AU31" s="392">
        <f t="shared" si="20"/>
        <v>6</v>
      </c>
      <c r="AV31" s="370" t="e">
        <f t="shared" si="31"/>
        <v>#REF!</v>
      </c>
      <c r="AW31" s="371" t="e">
        <f t="shared" si="3"/>
        <v>#REF!</v>
      </c>
      <c r="AX31" s="371">
        <f t="shared" si="4"/>
        <v>0</v>
      </c>
      <c r="AY31" s="371" t="e">
        <f t="shared" si="4"/>
        <v>#REF!</v>
      </c>
      <c r="AZ31" s="371">
        <f t="shared" si="4"/>
        <v>0</v>
      </c>
      <c r="BA31" s="371">
        <f t="shared" si="4"/>
        <v>0</v>
      </c>
      <c r="BB31" s="371">
        <f t="shared" si="5"/>
        <v>0</v>
      </c>
      <c r="BC31" s="372" t="e">
        <f t="shared" si="6"/>
        <v>#REF!</v>
      </c>
      <c r="BD31" s="370">
        <f t="shared" si="7"/>
        <v>-1000000</v>
      </c>
      <c r="BE31" s="371" t="e">
        <f t="shared" si="8"/>
        <v>#REF!</v>
      </c>
      <c r="BF31" s="371" t="e">
        <f t="shared" si="16"/>
        <v>#REF!</v>
      </c>
      <c r="BG31" s="372" t="e">
        <f t="shared" si="9"/>
        <v>#REF!</v>
      </c>
      <c r="BH31" s="373" t="e">
        <f t="shared" si="11"/>
        <v>#REF!</v>
      </c>
      <c r="BI31" s="374" t="e">
        <f t="shared" si="12"/>
        <v>#REF!</v>
      </c>
      <c r="BJ31" s="375" t="e">
        <f t="shared" si="21"/>
        <v>#REF!</v>
      </c>
      <c r="BK31" s="376" t="e">
        <f t="shared" si="22"/>
        <v>#REF!</v>
      </c>
      <c r="BL31" s="376" t="e">
        <f t="shared" si="1"/>
        <v>#REF!</v>
      </c>
      <c r="CB31" s="80"/>
      <c r="CC31" s="80"/>
      <c r="CD31" s="80"/>
      <c r="CE31" s="80"/>
      <c r="CF31" s="80"/>
    </row>
    <row r="32" spans="1:88" ht="15.75" customHeight="1">
      <c r="B32" s="351">
        <f t="shared" si="23"/>
        <v>7</v>
      </c>
      <c r="C32" s="352">
        <f t="shared" si="17"/>
        <v>12</v>
      </c>
      <c r="D32" s="353" t="str">
        <f t="shared" si="18"/>
        <v xml:space="preserve">             </v>
      </c>
      <c r="E32" s="381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>
        <f t="shared" si="24"/>
        <v>-1000000</v>
      </c>
      <c r="S32" s="393"/>
      <c r="T32" s="393"/>
      <c r="U32" s="393"/>
      <c r="V32" s="393"/>
      <c r="W32" s="394">
        <f t="shared" si="2"/>
        <v>-1000000</v>
      </c>
      <c r="X32" s="393"/>
      <c r="Y32" s="382" t="e">
        <f t="shared" si="14"/>
        <v>#REF!</v>
      </c>
      <c r="Z32" s="382"/>
      <c r="AA32" s="382"/>
      <c r="AB32" s="382"/>
      <c r="AC32" s="401"/>
      <c r="AD32" s="394" t="e">
        <f t="shared" si="29"/>
        <v>#REF!</v>
      </c>
      <c r="AE32" s="386" t="e">
        <f t="shared" si="0"/>
        <v>#REF!</v>
      </c>
      <c r="AF32" s="386" t="e">
        <f t="shared" si="15"/>
        <v>#REF!</v>
      </c>
      <c r="AG32" s="381" t="e">
        <f t="shared" si="34"/>
        <v>#REF!</v>
      </c>
      <c r="AH32" s="393" t="e">
        <f t="shared" si="19"/>
        <v>#REF!</v>
      </c>
      <c r="AI32" s="393" t="e">
        <f t="shared" si="25"/>
        <v>#REF!</v>
      </c>
      <c r="AJ32" s="393" t="e">
        <f t="shared" si="26"/>
        <v>#REF!</v>
      </c>
      <c r="AK32" s="396" t="e">
        <f t="shared" si="30"/>
        <v>#REF!</v>
      </c>
      <c r="AL32" s="397" t="e">
        <f t="shared" si="27"/>
        <v>#REF!</v>
      </c>
      <c r="AM32" s="398">
        <f t="shared" si="28"/>
        <v>0</v>
      </c>
      <c r="AN32" s="399" t="e">
        <f t="shared" si="32"/>
        <v>#REF!</v>
      </c>
      <c r="AO32" s="379" t="e">
        <f t="shared" si="10"/>
        <v>#REF!</v>
      </c>
      <c r="AP32" s="390">
        <f>IF($C32=3,SUM(AK25:AK29),0)*-1</f>
        <v>0</v>
      </c>
      <c r="AQ32" s="400" t="e">
        <f t="shared" si="35"/>
        <v>#REF!</v>
      </c>
      <c r="AR32" s="400" t="e">
        <f t="shared" si="36"/>
        <v>#REF!</v>
      </c>
      <c r="AS32" s="368">
        <f t="shared" si="33"/>
        <v>7</v>
      </c>
      <c r="AT32" s="80"/>
      <c r="AU32" s="392">
        <f t="shared" si="20"/>
        <v>7</v>
      </c>
      <c r="AV32" s="370" t="e">
        <f t="shared" si="31"/>
        <v>#REF!</v>
      </c>
      <c r="AW32" s="371" t="e">
        <f t="shared" si="3"/>
        <v>#REF!</v>
      </c>
      <c r="AX32" s="371">
        <f t="shared" si="4"/>
        <v>0</v>
      </c>
      <c r="AY32" s="371" t="e">
        <f t="shared" si="4"/>
        <v>#REF!</v>
      </c>
      <c r="AZ32" s="371">
        <f t="shared" si="4"/>
        <v>0</v>
      </c>
      <c r="BA32" s="371">
        <f t="shared" si="4"/>
        <v>0</v>
      </c>
      <c r="BB32" s="371">
        <f t="shared" si="5"/>
        <v>0</v>
      </c>
      <c r="BC32" s="372" t="e">
        <f t="shared" si="6"/>
        <v>#REF!</v>
      </c>
      <c r="BD32" s="370">
        <f t="shared" si="7"/>
        <v>-1000000</v>
      </c>
      <c r="BE32" s="371" t="e">
        <f t="shared" si="8"/>
        <v>#REF!</v>
      </c>
      <c r="BF32" s="371" t="e">
        <f t="shared" si="16"/>
        <v>#REF!</v>
      </c>
      <c r="BG32" s="372" t="e">
        <f t="shared" si="9"/>
        <v>#REF!</v>
      </c>
      <c r="BH32" s="373" t="e">
        <f t="shared" si="11"/>
        <v>#REF!</v>
      </c>
      <c r="BI32" s="374" t="e">
        <f t="shared" si="12"/>
        <v>#REF!</v>
      </c>
      <c r="BJ32" s="375" t="e">
        <f t="shared" si="21"/>
        <v>#REF!</v>
      </c>
      <c r="BK32" s="376" t="e">
        <f t="shared" si="22"/>
        <v>#REF!</v>
      </c>
      <c r="BL32" s="376" t="e">
        <f t="shared" si="1"/>
        <v>#REF!</v>
      </c>
      <c r="CB32" s="80"/>
      <c r="CC32" s="80"/>
      <c r="CD32" s="80"/>
      <c r="CE32" s="80"/>
      <c r="CF32" s="80"/>
    </row>
    <row r="33" spans="2:84" ht="15.75" customHeight="1">
      <c r="B33" s="351">
        <f t="shared" si="23"/>
        <v>8</v>
      </c>
      <c r="C33" s="352">
        <f t="shared" si="17"/>
        <v>1</v>
      </c>
      <c r="D33" s="353">
        <f t="shared" si="18"/>
        <v>2019</v>
      </c>
      <c r="E33" s="381"/>
      <c r="F33" s="393"/>
      <c r="G33" s="393"/>
      <c r="H33" s="393"/>
      <c r="I33" s="393"/>
      <c r="J33" s="393"/>
      <c r="K33" s="393"/>
      <c r="L33" s="393"/>
      <c r="M33" s="393"/>
      <c r="N33" s="393"/>
      <c r="O33" s="393"/>
      <c r="P33" s="393"/>
      <c r="Q33" s="393"/>
      <c r="R33" s="393">
        <f t="shared" si="24"/>
        <v>-1000000</v>
      </c>
      <c r="S33" s="393"/>
      <c r="T33" s="393"/>
      <c r="U33" s="393"/>
      <c r="V33" s="393"/>
      <c r="W33" s="394">
        <f>SUM(E33:V33)</f>
        <v>-1000000</v>
      </c>
      <c r="X33" s="393"/>
      <c r="Y33" s="382" t="e">
        <f t="shared" si="14"/>
        <v>#REF!</v>
      </c>
      <c r="Z33" s="382"/>
      <c r="AA33" s="382"/>
      <c r="AB33" s="382"/>
      <c r="AC33" s="401"/>
      <c r="AD33" s="394" t="e">
        <f t="shared" si="29"/>
        <v>#REF!</v>
      </c>
      <c r="AE33" s="386" t="e">
        <f t="shared" si="0"/>
        <v>#REF!</v>
      </c>
      <c r="AF33" s="386" t="e">
        <f t="shared" si="15"/>
        <v>#REF!</v>
      </c>
      <c r="AG33" s="381" t="e">
        <f t="shared" si="34"/>
        <v>#REF!</v>
      </c>
      <c r="AH33" s="393" t="e">
        <f t="shared" si="19"/>
        <v>#REF!</v>
      </c>
      <c r="AI33" s="393" t="e">
        <f t="shared" si="25"/>
        <v>#REF!</v>
      </c>
      <c r="AJ33" s="393" t="e">
        <f t="shared" si="26"/>
        <v>#REF!</v>
      </c>
      <c r="AK33" s="396" t="e">
        <f t="shared" si="30"/>
        <v>#REF!</v>
      </c>
      <c r="AL33" s="397" t="e">
        <f t="shared" si="27"/>
        <v>#REF!</v>
      </c>
      <c r="AM33" s="398">
        <f t="shared" si="28"/>
        <v>0</v>
      </c>
      <c r="AN33" s="399" t="e">
        <f t="shared" si="32"/>
        <v>#REF!</v>
      </c>
      <c r="AO33" s="379" t="e">
        <f t="shared" si="10"/>
        <v>#REF!</v>
      </c>
      <c r="AP33" s="390">
        <f>IF($C33=3,SUM(AK25:AK30),0)*-1</f>
        <v>0</v>
      </c>
      <c r="AQ33" s="400" t="e">
        <f t="shared" si="35"/>
        <v>#REF!</v>
      </c>
      <c r="AR33" s="400" t="e">
        <f t="shared" si="36"/>
        <v>#REF!</v>
      </c>
      <c r="AS33" s="368">
        <f t="shared" si="33"/>
        <v>8</v>
      </c>
      <c r="AT33" s="80"/>
      <c r="AU33" s="392">
        <f t="shared" si="20"/>
        <v>8</v>
      </c>
      <c r="AV33" s="370" t="e">
        <f t="shared" si="31"/>
        <v>#REF!</v>
      </c>
      <c r="AW33" s="371" t="e">
        <f t="shared" si="3"/>
        <v>#REF!</v>
      </c>
      <c r="AX33" s="371">
        <f t="shared" si="4"/>
        <v>0</v>
      </c>
      <c r="AY33" s="371" t="e">
        <f t="shared" si="4"/>
        <v>#REF!</v>
      </c>
      <c r="AZ33" s="371">
        <f t="shared" si="4"/>
        <v>0</v>
      </c>
      <c r="BA33" s="371">
        <f t="shared" si="4"/>
        <v>0</v>
      </c>
      <c r="BB33" s="371">
        <f t="shared" si="5"/>
        <v>0</v>
      </c>
      <c r="BC33" s="372" t="e">
        <f t="shared" si="6"/>
        <v>#REF!</v>
      </c>
      <c r="BD33" s="370">
        <f t="shared" si="7"/>
        <v>-1000000</v>
      </c>
      <c r="BE33" s="371" t="e">
        <f t="shared" si="8"/>
        <v>#REF!</v>
      </c>
      <c r="BF33" s="371" t="e">
        <f t="shared" si="16"/>
        <v>#REF!</v>
      </c>
      <c r="BG33" s="372" t="e">
        <f t="shared" si="9"/>
        <v>#REF!</v>
      </c>
      <c r="BH33" s="373" t="e">
        <f t="shared" si="11"/>
        <v>#REF!</v>
      </c>
      <c r="BI33" s="374" t="e">
        <f t="shared" si="12"/>
        <v>#REF!</v>
      </c>
      <c r="BJ33" s="375" t="e">
        <f t="shared" si="21"/>
        <v>#REF!</v>
      </c>
      <c r="BK33" s="376" t="e">
        <f t="shared" si="22"/>
        <v>#REF!</v>
      </c>
      <c r="BL33" s="376" t="e">
        <f t="shared" si="1"/>
        <v>#REF!</v>
      </c>
      <c r="CB33" s="80"/>
      <c r="CC33" s="80"/>
      <c r="CD33" s="80"/>
      <c r="CE33" s="80"/>
      <c r="CF33" s="80"/>
    </row>
    <row r="34" spans="2:84" ht="15.75" customHeight="1">
      <c r="B34" s="351">
        <f t="shared" si="23"/>
        <v>9</v>
      </c>
      <c r="C34" s="352">
        <f t="shared" si="17"/>
        <v>2</v>
      </c>
      <c r="D34" s="353" t="str">
        <f t="shared" si="18"/>
        <v xml:space="preserve">             </v>
      </c>
      <c r="E34" s="381"/>
      <c r="F34" s="393"/>
      <c r="G34" s="393"/>
      <c r="H34" s="393"/>
      <c r="I34" s="393"/>
      <c r="J34" s="393"/>
      <c r="K34" s="393"/>
      <c r="L34" s="393"/>
      <c r="M34" s="393"/>
      <c r="N34" s="393"/>
      <c r="O34" s="393"/>
      <c r="P34" s="393"/>
      <c r="Q34" s="393"/>
      <c r="R34" s="393">
        <f t="shared" si="24"/>
        <v>-1000000</v>
      </c>
      <c r="S34" s="393"/>
      <c r="T34" s="393"/>
      <c r="U34" s="393"/>
      <c r="V34" s="393"/>
      <c r="W34" s="394">
        <f t="shared" si="2"/>
        <v>-1000000</v>
      </c>
      <c r="X34" s="393"/>
      <c r="Y34" s="382" t="e">
        <f t="shared" si="14"/>
        <v>#REF!</v>
      </c>
      <c r="Z34" s="382"/>
      <c r="AA34" s="382"/>
      <c r="AB34" s="382"/>
      <c r="AC34" s="401"/>
      <c r="AD34" s="394" t="e">
        <f t="shared" si="29"/>
        <v>#REF!</v>
      </c>
      <c r="AE34" s="386" t="e">
        <f t="shared" si="0"/>
        <v>#REF!</v>
      </c>
      <c r="AF34" s="386" t="e">
        <f t="shared" si="15"/>
        <v>#REF!</v>
      </c>
      <c r="AG34" s="381" t="e">
        <f t="shared" si="34"/>
        <v>#REF!</v>
      </c>
      <c r="AH34" s="393" t="e">
        <f t="shared" si="19"/>
        <v>#REF!</v>
      </c>
      <c r="AI34" s="393" t="e">
        <f t="shared" si="25"/>
        <v>#REF!</v>
      </c>
      <c r="AJ34" s="393" t="e">
        <f t="shared" si="26"/>
        <v>#REF!</v>
      </c>
      <c r="AK34" s="396" t="e">
        <f t="shared" si="30"/>
        <v>#REF!</v>
      </c>
      <c r="AL34" s="397" t="e">
        <f t="shared" si="27"/>
        <v>#REF!</v>
      </c>
      <c r="AM34" s="398">
        <f t="shared" si="28"/>
        <v>0</v>
      </c>
      <c r="AN34" s="399" t="e">
        <f t="shared" si="32"/>
        <v>#REF!</v>
      </c>
      <c r="AO34" s="379" t="e">
        <f t="shared" si="10"/>
        <v>#REF!</v>
      </c>
      <c r="AP34" s="390">
        <f>IF($C34=3,SUM(AK25:AK31),0)*-1</f>
        <v>0</v>
      </c>
      <c r="AQ34" s="400" t="e">
        <f t="shared" si="35"/>
        <v>#REF!</v>
      </c>
      <c r="AR34" s="400" t="e">
        <f t="shared" si="36"/>
        <v>#REF!</v>
      </c>
      <c r="AS34" s="368">
        <f t="shared" si="33"/>
        <v>9</v>
      </c>
      <c r="AT34" s="80"/>
      <c r="AU34" s="392">
        <f t="shared" si="20"/>
        <v>9</v>
      </c>
      <c r="AV34" s="370" t="e">
        <f t="shared" si="31"/>
        <v>#REF!</v>
      </c>
      <c r="AW34" s="371" t="e">
        <f t="shared" si="3"/>
        <v>#REF!</v>
      </c>
      <c r="AX34" s="371">
        <f t="shared" si="4"/>
        <v>0</v>
      </c>
      <c r="AY34" s="371" t="e">
        <f t="shared" si="4"/>
        <v>#REF!</v>
      </c>
      <c r="AZ34" s="371">
        <f t="shared" si="4"/>
        <v>0</v>
      </c>
      <c r="BA34" s="371">
        <f t="shared" si="4"/>
        <v>0</v>
      </c>
      <c r="BB34" s="371">
        <f t="shared" si="5"/>
        <v>0</v>
      </c>
      <c r="BC34" s="372" t="e">
        <f t="shared" si="6"/>
        <v>#REF!</v>
      </c>
      <c r="BD34" s="370">
        <f t="shared" si="7"/>
        <v>-1000000</v>
      </c>
      <c r="BE34" s="371" t="e">
        <f t="shared" si="8"/>
        <v>#REF!</v>
      </c>
      <c r="BF34" s="371" t="e">
        <f t="shared" si="16"/>
        <v>#REF!</v>
      </c>
      <c r="BG34" s="372" t="e">
        <f t="shared" si="9"/>
        <v>#REF!</v>
      </c>
      <c r="BH34" s="373" t="e">
        <f t="shared" si="11"/>
        <v>#REF!</v>
      </c>
      <c r="BI34" s="374" t="e">
        <f t="shared" si="12"/>
        <v>#REF!</v>
      </c>
      <c r="BJ34" s="375" t="e">
        <f t="shared" si="21"/>
        <v>#REF!</v>
      </c>
      <c r="BK34" s="376" t="e">
        <f t="shared" si="22"/>
        <v>#REF!</v>
      </c>
      <c r="BL34" s="376" t="e">
        <f t="shared" si="1"/>
        <v>#REF!</v>
      </c>
      <c r="CB34" s="80"/>
      <c r="CC34" s="80"/>
      <c r="CD34" s="80"/>
      <c r="CE34" s="80"/>
      <c r="CF34" s="80"/>
    </row>
    <row r="35" spans="2:84" ht="15.75" customHeight="1">
      <c r="B35" s="351">
        <f t="shared" si="23"/>
        <v>10</v>
      </c>
      <c r="C35" s="352">
        <f t="shared" si="17"/>
        <v>3</v>
      </c>
      <c r="D35" s="353" t="str">
        <f t="shared" si="18"/>
        <v xml:space="preserve">             </v>
      </c>
      <c r="E35" s="381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>
        <f t="shared" si="24"/>
        <v>-1000000</v>
      </c>
      <c r="S35" s="393"/>
      <c r="T35" s="393"/>
      <c r="U35" s="393"/>
      <c r="V35" s="393"/>
      <c r="W35" s="394">
        <f t="shared" si="2"/>
        <v>-1000000</v>
      </c>
      <c r="X35" s="393"/>
      <c r="Y35" s="382" t="e">
        <f t="shared" si="14"/>
        <v>#REF!</v>
      </c>
      <c r="Z35" s="382"/>
      <c r="AA35" s="382"/>
      <c r="AB35" s="382"/>
      <c r="AC35" s="401"/>
      <c r="AD35" s="394" t="e">
        <f t="shared" si="29"/>
        <v>#REF!</v>
      </c>
      <c r="AE35" s="386" t="e">
        <f t="shared" si="0"/>
        <v>#REF!</v>
      </c>
      <c r="AF35" s="386" t="e">
        <f t="shared" si="15"/>
        <v>#REF!</v>
      </c>
      <c r="AG35" s="381" t="e">
        <f t="shared" si="34"/>
        <v>#REF!</v>
      </c>
      <c r="AH35" s="393" t="e">
        <f t="shared" si="19"/>
        <v>#REF!</v>
      </c>
      <c r="AI35" s="393" t="e">
        <f t="shared" si="25"/>
        <v>#REF!</v>
      </c>
      <c r="AJ35" s="393" t="e">
        <f t="shared" si="26"/>
        <v>#REF!</v>
      </c>
      <c r="AK35" s="396" t="e">
        <f t="shared" si="30"/>
        <v>#REF!</v>
      </c>
      <c r="AL35" s="397" t="e">
        <f t="shared" si="27"/>
        <v>#REF!</v>
      </c>
      <c r="AM35" s="398">
        <f t="shared" si="28"/>
        <v>0</v>
      </c>
      <c r="AN35" s="399" t="e">
        <f t="shared" si="32"/>
        <v>#REF!</v>
      </c>
      <c r="AO35" s="379" t="e">
        <f t="shared" si="10"/>
        <v>#REF!</v>
      </c>
      <c r="AP35" s="390" t="e">
        <f>IF($C35=3,SUM(AK25:AK32),0)*-1</f>
        <v>#REF!</v>
      </c>
      <c r="AQ35" s="400" t="e">
        <f t="shared" si="35"/>
        <v>#REF!</v>
      </c>
      <c r="AR35" s="400" t="e">
        <f t="shared" si="36"/>
        <v>#REF!</v>
      </c>
      <c r="AS35" s="368">
        <f t="shared" si="33"/>
        <v>10</v>
      </c>
      <c r="AT35" s="80"/>
      <c r="AU35" s="392">
        <f t="shared" si="20"/>
        <v>10</v>
      </c>
      <c r="AV35" s="370" t="e">
        <f t="shared" si="31"/>
        <v>#REF!</v>
      </c>
      <c r="AW35" s="371" t="e">
        <f t="shared" si="3"/>
        <v>#REF!</v>
      </c>
      <c r="AX35" s="371">
        <f t="shared" si="4"/>
        <v>0</v>
      </c>
      <c r="AY35" s="371" t="e">
        <f t="shared" si="4"/>
        <v>#REF!</v>
      </c>
      <c r="AZ35" s="371">
        <f t="shared" si="4"/>
        <v>0</v>
      </c>
      <c r="BA35" s="371">
        <f t="shared" si="4"/>
        <v>0</v>
      </c>
      <c r="BB35" s="371">
        <v>0</v>
      </c>
      <c r="BC35" s="372" t="e">
        <f t="shared" si="6"/>
        <v>#REF!</v>
      </c>
      <c r="BD35" s="370">
        <f t="shared" si="7"/>
        <v>-1000000</v>
      </c>
      <c r="BE35" s="371" t="e">
        <f t="shared" si="8"/>
        <v>#REF!</v>
      </c>
      <c r="BF35" s="371" t="e">
        <f t="shared" si="16"/>
        <v>#REF!</v>
      </c>
      <c r="BG35" s="372" t="e">
        <f t="shared" si="9"/>
        <v>#REF!</v>
      </c>
      <c r="BH35" s="373" t="e">
        <f t="shared" si="11"/>
        <v>#REF!</v>
      </c>
      <c r="BI35" s="374" t="e">
        <f t="shared" si="12"/>
        <v>#REF!</v>
      </c>
      <c r="BJ35" s="375" t="e">
        <f t="shared" si="21"/>
        <v>#REF!</v>
      </c>
      <c r="BK35" s="376" t="e">
        <f t="shared" si="22"/>
        <v>#REF!</v>
      </c>
      <c r="BL35" s="376" t="e">
        <f t="shared" si="1"/>
        <v>#REF!</v>
      </c>
      <c r="CB35" s="80"/>
      <c r="CC35" s="80"/>
      <c r="CD35" s="80"/>
      <c r="CE35" s="80"/>
      <c r="CF35" s="80"/>
    </row>
    <row r="36" spans="2:84" s="421" customFormat="1" ht="15.75" customHeight="1">
      <c r="B36" s="402">
        <f t="shared" si="23"/>
        <v>11</v>
      </c>
      <c r="C36" s="403">
        <f t="shared" si="17"/>
        <v>4</v>
      </c>
      <c r="D36" s="404" t="str">
        <f t="shared" si="18"/>
        <v xml:space="preserve">             </v>
      </c>
      <c r="E36" s="405"/>
      <c r="F36" s="406"/>
      <c r="G36" s="406"/>
      <c r="H36" s="406"/>
      <c r="I36" s="406"/>
      <c r="J36" s="406"/>
      <c r="K36" s="406"/>
      <c r="L36" s="406"/>
      <c r="M36" s="406"/>
      <c r="N36" s="406"/>
      <c r="O36" s="406">
        <f>(AB9/3)*-1</f>
        <v>-10000000</v>
      </c>
      <c r="P36" s="406"/>
      <c r="Q36" s="406"/>
      <c r="R36" s="393">
        <f t="shared" si="24"/>
        <v>-1000000</v>
      </c>
      <c r="S36" s="393"/>
      <c r="T36" s="406"/>
      <c r="U36" s="406"/>
      <c r="V36" s="406"/>
      <c r="W36" s="407">
        <f t="shared" si="2"/>
        <v>-11000000</v>
      </c>
      <c r="X36" s="393"/>
      <c r="Y36" s="409" t="e">
        <f t="shared" si="14"/>
        <v>#REF!</v>
      </c>
      <c r="Z36" s="409"/>
      <c r="AA36" s="409"/>
      <c r="AB36" s="409"/>
      <c r="AC36" s="410"/>
      <c r="AD36" s="407" t="e">
        <f t="shared" si="29"/>
        <v>#REF!</v>
      </c>
      <c r="AE36" s="411" t="e">
        <f>W36+AD36</f>
        <v>#REF!</v>
      </c>
      <c r="AF36" s="412" t="e">
        <f t="shared" si="15"/>
        <v>#REF!</v>
      </c>
      <c r="AG36" s="405" t="e">
        <f t="shared" si="34"/>
        <v>#REF!</v>
      </c>
      <c r="AH36" s="406" t="e">
        <f t="shared" si="19"/>
        <v>#REF!</v>
      </c>
      <c r="AI36" s="406" t="e">
        <f t="shared" si="25"/>
        <v>#REF!</v>
      </c>
      <c r="AJ36" s="406" t="e">
        <f t="shared" si="26"/>
        <v>#REF!</v>
      </c>
      <c r="AK36" s="413" t="e">
        <f t="shared" si="30"/>
        <v>#REF!</v>
      </c>
      <c r="AL36" s="414" t="e">
        <f t="shared" si="27"/>
        <v>#REF!</v>
      </c>
      <c r="AM36" s="415">
        <f t="shared" si="28"/>
        <v>0</v>
      </c>
      <c r="AN36" s="416" t="e">
        <f t="shared" si="32"/>
        <v>#REF!</v>
      </c>
      <c r="AO36" s="417" t="e">
        <f t="shared" si="10"/>
        <v>#REF!</v>
      </c>
      <c r="AP36" s="418">
        <f>IF($C36=3,SUM(AK25:AK33),0)*-1</f>
        <v>0</v>
      </c>
      <c r="AQ36" s="419" t="e">
        <f t="shared" si="35"/>
        <v>#REF!</v>
      </c>
      <c r="AR36" s="419" t="e">
        <f>AQ36+Y36+AA36+AJ36+AN36</f>
        <v>#REF!</v>
      </c>
      <c r="AS36" s="420">
        <f t="shared" si="33"/>
        <v>11</v>
      </c>
      <c r="AU36" s="422">
        <f t="shared" si="20"/>
        <v>11</v>
      </c>
      <c r="AV36" s="423" t="e">
        <f t="shared" si="31"/>
        <v>#REF!</v>
      </c>
      <c r="AW36" s="424" t="e">
        <f t="shared" si="3"/>
        <v>#REF!</v>
      </c>
      <c r="AX36" s="424">
        <f t="shared" si="4"/>
        <v>0</v>
      </c>
      <c r="AY36" s="424" t="e">
        <f t="shared" si="4"/>
        <v>#REF!</v>
      </c>
      <c r="AZ36" s="424">
        <f t="shared" si="4"/>
        <v>0</v>
      </c>
      <c r="BA36" s="424">
        <f t="shared" si="4"/>
        <v>0</v>
      </c>
      <c r="BB36" s="424">
        <f t="shared" si="5"/>
        <v>0</v>
      </c>
      <c r="BC36" s="407" t="e">
        <f t="shared" si="6"/>
        <v>#REF!</v>
      </c>
      <c r="BD36" s="423">
        <f t="shared" si="7"/>
        <v>-11000000</v>
      </c>
      <c r="BE36" s="424" t="e">
        <f t="shared" si="8"/>
        <v>#REF!</v>
      </c>
      <c r="BF36" s="424" t="e">
        <f t="shared" si="16"/>
        <v>#REF!</v>
      </c>
      <c r="BG36" s="407" t="e">
        <f t="shared" si="9"/>
        <v>#REF!</v>
      </c>
      <c r="BH36" s="425" t="e">
        <f t="shared" si="11"/>
        <v>#REF!</v>
      </c>
      <c r="BI36" s="426" t="e">
        <f t="shared" si="12"/>
        <v>#REF!</v>
      </c>
      <c r="BJ36" s="427" t="e">
        <f t="shared" si="21"/>
        <v>#REF!</v>
      </c>
      <c r="BK36" s="428" t="e">
        <f t="shared" si="22"/>
        <v>#REF!</v>
      </c>
      <c r="BL36" s="428" t="e">
        <f t="shared" si="1"/>
        <v>#REF!</v>
      </c>
    </row>
    <row r="37" spans="2:84" ht="15.75" customHeight="1">
      <c r="B37" s="351">
        <f t="shared" si="23"/>
        <v>12</v>
      </c>
      <c r="C37" s="352">
        <f t="shared" si="17"/>
        <v>5</v>
      </c>
      <c r="D37" s="353" t="str">
        <f t="shared" si="18"/>
        <v xml:space="preserve">             </v>
      </c>
      <c r="E37" s="381"/>
      <c r="F37" s="393"/>
      <c r="G37" s="393"/>
      <c r="H37" s="393"/>
      <c r="I37" s="393"/>
      <c r="J37" s="393"/>
      <c r="K37" s="393"/>
      <c r="L37" s="393"/>
      <c r="M37" s="393"/>
      <c r="N37" s="393"/>
      <c r="P37" s="393"/>
      <c r="Q37" s="393"/>
      <c r="R37" s="393">
        <f t="shared" si="24"/>
        <v>-1000000</v>
      </c>
      <c r="S37" s="393"/>
      <c r="T37" s="393"/>
      <c r="U37" s="393"/>
      <c r="V37" s="393"/>
      <c r="W37" s="394">
        <f t="shared" si="2"/>
        <v>-1000000</v>
      </c>
      <c r="X37" s="393"/>
      <c r="Y37" s="382" t="e">
        <f t="shared" si="14"/>
        <v>#REF!</v>
      </c>
      <c r="Z37" s="382"/>
      <c r="AA37" s="382"/>
      <c r="AB37" s="382"/>
      <c r="AC37" s="401"/>
      <c r="AD37" s="394" t="e">
        <f t="shared" si="29"/>
        <v>#REF!</v>
      </c>
      <c r="AE37" s="386" t="e">
        <f t="shared" si="0"/>
        <v>#REF!</v>
      </c>
      <c r="AF37" s="386" t="e">
        <f t="shared" si="15"/>
        <v>#REF!</v>
      </c>
      <c r="AG37" s="381" t="e">
        <f t="shared" si="34"/>
        <v>#REF!</v>
      </c>
      <c r="AH37" s="393" t="e">
        <f t="shared" si="19"/>
        <v>#REF!</v>
      </c>
      <c r="AI37" s="393" t="e">
        <f t="shared" si="25"/>
        <v>#REF!</v>
      </c>
      <c r="AJ37" s="393" t="e">
        <f t="shared" si="26"/>
        <v>#REF!</v>
      </c>
      <c r="AK37" s="396" t="e">
        <f t="shared" si="30"/>
        <v>#REF!</v>
      </c>
      <c r="AL37" s="397" t="e">
        <f t="shared" si="27"/>
        <v>#REF!</v>
      </c>
      <c r="AM37" s="398">
        <f t="shared" si="28"/>
        <v>0</v>
      </c>
      <c r="AN37" s="399" t="e">
        <f t="shared" si="32"/>
        <v>#REF!</v>
      </c>
      <c r="AO37" s="379" t="e">
        <f t="shared" si="10"/>
        <v>#REF!</v>
      </c>
      <c r="AP37" s="390">
        <f>IF($C37=3,SUM(AK25:AK34),0)*-1</f>
        <v>0</v>
      </c>
      <c r="AQ37" s="400" t="e">
        <f t="shared" si="35"/>
        <v>#REF!</v>
      </c>
      <c r="AR37" s="400" t="e">
        <f t="shared" si="36"/>
        <v>#REF!</v>
      </c>
      <c r="AS37" s="368">
        <f t="shared" si="33"/>
        <v>12</v>
      </c>
      <c r="AT37" s="80"/>
      <c r="AU37" s="392">
        <f t="shared" si="20"/>
        <v>12</v>
      </c>
      <c r="AV37" s="370" t="e">
        <f t="shared" si="31"/>
        <v>#REF!</v>
      </c>
      <c r="AW37" s="371" t="e">
        <f t="shared" si="3"/>
        <v>#REF!</v>
      </c>
      <c r="AX37" s="371">
        <f t="shared" si="4"/>
        <v>0</v>
      </c>
      <c r="AY37" s="371" t="e">
        <f t="shared" si="4"/>
        <v>#REF!</v>
      </c>
      <c r="AZ37" s="371">
        <f t="shared" si="4"/>
        <v>0</v>
      </c>
      <c r="BA37" s="371">
        <f t="shared" si="4"/>
        <v>0</v>
      </c>
      <c r="BB37" s="371">
        <f t="shared" si="5"/>
        <v>0</v>
      </c>
      <c r="BC37" s="372" t="e">
        <f t="shared" si="6"/>
        <v>#REF!</v>
      </c>
      <c r="BD37" s="370">
        <f t="shared" si="7"/>
        <v>-1000000</v>
      </c>
      <c r="BE37" s="371" t="e">
        <f t="shared" si="8"/>
        <v>#REF!</v>
      </c>
      <c r="BF37" s="371" t="e">
        <f t="shared" si="16"/>
        <v>#REF!</v>
      </c>
      <c r="BG37" s="372" t="e">
        <f t="shared" si="9"/>
        <v>#REF!</v>
      </c>
      <c r="BH37" s="373" t="e">
        <f t="shared" si="11"/>
        <v>#REF!</v>
      </c>
      <c r="BI37" s="374" t="e">
        <f t="shared" si="12"/>
        <v>#REF!</v>
      </c>
      <c r="BJ37" s="375" t="e">
        <f t="shared" si="21"/>
        <v>#REF!</v>
      </c>
      <c r="BK37" s="376" t="e">
        <f t="shared" si="22"/>
        <v>#REF!</v>
      </c>
      <c r="BL37" s="376" t="e">
        <f t="shared" si="1"/>
        <v>#REF!</v>
      </c>
      <c r="CB37" s="80"/>
      <c r="CC37" s="80"/>
      <c r="CD37" s="80"/>
      <c r="CE37" s="80"/>
      <c r="CF37" s="80"/>
    </row>
    <row r="38" spans="2:84" ht="16.5" customHeight="1">
      <c r="B38" s="351">
        <f t="shared" si="23"/>
        <v>13</v>
      </c>
      <c r="C38" s="352">
        <f t="shared" si="17"/>
        <v>6</v>
      </c>
      <c r="D38" s="353" t="str">
        <f>IF($C37=12,$D$37+1,"             ")</f>
        <v xml:space="preserve">             </v>
      </c>
      <c r="E38" s="381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>
        <f t="shared" si="24"/>
        <v>-1000000</v>
      </c>
      <c r="S38" s="393"/>
      <c r="T38" s="393"/>
      <c r="U38" s="393"/>
      <c r="V38" s="393"/>
      <c r="W38" s="394">
        <f t="shared" si="2"/>
        <v>-1000000</v>
      </c>
      <c r="X38" s="393"/>
      <c r="Y38" s="382" t="e">
        <f t="shared" si="14"/>
        <v>#REF!</v>
      </c>
      <c r="Z38" s="382"/>
      <c r="AA38" s="382"/>
      <c r="AB38" s="382"/>
      <c r="AC38" s="401"/>
      <c r="AD38" s="394" t="e">
        <f t="shared" si="29"/>
        <v>#REF!</v>
      </c>
      <c r="AE38" s="386" t="e">
        <f t="shared" si="0"/>
        <v>#REF!</v>
      </c>
      <c r="AF38" s="386" t="e">
        <f t="shared" si="15"/>
        <v>#REF!</v>
      </c>
      <c r="AG38" s="381" t="e">
        <f t="shared" si="34"/>
        <v>#REF!</v>
      </c>
      <c r="AH38" s="393" t="e">
        <f t="shared" si="19"/>
        <v>#REF!</v>
      </c>
      <c r="AI38" s="393" t="e">
        <f t="shared" si="25"/>
        <v>#REF!</v>
      </c>
      <c r="AJ38" s="393" t="e">
        <f t="shared" si="26"/>
        <v>#REF!</v>
      </c>
      <c r="AK38" s="396" t="e">
        <f t="shared" si="30"/>
        <v>#REF!</v>
      </c>
      <c r="AL38" s="397" t="e">
        <f t="shared" si="27"/>
        <v>#REF!</v>
      </c>
      <c r="AM38" s="398">
        <f t="shared" si="28"/>
        <v>0</v>
      </c>
      <c r="AN38" s="399" t="e">
        <f t="shared" si="32"/>
        <v>#REF!</v>
      </c>
      <c r="AO38" s="379" t="e">
        <f t="shared" si="10"/>
        <v>#REF!</v>
      </c>
      <c r="AP38" s="390">
        <f>IF($C38=3,SUM(AK25:AK35),0)*-1</f>
        <v>0</v>
      </c>
      <c r="AQ38" s="400" t="e">
        <f>AE38+AI38+AK38+AP38</f>
        <v>#REF!</v>
      </c>
      <c r="AR38" s="400" t="e">
        <f t="shared" si="36"/>
        <v>#REF!</v>
      </c>
      <c r="AS38" s="368">
        <f t="shared" si="33"/>
        <v>13</v>
      </c>
      <c r="AT38" s="80"/>
      <c r="AU38" s="392">
        <f t="shared" si="20"/>
        <v>13</v>
      </c>
      <c r="AV38" s="370" t="e">
        <f t="shared" si="31"/>
        <v>#REF!</v>
      </c>
      <c r="AW38" s="371" t="e">
        <f t="shared" si="3"/>
        <v>#REF!</v>
      </c>
      <c r="AX38" s="371">
        <f t="shared" si="4"/>
        <v>0</v>
      </c>
      <c r="AY38" s="371" t="e">
        <f t="shared" si="4"/>
        <v>#REF!</v>
      </c>
      <c r="AZ38" s="371">
        <f t="shared" si="4"/>
        <v>0</v>
      </c>
      <c r="BA38" s="371">
        <f t="shared" si="4"/>
        <v>0</v>
      </c>
      <c r="BB38" s="371">
        <f t="shared" si="5"/>
        <v>0</v>
      </c>
      <c r="BC38" s="372" t="e">
        <f t="shared" si="6"/>
        <v>#REF!</v>
      </c>
      <c r="BD38" s="370">
        <f t="shared" si="7"/>
        <v>-1000000</v>
      </c>
      <c r="BE38" s="371" t="e">
        <f t="shared" si="8"/>
        <v>#REF!</v>
      </c>
      <c r="BF38" s="371" t="e">
        <f t="shared" si="16"/>
        <v>#REF!</v>
      </c>
      <c r="BG38" s="372" t="e">
        <f t="shared" si="9"/>
        <v>#REF!</v>
      </c>
      <c r="BH38" s="373" t="e">
        <f t="shared" si="11"/>
        <v>#REF!</v>
      </c>
      <c r="BI38" s="374" t="e">
        <f t="shared" si="12"/>
        <v>#REF!</v>
      </c>
      <c r="BJ38" s="375" t="e">
        <f t="shared" si="21"/>
        <v>#REF!</v>
      </c>
      <c r="BK38" s="376" t="e">
        <f t="shared" si="22"/>
        <v>#REF!</v>
      </c>
      <c r="BL38" s="376" t="e">
        <f t="shared" si="1"/>
        <v>#REF!</v>
      </c>
      <c r="CB38" s="80"/>
      <c r="CC38" s="80"/>
      <c r="CD38" s="80"/>
      <c r="CE38" s="80"/>
      <c r="CF38" s="80"/>
    </row>
    <row r="39" spans="2:84" ht="15.75" customHeight="1">
      <c r="B39" s="351">
        <f t="shared" si="23"/>
        <v>14</v>
      </c>
      <c r="C39" s="352">
        <f t="shared" si="17"/>
        <v>7</v>
      </c>
      <c r="D39" s="353" t="str">
        <f t="shared" ref="D39:D49" si="37">IF($C38=12,$D$37+1,"             ")</f>
        <v xml:space="preserve">             </v>
      </c>
      <c r="E39" s="381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3"/>
      <c r="R39" s="393">
        <f t="shared" si="24"/>
        <v>-1000000</v>
      </c>
      <c r="S39" s="393"/>
      <c r="T39" s="393"/>
      <c r="U39" s="393"/>
      <c r="V39" s="393"/>
      <c r="W39" s="394">
        <f t="shared" si="2"/>
        <v>-1000000</v>
      </c>
      <c r="X39" s="393"/>
      <c r="Y39" s="382" t="e">
        <f t="shared" si="14"/>
        <v>#REF!</v>
      </c>
      <c r="Z39" s="382"/>
      <c r="AA39" s="382"/>
      <c r="AB39" s="382"/>
      <c r="AC39" s="401"/>
      <c r="AD39" s="394" t="e">
        <f t="shared" si="29"/>
        <v>#REF!</v>
      </c>
      <c r="AE39" s="386" t="e">
        <f t="shared" si="0"/>
        <v>#REF!</v>
      </c>
      <c r="AF39" s="386" t="e">
        <f t="shared" si="15"/>
        <v>#REF!</v>
      </c>
      <c r="AG39" s="381" t="e">
        <f t="shared" si="34"/>
        <v>#REF!</v>
      </c>
      <c r="AH39" s="393" t="e">
        <f t="shared" si="19"/>
        <v>#REF!</v>
      </c>
      <c r="AI39" s="393" t="e">
        <f t="shared" si="25"/>
        <v>#REF!</v>
      </c>
      <c r="AJ39" s="393" t="e">
        <f t="shared" si="26"/>
        <v>#REF!</v>
      </c>
      <c r="AK39" s="396" t="e">
        <f t="shared" si="30"/>
        <v>#REF!</v>
      </c>
      <c r="AL39" s="397" t="e">
        <f t="shared" si="27"/>
        <v>#REF!</v>
      </c>
      <c r="AM39" s="398">
        <f t="shared" si="28"/>
        <v>0</v>
      </c>
      <c r="AN39" s="399" t="e">
        <f t="shared" si="32"/>
        <v>#REF!</v>
      </c>
      <c r="AO39" s="379" t="e">
        <f t="shared" si="10"/>
        <v>#REF!</v>
      </c>
      <c r="AP39" s="390">
        <f>IF($C39=3,SUM(AK25:AK36),0)*-1</f>
        <v>0</v>
      </c>
      <c r="AQ39" s="400" t="e">
        <f>AE39+AI39+AK39+AP39</f>
        <v>#REF!</v>
      </c>
      <c r="AR39" s="400" t="e">
        <f t="shared" si="36"/>
        <v>#REF!</v>
      </c>
      <c r="AS39" s="368">
        <f t="shared" si="33"/>
        <v>14</v>
      </c>
      <c r="AT39" s="80"/>
      <c r="AU39" s="392">
        <f t="shared" si="20"/>
        <v>14</v>
      </c>
      <c r="AV39" s="370" t="e">
        <f t="shared" si="31"/>
        <v>#REF!</v>
      </c>
      <c r="AW39" s="371" t="e">
        <f t="shared" si="3"/>
        <v>#REF!</v>
      </c>
      <c r="AX39" s="371">
        <f t="shared" si="4"/>
        <v>0</v>
      </c>
      <c r="AY39" s="371" t="e">
        <f t="shared" si="4"/>
        <v>#REF!</v>
      </c>
      <c r="AZ39" s="371">
        <f t="shared" si="4"/>
        <v>0</v>
      </c>
      <c r="BA39" s="371">
        <f t="shared" si="4"/>
        <v>0</v>
      </c>
      <c r="BB39" s="371">
        <f t="shared" si="5"/>
        <v>0</v>
      </c>
      <c r="BC39" s="372" t="e">
        <f t="shared" si="6"/>
        <v>#REF!</v>
      </c>
      <c r="BD39" s="370">
        <f t="shared" si="7"/>
        <v>-1000000</v>
      </c>
      <c r="BE39" s="371" t="e">
        <f t="shared" si="8"/>
        <v>#REF!</v>
      </c>
      <c r="BF39" s="371" t="e">
        <f t="shared" si="16"/>
        <v>#REF!</v>
      </c>
      <c r="BG39" s="372" t="e">
        <f t="shared" si="9"/>
        <v>#REF!</v>
      </c>
      <c r="BH39" s="373" t="e">
        <f t="shared" si="11"/>
        <v>#REF!</v>
      </c>
      <c r="BI39" s="374" t="e">
        <f t="shared" si="12"/>
        <v>#REF!</v>
      </c>
      <c r="BJ39" s="375" t="e">
        <f t="shared" si="21"/>
        <v>#REF!</v>
      </c>
      <c r="BK39" s="376" t="e">
        <f t="shared" si="22"/>
        <v>#REF!</v>
      </c>
      <c r="BL39" s="376" t="e">
        <f t="shared" si="1"/>
        <v>#REF!</v>
      </c>
      <c r="CB39" s="80"/>
      <c r="CC39" s="80"/>
      <c r="CD39" s="80"/>
      <c r="CE39" s="80"/>
      <c r="CF39" s="80"/>
    </row>
    <row r="40" spans="2:84" ht="15.75" customHeight="1">
      <c r="B40" s="351">
        <f t="shared" si="23"/>
        <v>15</v>
      </c>
      <c r="C40" s="352">
        <f t="shared" si="17"/>
        <v>8</v>
      </c>
      <c r="D40" s="353" t="str">
        <f t="shared" si="37"/>
        <v xml:space="preserve">             </v>
      </c>
      <c r="E40" s="381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>
        <f t="shared" si="24"/>
        <v>-1000000</v>
      </c>
      <c r="S40" s="393"/>
      <c r="T40" s="393"/>
      <c r="U40" s="393"/>
      <c r="V40" s="393"/>
      <c r="W40" s="394">
        <f t="shared" si="2"/>
        <v>-1000000</v>
      </c>
      <c r="X40" s="393"/>
      <c r="Y40" s="382" t="e">
        <f t="shared" si="14"/>
        <v>#REF!</v>
      </c>
      <c r="Z40" s="382"/>
      <c r="AA40" s="382"/>
      <c r="AB40" s="382"/>
      <c r="AC40" s="401"/>
      <c r="AD40" s="394" t="e">
        <f t="shared" si="29"/>
        <v>#REF!</v>
      </c>
      <c r="AE40" s="386" t="e">
        <f t="shared" si="0"/>
        <v>#REF!</v>
      </c>
      <c r="AF40" s="386" t="e">
        <f t="shared" si="15"/>
        <v>#REF!</v>
      </c>
      <c r="AG40" s="381" t="e">
        <f t="shared" si="34"/>
        <v>#REF!</v>
      </c>
      <c r="AH40" s="393" t="e">
        <f t="shared" si="19"/>
        <v>#REF!</v>
      </c>
      <c r="AI40" s="393" t="e">
        <f t="shared" si="25"/>
        <v>#REF!</v>
      </c>
      <c r="AJ40" s="393" t="e">
        <f t="shared" si="26"/>
        <v>#REF!</v>
      </c>
      <c r="AK40" s="396" t="e">
        <f t="shared" si="30"/>
        <v>#REF!</v>
      </c>
      <c r="AL40" s="397" t="e">
        <f t="shared" si="27"/>
        <v>#REF!</v>
      </c>
      <c r="AM40" s="398">
        <f t="shared" si="28"/>
        <v>0</v>
      </c>
      <c r="AN40" s="399" t="e">
        <f t="shared" si="32"/>
        <v>#REF!</v>
      </c>
      <c r="AO40" s="379" t="e">
        <f t="shared" si="10"/>
        <v>#REF!</v>
      </c>
      <c r="AP40" s="390">
        <f t="shared" ref="AP40:AP90" si="38">IF($C40=3,SUM(AK26:AK37),0)*-1</f>
        <v>0</v>
      </c>
      <c r="AQ40" s="400" t="e">
        <f>AE40+AI40+AK40+AP40</f>
        <v>#REF!</v>
      </c>
      <c r="AR40" s="400" t="e">
        <f t="shared" si="36"/>
        <v>#REF!</v>
      </c>
      <c r="AS40" s="368">
        <f t="shared" si="33"/>
        <v>15</v>
      </c>
      <c r="AT40" s="80"/>
      <c r="AU40" s="392">
        <f t="shared" si="20"/>
        <v>15</v>
      </c>
      <c r="AV40" s="370" t="e">
        <f t="shared" si="31"/>
        <v>#REF!</v>
      </c>
      <c r="AW40" s="371" t="e">
        <f t="shared" si="3"/>
        <v>#REF!</v>
      </c>
      <c r="AX40" s="371">
        <f t="shared" si="4"/>
        <v>0</v>
      </c>
      <c r="AY40" s="371" t="e">
        <f t="shared" si="4"/>
        <v>#REF!</v>
      </c>
      <c r="AZ40" s="371">
        <f t="shared" si="4"/>
        <v>0</v>
      </c>
      <c r="BA40" s="371">
        <f t="shared" si="4"/>
        <v>0</v>
      </c>
      <c r="BB40" s="371">
        <f t="shared" si="5"/>
        <v>0</v>
      </c>
      <c r="BC40" s="372" t="e">
        <f t="shared" si="6"/>
        <v>#REF!</v>
      </c>
      <c r="BD40" s="370">
        <f t="shared" si="7"/>
        <v>-1000000</v>
      </c>
      <c r="BE40" s="371" t="e">
        <f t="shared" si="8"/>
        <v>#REF!</v>
      </c>
      <c r="BF40" s="371" t="e">
        <f t="shared" si="16"/>
        <v>#REF!</v>
      </c>
      <c r="BG40" s="372" t="e">
        <f t="shared" si="9"/>
        <v>#REF!</v>
      </c>
      <c r="BH40" s="373" t="e">
        <f t="shared" si="11"/>
        <v>#REF!</v>
      </c>
      <c r="BI40" s="374" t="e">
        <f t="shared" si="12"/>
        <v>#REF!</v>
      </c>
      <c r="BJ40" s="375" t="e">
        <f t="shared" si="21"/>
        <v>#REF!</v>
      </c>
      <c r="BK40" s="376" t="e">
        <f t="shared" si="22"/>
        <v>#REF!</v>
      </c>
      <c r="BL40" s="376" t="e">
        <f t="shared" si="1"/>
        <v>#REF!</v>
      </c>
      <c r="CB40" s="80"/>
      <c r="CC40" s="80"/>
      <c r="CD40" s="80"/>
      <c r="CE40" s="80"/>
      <c r="CF40" s="80"/>
    </row>
    <row r="41" spans="2:84" ht="15.75" customHeight="1">
      <c r="B41" s="351">
        <f t="shared" si="23"/>
        <v>16</v>
      </c>
      <c r="C41" s="352">
        <f t="shared" si="17"/>
        <v>9</v>
      </c>
      <c r="D41" s="353" t="str">
        <f t="shared" si="37"/>
        <v xml:space="preserve">             </v>
      </c>
      <c r="E41" s="381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>
        <f t="shared" si="24"/>
        <v>-1000000</v>
      </c>
      <c r="S41" s="393"/>
      <c r="T41" s="393"/>
      <c r="U41" s="393"/>
      <c r="V41" s="393"/>
      <c r="W41" s="394">
        <f t="shared" si="2"/>
        <v>-1000000</v>
      </c>
      <c r="X41" s="393"/>
      <c r="Y41" s="382" t="e">
        <f t="shared" si="14"/>
        <v>#REF!</v>
      </c>
      <c r="Z41" s="382"/>
      <c r="AA41" s="382"/>
      <c r="AB41" s="382"/>
      <c r="AC41" s="401"/>
      <c r="AD41" s="394" t="e">
        <f t="shared" si="29"/>
        <v>#REF!</v>
      </c>
      <c r="AE41" s="386" t="e">
        <f t="shared" si="0"/>
        <v>#REF!</v>
      </c>
      <c r="AF41" s="386" t="e">
        <f t="shared" si="15"/>
        <v>#REF!</v>
      </c>
      <c r="AG41" s="381" t="e">
        <f t="shared" si="34"/>
        <v>#REF!</v>
      </c>
      <c r="AH41" s="393" t="e">
        <f t="shared" si="19"/>
        <v>#REF!</v>
      </c>
      <c r="AI41" s="393" t="e">
        <f t="shared" si="25"/>
        <v>#REF!</v>
      </c>
      <c r="AJ41" s="393" t="e">
        <f t="shared" si="26"/>
        <v>#REF!</v>
      </c>
      <c r="AK41" s="396" t="e">
        <f t="shared" si="30"/>
        <v>#REF!</v>
      </c>
      <c r="AL41" s="397" t="e">
        <f t="shared" si="27"/>
        <v>#REF!</v>
      </c>
      <c r="AM41" s="398">
        <f t="shared" si="28"/>
        <v>0</v>
      </c>
      <c r="AN41" s="399" t="e">
        <f t="shared" si="32"/>
        <v>#REF!</v>
      </c>
      <c r="AO41" s="379" t="e">
        <f t="shared" si="10"/>
        <v>#REF!</v>
      </c>
      <c r="AP41" s="390">
        <f t="shared" si="38"/>
        <v>0</v>
      </c>
      <c r="AQ41" s="400" t="e">
        <f t="shared" si="35"/>
        <v>#REF!</v>
      </c>
      <c r="AR41" s="400" t="e">
        <f t="shared" si="36"/>
        <v>#REF!</v>
      </c>
      <c r="AS41" s="368">
        <f t="shared" si="33"/>
        <v>16</v>
      </c>
      <c r="AT41" s="80"/>
      <c r="AU41" s="392">
        <f t="shared" si="20"/>
        <v>16</v>
      </c>
      <c r="AV41" s="370" t="e">
        <f t="shared" si="31"/>
        <v>#REF!</v>
      </c>
      <c r="AW41" s="371" t="e">
        <f t="shared" si="3"/>
        <v>#REF!</v>
      </c>
      <c r="AX41" s="371">
        <f t="shared" si="4"/>
        <v>0</v>
      </c>
      <c r="AY41" s="371" t="e">
        <f t="shared" si="4"/>
        <v>#REF!</v>
      </c>
      <c r="AZ41" s="371">
        <f t="shared" si="4"/>
        <v>0</v>
      </c>
      <c r="BA41" s="371">
        <f t="shared" si="4"/>
        <v>0</v>
      </c>
      <c r="BB41" s="371">
        <f t="shared" si="5"/>
        <v>0</v>
      </c>
      <c r="BC41" s="372" t="e">
        <f t="shared" si="6"/>
        <v>#REF!</v>
      </c>
      <c r="BD41" s="370">
        <f t="shared" si="7"/>
        <v>-1000000</v>
      </c>
      <c r="BE41" s="371" t="e">
        <f t="shared" si="8"/>
        <v>#REF!</v>
      </c>
      <c r="BF41" s="371" t="e">
        <f t="shared" si="16"/>
        <v>#REF!</v>
      </c>
      <c r="BG41" s="372" t="e">
        <f t="shared" si="9"/>
        <v>#REF!</v>
      </c>
      <c r="BH41" s="373" t="e">
        <f t="shared" si="11"/>
        <v>#REF!</v>
      </c>
      <c r="BI41" s="374" t="e">
        <f t="shared" si="12"/>
        <v>#REF!</v>
      </c>
      <c r="BJ41" s="375" t="e">
        <f t="shared" si="21"/>
        <v>#REF!</v>
      </c>
      <c r="BK41" s="376" t="e">
        <f t="shared" si="22"/>
        <v>#REF!</v>
      </c>
      <c r="BL41" s="376" t="e">
        <f t="shared" si="1"/>
        <v>#REF!</v>
      </c>
      <c r="CB41" s="80"/>
      <c r="CC41" s="80"/>
      <c r="CD41" s="80"/>
      <c r="CE41" s="80"/>
      <c r="CF41" s="80"/>
    </row>
    <row r="42" spans="2:84" ht="15.75" customHeight="1">
      <c r="B42" s="351">
        <f t="shared" si="23"/>
        <v>17</v>
      </c>
      <c r="C42" s="352">
        <f t="shared" si="17"/>
        <v>10</v>
      </c>
      <c r="D42" s="353" t="str">
        <f t="shared" si="37"/>
        <v xml:space="preserve">             </v>
      </c>
      <c r="E42" s="381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>
        <f t="shared" si="24"/>
        <v>-1000000</v>
      </c>
      <c r="S42" s="393"/>
      <c r="T42" s="393"/>
      <c r="U42" s="393"/>
      <c r="V42" s="393"/>
      <c r="W42" s="394">
        <f t="shared" si="2"/>
        <v>-1000000</v>
      </c>
      <c r="X42" s="393"/>
      <c r="Y42" s="382" t="e">
        <f t="shared" si="14"/>
        <v>#REF!</v>
      </c>
      <c r="Z42" s="382"/>
      <c r="AA42" s="382"/>
      <c r="AB42" s="382"/>
      <c r="AC42" s="401"/>
      <c r="AD42" s="394" t="e">
        <f t="shared" si="29"/>
        <v>#REF!</v>
      </c>
      <c r="AE42" s="386" t="e">
        <f t="shared" si="0"/>
        <v>#REF!</v>
      </c>
      <c r="AF42" s="386" t="e">
        <f t="shared" si="15"/>
        <v>#REF!</v>
      </c>
      <c r="AG42" s="381" t="e">
        <f t="shared" si="34"/>
        <v>#REF!</v>
      </c>
      <c r="AH42" s="393" t="e">
        <f t="shared" si="19"/>
        <v>#REF!</v>
      </c>
      <c r="AI42" s="393" t="e">
        <f t="shared" si="25"/>
        <v>#REF!</v>
      </c>
      <c r="AJ42" s="393" t="e">
        <f t="shared" si="26"/>
        <v>#REF!</v>
      </c>
      <c r="AK42" s="396" t="e">
        <f t="shared" si="30"/>
        <v>#REF!</v>
      </c>
      <c r="AL42" s="397" t="e">
        <f t="shared" si="27"/>
        <v>#REF!</v>
      </c>
      <c r="AM42" s="398">
        <f t="shared" si="28"/>
        <v>0</v>
      </c>
      <c r="AN42" s="399" t="e">
        <f t="shared" si="32"/>
        <v>#REF!</v>
      </c>
      <c r="AO42" s="379" t="e">
        <f t="shared" si="10"/>
        <v>#REF!</v>
      </c>
      <c r="AP42" s="390">
        <f t="shared" si="38"/>
        <v>0</v>
      </c>
      <c r="AQ42" s="400" t="e">
        <f t="shared" si="35"/>
        <v>#REF!</v>
      </c>
      <c r="AR42" s="400" t="e">
        <f t="shared" si="36"/>
        <v>#REF!</v>
      </c>
      <c r="AS42" s="368">
        <f t="shared" si="33"/>
        <v>17</v>
      </c>
      <c r="AT42" s="80"/>
      <c r="AU42" s="392">
        <f t="shared" si="20"/>
        <v>17</v>
      </c>
      <c r="AV42" s="370" t="e">
        <f t="shared" si="31"/>
        <v>#REF!</v>
      </c>
      <c r="AW42" s="371" t="e">
        <f t="shared" si="3"/>
        <v>#REF!</v>
      </c>
      <c r="AX42" s="371">
        <f t="shared" si="4"/>
        <v>0</v>
      </c>
      <c r="AY42" s="371" t="e">
        <f t="shared" si="4"/>
        <v>#REF!</v>
      </c>
      <c r="AZ42" s="371">
        <f t="shared" si="4"/>
        <v>0</v>
      </c>
      <c r="BA42" s="371">
        <f t="shared" si="4"/>
        <v>0</v>
      </c>
      <c r="BB42" s="371">
        <f t="shared" si="5"/>
        <v>0</v>
      </c>
      <c r="BC42" s="372" t="e">
        <f t="shared" si="6"/>
        <v>#REF!</v>
      </c>
      <c r="BD42" s="370">
        <f t="shared" si="7"/>
        <v>-1000000</v>
      </c>
      <c r="BE42" s="371" t="e">
        <f t="shared" si="8"/>
        <v>#REF!</v>
      </c>
      <c r="BF42" s="371" t="e">
        <f t="shared" si="16"/>
        <v>#REF!</v>
      </c>
      <c r="BG42" s="372" t="e">
        <f t="shared" si="9"/>
        <v>#REF!</v>
      </c>
      <c r="BH42" s="373" t="e">
        <f t="shared" si="11"/>
        <v>#REF!</v>
      </c>
      <c r="BI42" s="374" t="e">
        <f t="shared" si="12"/>
        <v>#REF!</v>
      </c>
      <c r="BJ42" s="375" t="e">
        <f t="shared" si="21"/>
        <v>#REF!</v>
      </c>
      <c r="BK42" s="376" t="e">
        <f t="shared" si="22"/>
        <v>#REF!</v>
      </c>
      <c r="BL42" s="376" t="e">
        <f t="shared" si="1"/>
        <v>#REF!</v>
      </c>
      <c r="CB42" s="80"/>
      <c r="CC42" s="80"/>
      <c r="CD42" s="80"/>
      <c r="CE42" s="80"/>
      <c r="CF42" s="80"/>
    </row>
    <row r="43" spans="2:84" ht="15.75" customHeight="1">
      <c r="B43" s="351">
        <f t="shared" si="23"/>
        <v>18</v>
      </c>
      <c r="C43" s="352">
        <f t="shared" si="17"/>
        <v>11</v>
      </c>
      <c r="D43" s="353" t="str">
        <f t="shared" si="37"/>
        <v xml:space="preserve">             </v>
      </c>
      <c r="E43" s="381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>
        <f t="shared" si="24"/>
        <v>-1000000</v>
      </c>
      <c r="S43" s="393"/>
      <c r="T43" s="393"/>
      <c r="U43" s="393"/>
      <c r="V43" s="393"/>
      <c r="W43" s="394">
        <f t="shared" si="2"/>
        <v>-1000000</v>
      </c>
      <c r="X43" s="393"/>
      <c r="Y43" s="382" t="e">
        <f t="shared" si="14"/>
        <v>#REF!</v>
      </c>
      <c r="Z43" s="382"/>
      <c r="AA43" s="382"/>
      <c r="AB43" s="382"/>
      <c r="AC43" s="401"/>
      <c r="AD43" s="394" t="e">
        <f t="shared" si="29"/>
        <v>#REF!</v>
      </c>
      <c r="AE43" s="386" t="e">
        <f t="shared" si="0"/>
        <v>#REF!</v>
      </c>
      <c r="AF43" s="386" t="e">
        <f t="shared" si="15"/>
        <v>#REF!</v>
      </c>
      <c r="AG43" s="381" t="e">
        <f t="shared" si="34"/>
        <v>#REF!</v>
      </c>
      <c r="AH43" s="393" t="e">
        <f t="shared" si="19"/>
        <v>#REF!</v>
      </c>
      <c r="AI43" s="393" t="e">
        <f t="shared" si="25"/>
        <v>#REF!</v>
      </c>
      <c r="AJ43" s="393" t="e">
        <f t="shared" si="26"/>
        <v>#REF!</v>
      </c>
      <c r="AK43" s="396" t="e">
        <f t="shared" si="30"/>
        <v>#REF!</v>
      </c>
      <c r="AL43" s="397" t="e">
        <f t="shared" si="27"/>
        <v>#REF!</v>
      </c>
      <c r="AM43" s="398">
        <f t="shared" si="28"/>
        <v>0</v>
      </c>
      <c r="AN43" s="399" t="e">
        <f t="shared" si="32"/>
        <v>#REF!</v>
      </c>
      <c r="AO43" s="379" t="e">
        <f t="shared" si="10"/>
        <v>#REF!</v>
      </c>
      <c r="AP43" s="390">
        <f t="shared" si="38"/>
        <v>0</v>
      </c>
      <c r="AQ43" s="400" t="e">
        <f t="shared" si="35"/>
        <v>#REF!</v>
      </c>
      <c r="AR43" s="400" t="e">
        <f t="shared" si="36"/>
        <v>#REF!</v>
      </c>
      <c r="AS43" s="368">
        <f t="shared" si="33"/>
        <v>18</v>
      </c>
      <c r="AT43" s="80"/>
      <c r="AU43" s="392">
        <f t="shared" si="20"/>
        <v>18</v>
      </c>
      <c r="AV43" s="370" t="e">
        <f t="shared" si="31"/>
        <v>#REF!</v>
      </c>
      <c r="AW43" s="371" t="e">
        <f t="shared" si="3"/>
        <v>#REF!</v>
      </c>
      <c r="AX43" s="371">
        <f t="shared" si="4"/>
        <v>0</v>
      </c>
      <c r="AY43" s="371" t="e">
        <f t="shared" si="4"/>
        <v>#REF!</v>
      </c>
      <c r="AZ43" s="371">
        <f t="shared" si="4"/>
        <v>0</v>
      </c>
      <c r="BA43" s="371">
        <f t="shared" si="4"/>
        <v>0</v>
      </c>
      <c r="BB43" s="371">
        <f t="shared" si="5"/>
        <v>0</v>
      </c>
      <c r="BC43" s="372" t="e">
        <f t="shared" si="6"/>
        <v>#REF!</v>
      </c>
      <c r="BD43" s="370">
        <f t="shared" si="7"/>
        <v>-1000000</v>
      </c>
      <c r="BE43" s="371" t="e">
        <f t="shared" si="8"/>
        <v>#REF!</v>
      </c>
      <c r="BF43" s="371" t="e">
        <f t="shared" si="16"/>
        <v>#REF!</v>
      </c>
      <c r="BG43" s="372" t="e">
        <f t="shared" si="9"/>
        <v>#REF!</v>
      </c>
      <c r="BH43" s="373" t="e">
        <f t="shared" si="11"/>
        <v>#REF!</v>
      </c>
      <c r="BI43" s="374" t="e">
        <f t="shared" si="12"/>
        <v>#REF!</v>
      </c>
      <c r="BJ43" s="375" t="e">
        <f t="shared" si="21"/>
        <v>#REF!</v>
      </c>
      <c r="BK43" s="376" t="e">
        <f t="shared" si="22"/>
        <v>#REF!</v>
      </c>
      <c r="BL43" s="376" t="e">
        <f t="shared" si="1"/>
        <v>#REF!</v>
      </c>
      <c r="CB43" s="80"/>
      <c r="CC43" s="80"/>
      <c r="CD43" s="80"/>
      <c r="CE43" s="80"/>
      <c r="CF43" s="80"/>
    </row>
    <row r="44" spans="2:84" ht="15.75" customHeight="1">
      <c r="B44" s="351">
        <f t="shared" si="23"/>
        <v>19</v>
      </c>
      <c r="C44" s="352">
        <f t="shared" si="17"/>
        <v>12</v>
      </c>
      <c r="D44" s="353" t="str">
        <f t="shared" si="37"/>
        <v xml:space="preserve">             </v>
      </c>
      <c r="E44" s="381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>
        <f t="shared" si="24"/>
        <v>-1000000</v>
      </c>
      <c r="S44" s="393"/>
      <c r="T44" s="393"/>
      <c r="U44" s="393"/>
      <c r="V44" s="393"/>
      <c r="W44" s="394">
        <f t="shared" si="2"/>
        <v>-1000000</v>
      </c>
      <c r="X44" s="393"/>
      <c r="Y44" s="382" t="e">
        <f t="shared" si="14"/>
        <v>#REF!</v>
      </c>
      <c r="Z44" s="382"/>
      <c r="AA44" s="382"/>
      <c r="AB44" s="382"/>
      <c r="AC44" s="401"/>
      <c r="AD44" s="394" t="e">
        <f t="shared" si="29"/>
        <v>#REF!</v>
      </c>
      <c r="AE44" s="386" t="e">
        <f t="shared" si="0"/>
        <v>#REF!</v>
      </c>
      <c r="AF44" s="386" t="e">
        <f t="shared" si="15"/>
        <v>#REF!</v>
      </c>
      <c r="AG44" s="381" t="e">
        <f t="shared" si="34"/>
        <v>#REF!</v>
      </c>
      <c r="AH44" s="393" t="e">
        <f t="shared" si="19"/>
        <v>#REF!</v>
      </c>
      <c r="AI44" s="393" t="e">
        <f t="shared" si="25"/>
        <v>#REF!</v>
      </c>
      <c r="AJ44" s="393" t="e">
        <f t="shared" si="26"/>
        <v>#REF!</v>
      </c>
      <c r="AK44" s="396" t="e">
        <f t="shared" si="30"/>
        <v>#REF!</v>
      </c>
      <c r="AL44" s="397" t="e">
        <f t="shared" si="27"/>
        <v>#REF!</v>
      </c>
      <c r="AM44" s="398">
        <f t="shared" si="28"/>
        <v>0</v>
      </c>
      <c r="AN44" s="399" t="e">
        <f t="shared" si="32"/>
        <v>#REF!</v>
      </c>
      <c r="AO44" s="379" t="e">
        <f t="shared" si="10"/>
        <v>#REF!</v>
      </c>
      <c r="AP44" s="390">
        <f t="shared" si="38"/>
        <v>0</v>
      </c>
      <c r="AQ44" s="400" t="e">
        <f t="shared" si="35"/>
        <v>#REF!</v>
      </c>
      <c r="AR44" s="400" t="e">
        <f t="shared" si="36"/>
        <v>#REF!</v>
      </c>
      <c r="AS44" s="368">
        <f t="shared" si="33"/>
        <v>19</v>
      </c>
      <c r="AT44" s="80"/>
      <c r="AU44" s="392">
        <f t="shared" si="20"/>
        <v>19</v>
      </c>
      <c r="AV44" s="370" t="e">
        <f t="shared" si="31"/>
        <v>#REF!</v>
      </c>
      <c r="AW44" s="371" t="e">
        <f t="shared" si="3"/>
        <v>#REF!</v>
      </c>
      <c r="AX44" s="371">
        <f t="shared" si="4"/>
        <v>0</v>
      </c>
      <c r="AY44" s="371" t="e">
        <f t="shared" si="4"/>
        <v>#REF!</v>
      </c>
      <c r="AZ44" s="371">
        <f t="shared" si="4"/>
        <v>0</v>
      </c>
      <c r="BA44" s="371">
        <f t="shared" si="4"/>
        <v>0</v>
      </c>
      <c r="BB44" s="371">
        <f t="shared" si="5"/>
        <v>0</v>
      </c>
      <c r="BC44" s="372" t="e">
        <f t="shared" si="6"/>
        <v>#REF!</v>
      </c>
      <c r="BD44" s="370">
        <f t="shared" si="7"/>
        <v>-1000000</v>
      </c>
      <c r="BE44" s="371" t="e">
        <f t="shared" si="8"/>
        <v>#REF!</v>
      </c>
      <c r="BF44" s="371" t="e">
        <f t="shared" si="16"/>
        <v>#REF!</v>
      </c>
      <c r="BG44" s="372" t="e">
        <f t="shared" si="9"/>
        <v>#REF!</v>
      </c>
      <c r="BH44" s="373" t="e">
        <f t="shared" si="11"/>
        <v>#REF!</v>
      </c>
      <c r="BI44" s="374" t="e">
        <f t="shared" si="12"/>
        <v>#REF!</v>
      </c>
      <c r="BJ44" s="375" t="e">
        <f t="shared" si="21"/>
        <v>#REF!</v>
      </c>
      <c r="BK44" s="376" t="e">
        <f t="shared" si="22"/>
        <v>#REF!</v>
      </c>
      <c r="BL44" s="376" t="e">
        <f t="shared" si="1"/>
        <v>#REF!</v>
      </c>
      <c r="CB44" s="80"/>
      <c r="CC44" s="80"/>
      <c r="CD44" s="80"/>
      <c r="CE44" s="80"/>
      <c r="CF44" s="80"/>
    </row>
    <row r="45" spans="2:84" ht="15.75" customHeight="1">
      <c r="B45" s="351">
        <f t="shared" si="23"/>
        <v>20</v>
      </c>
      <c r="C45" s="352">
        <f t="shared" si="17"/>
        <v>1</v>
      </c>
      <c r="D45" s="353">
        <f>IF($C44=12,$D$33+1,"             ")</f>
        <v>2020</v>
      </c>
      <c r="E45" s="381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>
        <f t="shared" si="24"/>
        <v>-1000000</v>
      </c>
      <c r="S45" s="393"/>
      <c r="T45" s="393"/>
      <c r="U45" s="393"/>
      <c r="V45" s="393"/>
      <c r="W45" s="394">
        <f t="shared" si="2"/>
        <v>-1000000</v>
      </c>
      <c r="X45" s="393"/>
      <c r="Y45" s="382" t="e">
        <f t="shared" si="14"/>
        <v>#REF!</v>
      </c>
      <c r="Z45" s="382"/>
      <c r="AA45" s="382"/>
      <c r="AB45" s="382"/>
      <c r="AC45" s="401"/>
      <c r="AD45" s="394" t="e">
        <f t="shared" si="29"/>
        <v>#REF!</v>
      </c>
      <c r="AE45" s="386" t="e">
        <f t="shared" si="0"/>
        <v>#REF!</v>
      </c>
      <c r="AF45" s="386" t="e">
        <f t="shared" si="15"/>
        <v>#REF!</v>
      </c>
      <c r="AG45" s="381" t="e">
        <f t="shared" si="34"/>
        <v>#REF!</v>
      </c>
      <c r="AH45" s="393" t="e">
        <f t="shared" si="19"/>
        <v>#REF!</v>
      </c>
      <c r="AI45" s="393" t="e">
        <f t="shared" si="25"/>
        <v>#REF!</v>
      </c>
      <c r="AJ45" s="393" t="e">
        <f t="shared" si="26"/>
        <v>#REF!</v>
      </c>
      <c r="AK45" s="396" t="e">
        <f t="shared" si="30"/>
        <v>#REF!</v>
      </c>
      <c r="AL45" s="397" t="e">
        <f t="shared" si="27"/>
        <v>#REF!</v>
      </c>
      <c r="AM45" s="398">
        <f t="shared" si="28"/>
        <v>0</v>
      </c>
      <c r="AN45" s="399" t="e">
        <f t="shared" si="32"/>
        <v>#REF!</v>
      </c>
      <c r="AO45" s="379" t="e">
        <f t="shared" si="10"/>
        <v>#REF!</v>
      </c>
      <c r="AP45" s="390">
        <f t="shared" si="38"/>
        <v>0</v>
      </c>
      <c r="AQ45" s="400" t="e">
        <f t="shared" si="35"/>
        <v>#REF!</v>
      </c>
      <c r="AR45" s="400" t="e">
        <f t="shared" si="36"/>
        <v>#REF!</v>
      </c>
      <c r="AS45" s="368">
        <f t="shared" si="33"/>
        <v>20</v>
      </c>
      <c r="AT45" s="80"/>
      <c r="AU45" s="392">
        <f t="shared" si="20"/>
        <v>20</v>
      </c>
      <c r="AV45" s="370" t="e">
        <f t="shared" si="31"/>
        <v>#REF!</v>
      </c>
      <c r="AW45" s="371" t="e">
        <f t="shared" si="3"/>
        <v>#REF!</v>
      </c>
      <c r="AX45" s="371">
        <f t="shared" si="4"/>
        <v>0</v>
      </c>
      <c r="AY45" s="371" t="e">
        <f t="shared" si="4"/>
        <v>#REF!</v>
      </c>
      <c r="AZ45" s="371">
        <f t="shared" si="4"/>
        <v>0</v>
      </c>
      <c r="BA45" s="371">
        <f t="shared" si="4"/>
        <v>0</v>
      </c>
      <c r="BB45" s="371">
        <f t="shared" si="5"/>
        <v>0</v>
      </c>
      <c r="BC45" s="372" t="e">
        <f t="shared" si="6"/>
        <v>#REF!</v>
      </c>
      <c r="BD45" s="370">
        <f t="shared" si="7"/>
        <v>-1000000</v>
      </c>
      <c r="BE45" s="371" t="e">
        <f t="shared" si="8"/>
        <v>#REF!</v>
      </c>
      <c r="BF45" s="371" t="e">
        <f t="shared" si="16"/>
        <v>#REF!</v>
      </c>
      <c r="BG45" s="372" t="e">
        <f t="shared" si="9"/>
        <v>#REF!</v>
      </c>
      <c r="BH45" s="373" t="e">
        <f t="shared" si="11"/>
        <v>#REF!</v>
      </c>
      <c r="BI45" s="374" t="e">
        <f t="shared" si="12"/>
        <v>#REF!</v>
      </c>
      <c r="BJ45" s="375" t="e">
        <f t="shared" si="21"/>
        <v>#REF!</v>
      </c>
      <c r="BK45" s="376" t="e">
        <f t="shared" si="22"/>
        <v>#REF!</v>
      </c>
      <c r="BL45" s="376" t="e">
        <f t="shared" si="1"/>
        <v>#REF!</v>
      </c>
      <c r="CB45" s="80"/>
      <c r="CC45" s="80"/>
      <c r="CD45" s="80"/>
      <c r="CE45" s="80"/>
      <c r="CF45" s="80"/>
    </row>
    <row r="46" spans="2:84" ht="15.75" customHeight="1">
      <c r="B46" s="351">
        <f t="shared" si="23"/>
        <v>21</v>
      </c>
      <c r="C46" s="352">
        <f t="shared" si="17"/>
        <v>2</v>
      </c>
      <c r="D46" s="353" t="str">
        <f t="shared" si="37"/>
        <v xml:space="preserve">             </v>
      </c>
      <c r="E46" s="381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>
        <f t="shared" si="24"/>
        <v>-1000000</v>
      </c>
      <c r="S46" s="393"/>
      <c r="T46" s="393"/>
      <c r="U46" s="393"/>
      <c r="V46" s="393"/>
      <c r="W46" s="394">
        <f t="shared" si="2"/>
        <v>-1000000</v>
      </c>
      <c r="X46" s="393"/>
      <c r="Y46" s="382" t="e">
        <f t="shared" si="14"/>
        <v>#REF!</v>
      </c>
      <c r="Z46" s="382"/>
      <c r="AA46" s="382"/>
      <c r="AB46" s="382"/>
      <c r="AC46" s="401"/>
      <c r="AD46" s="394" t="e">
        <f t="shared" si="29"/>
        <v>#REF!</v>
      </c>
      <c r="AE46" s="386" t="e">
        <f t="shared" si="0"/>
        <v>#REF!</v>
      </c>
      <c r="AF46" s="386" t="e">
        <f t="shared" si="15"/>
        <v>#REF!</v>
      </c>
      <c r="AG46" s="381" t="e">
        <f t="shared" si="34"/>
        <v>#REF!</v>
      </c>
      <c r="AH46" s="393" t="e">
        <f t="shared" si="19"/>
        <v>#REF!</v>
      </c>
      <c r="AI46" s="393" t="e">
        <f t="shared" si="25"/>
        <v>#REF!</v>
      </c>
      <c r="AJ46" s="393" t="e">
        <f t="shared" si="26"/>
        <v>#REF!</v>
      </c>
      <c r="AK46" s="396" t="e">
        <f t="shared" si="30"/>
        <v>#REF!</v>
      </c>
      <c r="AL46" s="397" t="e">
        <f t="shared" si="27"/>
        <v>#REF!</v>
      </c>
      <c r="AM46" s="398">
        <f t="shared" si="28"/>
        <v>0</v>
      </c>
      <c r="AN46" s="399" t="e">
        <f t="shared" si="32"/>
        <v>#REF!</v>
      </c>
      <c r="AO46" s="379" t="e">
        <f t="shared" si="10"/>
        <v>#REF!</v>
      </c>
      <c r="AP46" s="390">
        <f t="shared" si="38"/>
        <v>0</v>
      </c>
      <c r="AQ46" s="400" t="e">
        <f t="shared" si="35"/>
        <v>#REF!</v>
      </c>
      <c r="AR46" s="400" t="e">
        <f t="shared" si="36"/>
        <v>#REF!</v>
      </c>
      <c r="AS46" s="368">
        <f t="shared" si="33"/>
        <v>21</v>
      </c>
      <c r="AT46" s="80"/>
      <c r="AU46" s="392">
        <f t="shared" si="20"/>
        <v>21</v>
      </c>
      <c r="AV46" s="370" t="e">
        <f t="shared" si="31"/>
        <v>#REF!</v>
      </c>
      <c r="AW46" s="371" t="e">
        <f t="shared" si="3"/>
        <v>#REF!</v>
      </c>
      <c r="AX46" s="371">
        <f t="shared" si="4"/>
        <v>0</v>
      </c>
      <c r="AY46" s="371" t="e">
        <f t="shared" si="4"/>
        <v>#REF!</v>
      </c>
      <c r="AZ46" s="371">
        <f t="shared" si="4"/>
        <v>0</v>
      </c>
      <c r="BA46" s="371">
        <f t="shared" si="4"/>
        <v>0</v>
      </c>
      <c r="BB46" s="371">
        <f t="shared" si="5"/>
        <v>0</v>
      </c>
      <c r="BC46" s="372" t="e">
        <f t="shared" si="6"/>
        <v>#REF!</v>
      </c>
      <c r="BD46" s="370">
        <f t="shared" si="7"/>
        <v>-1000000</v>
      </c>
      <c r="BE46" s="371" t="e">
        <f t="shared" si="8"/>
        <v>#REF!</v>
      </c>
      <c r="BF46" s="371" t="e">
        <f t="shared" si="16"/>
        <v>#REF!</v>
      </c>
      <c r="BG46" s="372" t="e">
        <f t="shared" si="9"/>
        <v>#REF!</v>
      </c>
      <c r="BH46" s="373" t="e">
        <f t="shared" si="11"/>
        <v>#REF!</v>
      </c>
      <c r="BI46" s="374" t="e">
        <f t="shared" si="12"/>
        <v>#REF!</v>
      </c>
      <c r="BJ46" s="375" t="e">
        <f t="shared" si="21"/>
        <v>#REF!</v>
      </c>
      <c r="BK46" s="376" t="e">
        <f t="shared" si="22"/>
        <v>#REF!</v>
      </c>
      <c r="BL46" s="376" t="e">
        <f t="shared" si="1"/>
        <v>#REF!</v>
      </c>
      <c r="CB46" s="80"/>
      <c r="CC46" s="80"/>
      <c r="CD46" s="80"/>
      <c r="CE46" s="80"/>
      <c r="CF46" s="80"/>
    </row>
    <row r="47" spans="2:84" ht="15.75" customHeight="1">
      <c r="B47" s="351">
        <f t="shared" si="23"/>
        <v>22</v>
      </c>
      <c r="C47" s="352">
        <f t="shared" si="17"/>
        <v>3</v>
      </c>
      <c r="D47" s="353" t="str">
        <f t="shared" si="37"/>
        <v xml:space="preserve">             </v>
      </c>
      <c r="E47" s="381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>
        <f t="shared" si="24"/>
        <v>-1000000</v>
      </c>
      <c r="S47" s="393"/>
      <c r="T47" s="393"/>
      <c r="U47" s="393"/>
      <c r="V47" s="393"/>
      <c r="W47" s="394">
        <f t="shared" si="2"/>
        <v>-1000000</v>
      </c>
      <c r="X47" s="393"/>
      <c r="Y47" s="382" t="e">
        <f t="shared" si="14"/>
        <v>#REF!</v>
      </c>
      <c r="Z47" s="382"/>
      <c r="AA47" s="382"/>
      <c r="AB47" s="382"/>
      <c r="AC47" s="401"/>
      <c r="AD47" s="394" t="e">
        <f t="shared" si="29"/>
        <v>#REF!</v>
      </c>
      <c r="AE47" s="386" t="e">
        <f t="shared" si="0"/>
        <v>#REF!</v>
      </c>
      <c r="AF47" s="386" t="e">
        <f t="shared" si="15"/>
        <v>#REF!</v>
      </c>
      <c r="AG47" s="381" t="e">
        <f t="shared" si="34"/>
        <v>#REF!</v>
      </c>
      <c r="AH47" s="393" t="e">
        <f t="shared" si="19"/>
        <v>#REF!</v>
      </c>
      <c r="AI47" s="393" t="e">
        <f t="shared" si="25"/>
        <v>#REF!</v>
      </c>
      <c r="AJ47" s="393" t="e">
        <f t="shared" si="26"/>
        <v>#REF!</v>
      </c>
      <c r="AK47" s="396" t="e">
        <f t="shared" si="30"/>
        <v>#REF!</v>
      </c>
      <c r="AL47" s="397" t="e">
        <f t="shared" si="27"/>
        <v>#REF!</v>
      </c>
      <c r="AM47" s="398">
        <f t="shared" si="28"/>
        <v>0</v>
      </c>
      <c r="AN47" s="399" t="e">
        <f t="shared" si="32"/>
        <v>#REF!</v>
      </c>
      <c r="AO47" s="379" t="e">
        <f t="shared" si="10"/>
        <v>#REF!</v>
      </c>
      <c r="AP47" s="390" t="e">
        <f t="shared" si="38"/>
        <v>#REF!</v>
      </c>
      <c r="AQ47" s="400" t="e">
        <f t="shared" si="35"/>
        <v>#REF!</v>
      </c>
      <c r="AR47" s="400" t="e">
        <f t="shared" si="36"/>
        <v>#REF!</v>
      </c>
      <c r="AS47" s="368">
        <f t="shared" si="33"/>
        <v>22</v>
      </c>
      <c r="AT47" s="80"/>
      <c r="AU47" s="392">
        <f t="shared" si="20"/>
        <v>22</v>
      </c>
      <c r="AV47" s="370" t="e">
        <f t="shared" si="31"/>
        <v>#REF!</v>
      </c>
      <c r="AW47" s="371" t="e">
        <f t="shared" si="3"/>
        <v>#REF!</v>
      </c>
      <c r="AX47" s="371">
        <f t="shared" si="4"/>
        <v>0</v>
      </c>
      <c r="AY47" s="371" t="e">
        <f t="shared" si="4"/>
        <v>#REF!</v>
      </c>
      <c r="AZ47" s="371">
        <f t="shared" si="4"/>
        <v>0</v>
      </c>
      <c r="BA47" s="371">
        <f t="shared" si="4"/>
        <v>0</v>
      </c>
      <c r="BB47" s="371">
        <v>0</v>
      </c>
      <c r="BC47" s="372" t="e">
        <f t="shared" si="6"/>
        <v>#REF!</v>
      </c>
      <c r="BD47" s="370">
        <f t="shared" si="7"/>
        <v>-1000000</v>
      </c>
      <c r="BE47" s="371" t="e">
        <f t="shared" si="8"/>
        <v>#REF!</v>
      </c>
      <c r="BF47" s="371" t="e">
        <f t="shared" si="16"/>
        <v>#REF!</v>
      </c>
      <c r="BG47" s="372" t="e">
        <f t="shared" si="9"/>
        <v>#REF!</v>
      </c>
      <c r="BH47" s="373" t="e">
        <f t="shared" si="11"/>
        <v>#REF!</v>
      </c>
      <c r="BI47" s="374" t="e">
        <f t="shared" si="12"/>
        <v>#REF!</v>
      </c>
      <c r="BJ47" s="375" t="e">
        <f t="shared" si="21"/>
        <v>#REF!</v>
      </c>
      <c r="BK47" s="376" t="e">
        <f t="shared" si="22"/>
        <v>#REF!</v>
      </c>
      <c r="BL47" s="376" t="e">
        <f t="shared" si="1"/>
        <v>#REF!</v>
      </c>
      <c r="CB47" s="80"/>
      <c r="CC47" s="80"/>
      <c r="CD47" s="80"/>
      <c r="CE47" s="80"/>
      <c r="CF47" s="80"/>
    </row>
    <row r="48" spans="2:84" s="421" customFormat="1" ht="15.75" customHeight="1">
      <c r="B48" s="402">
        <f t="shared" si="23"/>
        <v>23</v>
      </c>
      <c r="C48" s="403">
        <f t="shared" si="17"/>
        <v>4</v>
      </c>
      <c r="D48" s="404" t="str">
        <f t="shared" si="37"/>
        <v xml:space="preserve">             </v>
      </c>
      <c r="E48" s="405"/>
      <c r="F48" s="406"/>
      <c r="G48" s="406"/>
      <c r="H48" s="406"/>
      <c r="I48" s="406"/>
      <c r="J48" s="406"/>
      <c r="K48" s="406"/>
      <c r="L48" s="406"/>
      <c r="M48" s="406"/>
      <c r="N48" s="406"/>
      <c r="O48" s="406">
        <f>O36</f>
        <v>-10000000</v>
      </c>
      <c r="P48" s="406"/>
      <c r="Q48" s="406"/>
      <c r="R48" s="393">
        <f t="shared" si="24"/>
        <v>-1000000</v>
      </c>
      <c r="S48" s="393"/>
      <c r="T48" s="406"/>
      <c r="U48" s="406"/>
      <c r="V48" s="406"/>
      <c r="W48" s="407">
        <f t="shared" si="2"/>
        <v>-11000000</v>
      </c>
      <c r="X48" s="393"/>
      <c r="Y48" s="409" t="e">
        <f t="shared" si="14"/>
        <v>#REF!</v>
      </c>
      <c r="Z48" s="409"/>
      <c r="AA48" s="409"/>
      <c r="AB48" s="409"/>
      <c r="AC48" s="410"/>
      <c r="AD48" s="407" t="e">
        <f t="shared" si="29"/>
        <v>#REF!</v>
      </c>
      <c r="AE48" s="412" t="e">
        <f t="shared" si="0"/>
        <v>#REF!</v>
      </c>
      <c r="AF48" s="412" t="e">
        <f t="shared" si="15"/>
        <v>#REF!</v>
      </c>
      <c r="AG48" s="405" t="e">
        <f t="shared" si="34"/>
        <v>#REF!</v>
      </c>
      <c r="AH48" s="406" t="e">
        <f t="shared" si="19"/>
        <v>#REF!</v>
      </c>
      <c r="AI48" s="406" t="e">
        <f t="shared" si="25"/>
        <v>#REF!</v>
      </c>
      <c r="AJ48" s="406" t="e">
        <f t="shared" si="26"/>
        <v>#REF!</v>
      </c>
      <c r="AK48" s="413" t="e">
        <f t="shared" si="30"/>
        <v>#REF!</v>
      </c>
      <c r="AL48" s="414" t="e">
        <f t="shared" si="27"/>
        <v>#REF!</v>
      </c>
      <c r="AM48" s="415">
        <f t="shared" si="28"/>
        <v>0</v>
      </c>
      <c r="AN48" s="416" t="e">
        <f t="shared" si="32"/>
        <v>#REF!</v>
      </c>
      <c r="AO48" s="417" t="e">
        <f t="shared" si="10"/>
        <v>#REF!</v>
      </c>
      <c r="AP48" s="418">
        <f t="shared" si="38"/>
        <v>0</v>
      </c>
      <c r="AQ48" s="419" t="e">
        <f t="shared" si="35"/>
        <v>#REF!</v>
      </c>
      <c r="AR48" s="419" t="e">
        <f t="shared" si="36"/>
        <v>#REF!</v>
      </c>
      <c r="AS48" s="420">
        <f t="shared" si="33"/>
        <v>23</v>
      </c>
      <c r="AU48" s="422">
        <f t="shared" si="20"/>
        <v>23</v>
      </c>
      <c r="AV48" s="423" t="e">
        <f t="shared" si="31"/>
        <v>#REF!</v>
      </c>
      <c r="AW48" s="424" t="e">
        <f t="shared" si="3"/>
        <v>#REF!</v>
      </c>
      <c r="AX48" s="424">
        <f t="shared" si="4"/>
        <v>0</v>
      </c>
      <c r="AY48" s="424" t="e">
        <f t="shared" si="4"/>
        <v>#REF!</v>
      </c>
      <c r="AZ48" s="424">
        <f t="shared" si="4"/>
        <v>0</v>
      </c>
      <c r="BA48" s="424">
        <f t="shared" si="4"/>
        <v>0</v>
      </c>
      <c r="BB48" s="424">
        <f t="shared" si="5"/>
        <v>0</v>
      </c>
      <c r="BC48" s="407" t="e">
        <f t="shared" si="6"/>
        <v>#REF!</v>
      </c>
      <c r="BD48" s="423">
        <f t="shared" si="7"/>
        <v>-11000000</v>
      </c>
      <c r="BE48" s="424" t="e">
        <f t="shared" si="8"/>
        <v>#REF!</v>
      </c>
      <c r="BF48" s="424" t="e">
        <f t="shared" si="16"/>
        <v>#REF!</v>
      </c>
      <c r="BG48" s="407" t="e">
        <f t="shared" si="9"/>
        <v>#REF!</v>
      </c>
      <c r="BH48" s="425" t="e">
        <f t="shared" si="11"/>
        <v>#REF!</v>
      </c>
      <c r="BI48" s="426" t="e">
        <f t="shared" si="12"/>
        <v>#REF!</v>
      </c>
      <c r="BJ48" s="427" t="e">
        <f t="shared" si="21"/>
        <v>#REF!</v>
      </c>
      <c r="BK48" s="428" t="e">
        <f t="shared" si="22"/>
        <v>#REF!</v>
      </c>
      <c r="BL48" s="428" t="e">
        <f t="shared" si="1"/>
        <v>#REF!</v>
      </c>
    </row>
    <row r="49" spans="2:84" ht="15.75" customHeight="1">
      <c r="B49" s="351">
        <f t="shared" si="23"/>
        <v>24</v>
      </c>
      <c r="C49" s="352">
        <f t="shared" si="17"/>
        <v>5</v>
      </c>
      <c r="D49" s="353" t="str">
        <f t="shared" si="37"/>
        <v xml:space="preserve">             </v>
      </c>
      <c r="E49" s="381"/>
      <c r="F49" s="393"/>
      <c r="G49" s="393"/>
      <c r="H49" s="393"/>
      <c r="I49" s="393"/>
      <c r="J49" s="393"/>
      <c r="K49" s="393"/>
      <c r="L49" s="393"/>
      <c r="M49" s="393"/>
      <c r="N49" s="393"/>
      <c r="P49" s="393"/>
      <c r="Q49" s="393"/>
      <c r="R49" s="393">
        <f t="shared" si="24"/>
        <v>-1000000</v>
      </c>
      <c r="S49" s="393"/>
      <c r="T49" s="393"/>
      <c r="U49" s="393"/>
      <c r="V49" s="393"/>
      <c r="W49" s="394">
        <f t="shared" si="2"/>
        <v>-1000000</v>
      </c>
      <c r="X49" s="393"/>
      <c r="Y49" s="382" t="e">
        <f t="shared" si="14"/>
        <v>#REF!</v>
      </c>
      <c r="Z49" s="382"/>
      <c r="AA49" s="382"/>
      <c r="AB49" s="382"/>
      <c r="AC49" s="401"/>
      <c r="AD49" s="394" t="e">
        <f t="shared" si="29"/>
        <v>#REF!</v>
      </c>
      <c r="AE49" s="386" t="e">
        <f t="shared" si="0"/>
        <v>#REF!</v>
      </c>
      <c r="AF49" s="386" t="e">
        <f t="shared" si="15"/>
        <v>#REF!</v>
      </c>
      <c r="AG49" s="381" t="e">
        <f t="shared" si="34"/>
        <v>#REF!</v>
      </c>
      <c r="AH49" s="393" t="e">
        <f t="shared" si="19"/>
        <v>#REF!</v>
      </c>
      <c r="AI49" s="393" t="e">
        <f t="shared" si="25"/>
        <v>#REF!</v>
      </c>
      <c r="AJ49" s="393" t="e">
        <f t="shared" si="26"/>
        <v>#REF!</v>
      </c>
      <c r="AK49" s="396" t="e">
        <f t="shared" si="30"/>
        <v>#REF!</v>
      </c>
      <c r="AL49" s="397" t="e">
        <f t="shared" si="27"/>
        <v>#REF!</v>
      </c>
      <c r="AM49" s="398">
        <f t="shared" si="28"/>
        <v>0</v>
      </c>
      <c r="AN49" s="399" t="e">
        <f t="shared" si="32"/>
        <v>#REF!</v>
      </c>
      <c r="AO49" s="379" t="e">
        <f t="shared" si="10"/>
        <v>#REF!</v>
      </c>
      <c r="AP49" s="390">
        <f t="shared" si="38"/>
        <v>0</v>
      </c>
      <c r="AQ49" s="400" t="e">
        <f t="shared" si="35"/>
        <v>#REF!</v>
      </c>
      <c r="AR49" s="400" t="e">
        <f t="shared" si="36"/>
        <v>#REF!</v>
      </c>
      <c r="AS49" s="368">
        <f t="shared" si="33"/>
        <v>24</v>
      </c>
      <c r="AT49" s="80"/>
      <c r="AU49" s="392">
        <f t="shared" si="20"/>
        <v>24</v>
      </c>
      <c r="AV49" s="370" t="e">
        <f t="shared" si="31"/>
        <v>#REF!</v>
      </c>
      <c r="AW49" s="371" t="e">
        <f t="shared" si="3"/>
        <v>#REF!</v>
      </c>
      <c r="AX49" s="371">
        <f t="shared" si="4"/>
        <v>0</v>
      </c>
      <c r="AY49" s="371" t="e">
        <f t="shared" si="4"/>
        <v>#REF!</v>
      </c>
      <c r="AZ49" s="371">
        <f t="shared" si="4"/>
        <v>0</v>
      </c>
      <c r="BA49" s="371">
        <f t="shared" si="4"/>
        <v>0</v>
      </c>
      <c r="BB49" s="371">
        <f t="shared" si="5"/>
        <v>0</v>
      </c>
      <c r="BC49" s="372" t="e">
        <f t="shared" si="6"/>
        <v>#REF!</v>
      </c>
      <c r="BD49" s="370">
        <f t="shared" si="7"/>
        <v>-1000000</v>
      </c>
      <c r="BE49" s="371" t="e">
        <f t="shared" si="8"/>
        <v>#REF!</v>
      </c>
      <c r="BF49" s="371" t="e">
        <f t="shared" si="16"/>
        <v>#REF!</v>
      </c>
      <c r="BG49" s="372" t="e">
        <f t="shared" si="9"/>
        <v>#REF!</v>
      </c>
      <c r="BH49" s="373" t="e">
        <f t="shared" si="11"/>
        <v>#REF!</v>
      </c>
      <c r="BI49" s="374" t="e">
        <f t="shared" si="12"/>
        <v>#REF!</v>
      </c>
      <c r="BJ49" s="375" t="e">
        <f t="shared" si="21"/>
        <v>#REF!</v>
      </c>
      <c r="BK49" s="376" t="e">
        <f t="shared" si="22"/>
        <v>#REF!</v>
      </c>
      <c r="BL49" s="376" t="e">
        <f t="shared" si="1"/>
        <v>#REF!</v>
      </c>
      <c r="CB49" s="80"/>
      <c r="CC49" s="80"/>
      <c r="CD49" s="80"/>
      <c r="CE49" s="80"/>
      <c r="CF49" s="80"/>
    </row>
    <row r="50" spans="2:84" ht="15.75" customHeight="1">
      <c r="B50" s="351">
        <f t="shared" si="23"/>
        <v>25</v>
      </c>
      <c r="C50" s="352">
        <f t="shared" si="17"/>
        <v>6</v>
      </c>
      <c r="D50" s="353" t="str">
        <f>IF($C49=12,$D$49+1,"             ")</f>
        <v xml:space="preserve">             </v>
      </c>
      <c r="E50" s="381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>
        <f t="shared" si="24"/>
        <v>-1000000</v>
      </c>
      <c r="S50" s="393"/>
      <c r="T50" s="393"/>
      <c r="U50" s="393"/>
      <c r="V50" s="393"/>
      <c r="W50" s="394">
        <f t="shared" si="2"/>
        <v>-1000000</v>
      </c>
      <c r="X50" s="393"/>
      <c r="Y50" s="382" t="e">
        <f t="shared" si="14"/>
        <v>#REF!</v>
      </c>
      <c r="Z50" s="382"/>
      <c r="AA50" s="382"/>
      <c r="AB50" s="382"/>
      <c r="AC50" s="401"/>
      <c r="AD50" s="394" t="e">
        <f t="shared" si="29"/>
        <v>#REF!</v>
      </c>
      <c r="AE50" s="386" t="e">
        <f t="shared" si="0"/>
        <v>#REF!</v>
      </c>
      <c r="AF50" s="386" t="e">
        <f t="shared" si="15"/>
        <v>#REF!</v>
      </c>
      <c r="AG50" s="381" t="e">
        <f t="shared" si="34"/>
        <v>#REF!</v>
      </c>
      <c r="AH50" s="393" t="e">
        <f t="shared" si="19"/>
        <v>#REF!</v>
      </c>
      <c r="AI50" s="393" t="e">
        <f t="shared" si="25"/>
        <v>#REF!</v>
      </c>
      <c r="AJ50" s="393" t="e">
        <f t="shared" si="26"/>
        <v>#REF!</v>
      </c>
      <c r="AK50" s="396" t="e">
        <f t="shared" si="30"/>
        <v>#REF!</v>
      </c>
      <c r="AL50" s="397" t="e">
        <f t="shared" si="27"/>
        <v>#REF!</v>
      </c>
      <c r="AM50" s="398">
        <f t="shared" si="28"/>
        <v>0</v>
      </c>
      <c r="AN50" s="399" t="e">
        <f t="shared" si="32"/>
        <v>#REF!</v>
      </c>
      <c r="AO50" s="379" t="e">
        <f t="shared" si="10"/>
        <v>#REF!</v>
      </c>
      <c r="AP50" s="390">
        <f t="shared" si="38"/>
        <v>0</v>
      </c>
      <c r="AQ50" s="400" t="e">
        <f t="shared" si="35"/>
        <v>#REF!</v>
      </c>
      <c r="AR50" s="400" t="e">
        <f t="shared" si="36"/>
        <v>#REF!</v>
      </c>
      <c r="AS50" s="368">
        <f t="shared" si="33"/>
        <v>25</v>
      </c>
      <c r="AT50" s="80"/>
      <c r="AU50" s="392">
        <f t="shared" si="20"/>
        <v>25</v>
      </c>
      <c r="AV50" s="370" t="e">
        <f t="shared" si="31"/>
        <v>#REF!</v>
      </c>
      <c r="AW50" s="371" t="e">
        <f t="shared" si="3"/>
        <v>#REF!</v>
      </c>
      <c r="AX50" s="371">
        <f t="shared" si="4"/>
        <v>0</v>
      </c>
      <c r="AY50" s="371" t="e">
        <f t="shared" si="4"/>
        <v>#REF!</v>
      </c>
      <c r="AZ50" s="371">
        <f t="shared" si="4"/>
        <v>0</v>
      </c>
      <c r="BA50" s="371">
        <f t="shared" si="4"/>
        <v>0</v>
      </c>
      <c r="BB50" s="371">
        <f t="shared" si="5"/>
        <v>0</v>
      </c>
      <c r="BC50" s="372" t="e">
        <f t="shared" si="6"/>
        <v>#REF!</v>
      </c>
      <c r="BD50" s="370">
        <f t="shared" si="7"/>
        <v>-1000000</v>
      </c>
      <c r="BE50" s="371" t="e">
        <f t="shared" si="8"/>
        <v>#REF!</v>
      </c>
      <c r="BF50" s="371" t="e">
        <f t="shared" si="16"/>
        <v>#REF!</v>
      </c>
      <c r="BG50" s="372" t="e">
        <f t="shared" si="9"/>
        <v>#REF!</v>
      </c>
      <c r="BH50" s="373" t="e">
        <f t="shared" si="11"/>
        <v>#REF!</v>
      </c>
      <c r="BI50" s="374" t="e">
        <f t="shared" si="12"/>
        <v>#REF!</v>
      </c>
      <c r="BJ50" s="375" t="e">
        <f t="shared" si="21"/>
        <v>#REF!</v>
      </c>
      <c r="BK50" s="376" t="e">
        <f t="shared" si="22"/>
        <v>#REF!</v>
      </c>
      <c r="BL50" s="376" t="e">
        <f t="shared" si="1"/>
        <v>#REF!</v>
      </c>
      <c r="CB50" s="80"/>
      <c r="CC50" s="80"/>
      <c r="CD50" s="80"/>
      <c r="CE50" s="80"/>
      <c r="CF50" s="80"/>
    </row>
    <row r="51" spans="2:84" ht="15.75" customHeight="1">
      <c r="B51" s="351">
        <f t="shared" si="23"/>
        <v>26</v>
      </c>
      <c r="C51" s="352">
        <f t="shared" si="17"/>
        <v>7</v>
      </c>
      <c r="D51" s="353" t="str">
        <f t="shared" ref="D51:D61" si="39">IF($C50=12,$D$49+1,"             ")</f>
        <v xml:space="preserve">             </v>
      </c>
      <c r="E51" s="381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>
        <f t="shared" si="24"/>
        <v>-1000000</v>
      </c>
      <c r="S51" s="393"/>
      <c r="T51" s="393"/>
      <c r="U51" s="393"/>
      <c r="V51" s="393"/>
      <c r="W51" s="394">
        <f t="shared" si="2"/>
        <v>-1000000</v>
      </c>
      <c r="X51" s="393"/>
      <c r="Y51" s="382" t="e">
        <f t="shared" si="14"/>
        <v>#REF!</v>
      </c>
      <c r="Z51" s="382"/>
      <c r="AA51" s="382"/>
      <c r="AB51" s="382"/>
      <c r="AC51" s="401"/>
      <c r="AD51" s="394" t="e">
        <f t="shared" si="29"/>
        <v>#REF!</v>
      </c>
      <c r="AE51" s="386" t="e">
        <f t="shared" si="0"/>
        <v>#REF!</v>
      </c>
      <c r="AF51" s="386" t="e">
        <f t="shared" si="15"/>
        <v>#REF!</v>
      </c>
      <c r="AG51" s="381" t="e">
        <f t="shared" si="34"/>
        <v>#REF!</v>
      </c>
      <c r="AH51" s="393" t="e">
        <f t="shared" si="19"/>
        <v>#REF!</v>
      </c>
      <c r="AI51" s="393" t="e">
        <f t="shared" si="25"/>
        <v>#REF!</v>
      </c>
      <c r="AJ51" s="393" t="e">
        <f t="shared" si="26"/>
        <v>#REF!</v>
      </c>
      <c r="AK51" s="396" t="e">
        <f t="shared" si="30"/>
        <v>#REF!</v>
      </c>
      <c r="AL51" s="397" t="e">
        <f t="shared" si="27"/>
        <v>#REF!</v>
      </c>
      <c r="AM51" s="398">
        <f t="shared" si="28"/>
        <v>0</v>
      </c>
      <c r="AN51" s="399" t="e">
        <f t="shared" si="32"/>
        <v>#REF!</v>
      </c>
      <c r="AO51" s="379" t="e">
        <f t="shared" si="10"/>
        <v>#REF!</v>
      </c>
      <c r="AP51" s="390">
        <f>IF($C51=3,SUM(AK37:AK48),0)*-1</f>
        <v>0</v>
      </c>
      <c r="AQ51" s="400" t="e">
        <f t="shared" si="35"/>
        <v>#REF!</v>
      </c>
      <c r="AR51" s="400" t="e">
        <f t="shared" si="36"/>
        <v>#REF!</v>
      </c>
      <c r="AS51" s="368">
        <f t="shared" si="33"/>
        <v>26</v>
      </c>
      <c r="AT51" s="80"/>
      <c r="AU51" s="392">
        <f t="shared" si="20"/>
        <v>26</v>
      </c>
      <c r="AV51" s="370" t="e">
        <f t="shared" si="31"/>
        <v>#REF!</v>
      </c>
      <c r="AW51" s="371" t="e">
        <f t="shared" si="3"/>
        <v>#REF!</v>
      </c>
      <c r="AX51" s="371">
        <f t="shared" si="4"/>
        <v>0</v>
      </c>
      <c r="AY51" s="371" t="e">
        <f t="shared" si="4"/>
        <v>#REF!</v>
      </c>
      <c r="AZ51" s="371">
        <f t="shared" si="4"/>
        <v>0</v>
      </c>
      <c r="BA51" s="371">
        <f t="shared" si="4"/>
        <v>0</v>
      </c>
      <c r="BB51" s="371">
        <f t="shared" si="5"/>
        <v>0</v>
      </c>
      <c r="BC51" s="372" t="e">
        <f t="shared" si="6"/>
        <v>#REF!</v>
      </c>
      <c r="BD51" s="370">
        <f t="shared" si="7"/>
        <v>-1000000</v>
      </c>
      <c r="BE51" s="371" t="e">
        <f t="shared" si="8"/>
        <v>#REF!</v>
      </c>
      <c r="BF51" s="371" t="e">
        <f t="shared" si="16"/>
        <v>#REF!</v>
      </c>
      <c r="BG51" s="372" t="e">
        <f t="shared" si="9"/>
        <v>#REF!</v>
      </c>
      <c r="BH51" s="373" t="e">
        <f t="shared" si="11"/>
        <v>#REF!</v>
      </c>
      <c r="BI51" s="374" t="e">
        <f t="shared" si="12"/>
        <v>#REF!</v>
      </c>
      <c r="BJ51" s="375" t="e">
        <f t="shared" si="21"/>
        <v>#REF!</v>
      </c>
      <c r="BK51" s="376" t="e">
        <f t="shared" si="22"/>
        <v>#REF!</v>
      </c>
      <c r="BL51" s="376" t="e">
        <f t="shared" si="1"/>
        <v>#REF!</v>
      </c>
      <c r="CB51" s="80"/>
      <c r="CC51" s="80"/>
      <c r="CD51" s="80"/>
      <c r="CE51" s="80"/>
      <c r="CF51" s="80"/>
    </row>
    <row r="52" spans="2:84" ht="15.75" customHeight="1">
      <c r="B52" s="351">
        <f t="shared" si="23"/>
        <v>27</v>
      </c>
      <c r="C52" s="352">
        <f t="shared" si="17"/>
        <v>8</v>
      </c>
      <c r="D52" s="353" t="str">
        <f t="shared" si="39"/>
        <v xml:space="preserve">             </v>
      </c>
      <c r="E52" s="381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>
        <f t="shared" si="24"/>
        <v>-1000000</v>
      </c>
      <c r="S52" s="393"/>
      <c r="T52" s="393"/>
      <c r="U52" s="393"/>
      <c r="V52" s="393"/>
      <c r="W52" s="394">
        <f t="shared" si="2"/>
        <v>-1000000</v>
      </c>
      <c r="X52" s="393"/>
      <c r="Y52" s="382" t="e">
        <f t="shared" si="14"/>
        <v>#REF!</v>
      </c>
      <c r="Z52" s="382"/>
      <c r="AA52" s="382"/>
      <c r="AB52" s="382"/>
      <c r="AC52" s="401"/>
      <c r="AD52" s="394" t="e">
        <f t="shared" si="29"/>
        <v>#REF!</v>
      </c>
      <c r="AE52" s="386" t="e">
        <f t="shared" si="0"/>
        <v>#REF!</v>
      </c>
      <c r="AF52" s="386" t="e">
        <f t="shared" si="15"/>
        <v>#REF!</v>
      </c>
      <c r="AG52" s="381" t="e">
        <f t="shared" si="34"/>
        <v>#REF!</v>
      </c>
      <c r="AH52" s="393" t="e">
        <f t="shared" si="19"/>
        <v>#REF!</v>
      </c>
      <c r="AI52" s="393" t="e">
        <f t="shared" si="25"/>
        <v>#REF!</v>
      </c>
      <c r="AJ52" s="393" t="e">
        <f t="shared" si="26"/>
        <v>#REF!</v>
      </c>
      <c r="AK52" s="396" t="e">
        <f t="shared" si="30"/>
        <v>#REF!</v>
      </c>
      <c r="AL52" s="397" t="e">
        <f t="shared" si="27"/>
        <v>#REF!</v>
      </c>
      <c r="AM52" s="398">
        <f t="shared" si="28"/>
        <v>0</v>
      </c>
      <c r="AN52" s="399" t="e">
        <f t="shared" si="32"/>
        <v>#REF!</v>
      </c>
      <c r="AO52" s="379" t="e">
        <f t="shared" si="10"/>
        <v>#REF!</v>
      </c>
      <c r="AP52" s="390">
        <f t="shared" si="38"/>
        <v>0</v>
      </c>
      <c r="AQ52" s="400" t="e">
        <f t="shared" si="35"/>
        <v>#REF!</v>
      </c>
      <c r="AR52" s="400" t="e">
        <f t="shared" si="36"/>
        <v>#REF!</v>
      </c>
      <c r="AS52" s="368">
        <f t="shared" si="33"/>
        <v>27</v>
      </c>
      <c r="AT52" s="80"/>
      <c r="AU52" s="392">
        <f t="shared" si="20"/>
        <v>27</v>
      </c>
      <c r="AV52" s="370" t="e">
        <f t="shared" si="31"/>
        <v>#REF!</v>
      </c>
      <c r="AW52" s="371" t="e">
        <f t="shared" si="3"/>
        <v>#REF!</v>
      </c>
      <c r="AX52" s="371">
        <f t="shared" si="4"/>
        <v>0</v>
      </c>
      <c r="AY52" s="371" t="e">
        <f t="shared" si="4"/>
        <v>#REF!</v>
      </c>
      <c r="AZ52" s="371">
        <f t="shared" si="4"/>
        <v>0</v>
      </c>
      <c r="BA52" s="371">
        <f t="shared" si="4"/>
        <v>0</v>
      </c>
      <c r="BB52" s="371">
        <f t="shared" si="5"/>
        <v>0</v>
      </c>
      <c r="BC52" s="372" t="e">
        <f t="shared" si="6"/>
        <v>#REF!</v>
      </c>
      <c r="BD52" s="370">
        <f t="shared" si="7"/>
        <v>-1000000</v>
      </c>
      <c r="BE52" s="371" t="e">
        <f t="shared" si="8"/>
        <v>#REF!</v>
      </c>
      <c r="BF52" s="371" t="e">
        <f t="shared" si="16"/>
        <v>#REF!</v>
      </c>
      <c r="BG52" s="372" t="e">
        <f t="shared" si="9"/>
        <v>#REF!</v>
      </c>
      <c r="BH52" s="373" t="e">
        <f t="shared" si="11"/>
        <v>#REF!</v>
      </c>
      <c r="BI52" s="374" t="e">
        <f t="shared" si="12"/>
        <v>#REF!</v>
      </c>
      <c r="BJ52" s="375" t="e">
        <f t="shared" si="21"/>
        <v>#REF!</v>
      </c>
      <c r="BK52" s="376" t="e">
        <f t="shared" si="22"/>
        <v>#REF!</v>
      </c>
      <c r="BL52" s="376" t="e">
        <f t="shared" si="1"/>
        <v>#REF!</v>
      </c>
      <c r="CB52" s="80"/>
      <c r="CC52" s="80"/>
      <c r="CD52" s="80"/>
      <c r="CE52" s="80"/>
      <c r="CF52" s="80"/>
    </row>
    <row r="53" spans="2:84" ht="15.75" customHeight="1">
      <c r="B53" s="351">
        <f t="shared" si="23"/>
        <v>28</v>
      </c>
      <c r="C53" s="352">
        <f t="shared" si="17"/>
        <v>9</v>
      </c>
      <c r="D53" s="353" t="str">
        <f t="shared" si="39"/>
        <v xml:space="preserve">             </v>
      </c>
      <c r="E53" s="381"/>
      <c r="F53" s="393"/>
      <c r="G53" s="393"/>
      <c r="H53" s="393"/>
      <c r="I53" s="393"/>
      <c r="J53" s="393"/>
      <c r="K53" s="393"/>
      <c r="L53" s="393"/>
      <c r="M53" s="393"/>
      <c r="N53" s="393"/>
      <c r="O53" s="393"/>
      <c r="P53" s="393"/>
      <c r="Q53" s="393"/>
      <c r="R53" s="393">
        <f t="shared" si="24"/>
        <v>-1000000</v>
      </c>
      <c r="S53" s="393"/>
      <c r="T53" s="393"/>
      <c r="U53" s="393"/>
      <c r="V53" s="393"/>
      <c r="W53" s="394">
        <f t="shared" si="2"/>
        <v>-1000000</v>
      </c>
      <c r="X53" s="393"/>
      <c r="Y53" s="382" t="e">
        <f t="shared" si="14"/>
        <v>#REF!</v>
      </c>
      <c r="Z53" s="382"/>
      <c r="AA53" s="382"/>
      <c r="AB53" s="382"/>
      <c r="AC53" s="401"/>
      <c r="AD53" s="394" t="e">
        <f t="shared" si="29"/>
        <v>#REF!</v>
      </c>
      <c r="AE53" s="386" t="e">
        <f t="shared" si="0"/>
        <v>#REF!</v>
      </c>
      <c r="AF53" s="386" t="e">
        <f t="shared" si="15"/>
        <v>#REF!</v>
      </c>
      <c r="AG53" s="381" t="e">
        <f t="shared" si="34"/>
        <v>#REF!</v>
      </c>
      <c r="AH53" s="393" t="e">
        <f t="shared" si="19"/>
        <v>#REF!</v>
      </c>
      <c r="AI53" s="393" t="e">
        <f t="shared" si="25"/>
        <v>#REF!</v>
      </c>
      <c r="AJ53" s="393" t="e">
        <f t="shared" si="26"/>
        <v>#REF!</v>
      </c>
      <c r="AK53" s="396" t="e">
        <f t="shared" si="30"/>
        <v>#REF!</v>
      </c>
      <c r="AL53" s="397" t="e">
        <f t="shared" si="27"/>
        <v>#REF!</v>
      </c>
      <c r="AM53" s="398">
        <f t="shared" si="28"/>
        <v>0</v>
      </c>
      <c r="AN53" s="399" t="e">
        <f t="shared" si="32"/>
        <v>#REF!</v>
      </c>
      <c r="AO53" s="379" t="e">
        <f t="shared" si="10"/>
        <v>#REF!</v>
      </c>
      <c r="AP53" s="390">
        <f t="shared" si="38"/>
        <v>0</v>
      </c>
      <c r="AQ53" s="400" t="e">
        <f t="shared" si="35"/>
        <v>#REF!</v>
      </c>
      <c r="AR53" s="400" t="e">
        <f t="shared" si="36"/>
        <v>#REF!</v>
      </c>
      <c r="AS53" s="368">
        <f t="shared" si="33"/>
        <v>28</v>
      </c>
      <c r="AT53" s="80"/>
      <c r="AU53" s="392">
        <f t="shared" si="20"/>
        <v>28</v>
      </c>
      <c r="AV53" s="370" t="e">
        <f t="shared" si="31"/>
        <v>#REF!</v>
      </c>
      <c r="AW53" s="371" t="e">
        <f t="shared" si="3"/>
        <v>#REF!</v>
      </c>
      <c r="AX53" s="371">
        <f t="shared" si="4"/>
        <v>0</v>
      </c>
      <c r="AY53" s="371" t="e">
        <f t="shared" si="4"/>
        <v>#REF!</v>
      </c>
      <c r="AZ53" s="371">
        <f t="shared" si="4"/>
        <v>0</v>
      </c>
      <c r="BA53" s="371">
        <f t="shared" si="4"/>
        <v>0</v>
      </c>
      <c r="BB53" s="371">
        <f t="shared" si="5"/>
        <v>0</v>
      </c>
      <c r="BC53" s="372" t="e">
        <f t="shared" si="6"/>
        <v>#REF!</v>
      </c>
      <c r="BD53" s="370">
        <f t="shared" si="7"/>
        <v>-1000000</v>
      </c>
      <c r="BE53" s="371" t="e">
        <f t="shared" si="8"/>
        <v>#REF!</v>
      </c>
      <c r="BF53" s="371" t="e">
        <f t="shared" si="16"/>
        <v>#REF!</v>
      </c>
      <c r="BG53" s="372" t="e">
        <f t="shared" si="9"/>
        <v>#REF!</v>
      </c>
      <c r="BH53" s="373" t="e">
        <f t="shared" si="11"/>
        <v>#REF!</v>
      </c>
      <c r="BI53" s="374" t="e">
        <f t="shared" si="12"/>
        <v>#REF!</v>
      </c>
      <c r="BJ53" s="375" t="e">
        <f t="shared" si="21"/>
        <v>#REF!</v>
      </c>
      <c r="BK53" s="376" t="e">
        <f t="shared" si="22"/>
        <v>#REF!</v>
      </c>
      <c r="BL53" s="376" t="e">
        <f t="shared" si="1"/>
        <v>#REF!</v>
      </c>
      <c r="CB53" s="80"/>
      <c r="CC53" s="80"/>
      <c r="CD53" s="80"/>
      <c r="CE53" s="80"/>
      <c r="CF53" s="80"/>
    </row>
    <row r="54" spans="2:84" ht="15.75" customHeight="1">
      <c r="B54" s="351">
        <f t="shared" si="23"/>
        <v>29</v>
      </c>
      <c r="C54" s="352">
        <f t="shared" si="17"/>
        <v>10</v>
      </c>
      <c r="D54" s="353" t="str">
        <f t="shared" si="39"/>
        <v xml:space="preserve">             </v>
      </c>
      <c r="E54" s="381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>
        <f t="shared" si="24"/>
        <v>-1000000</v>
      </c>
      <c r="S54" s="393"/>
      <c r="T54" s="393"/>
      <c r="U54" s="393"/>
      <c r="V54" s="393"/>
      <c r="W54" s="394">
        <f t="shared" si="2"/>
        <v>-1000000</v>
      </c>
      <c r="X54" s="393"/>
      <c r="Y54" s="382" t="e">
        <f t="shared" si="14"/>
        <v>#REF!</v>
      </c>
      <c r="Z54" s="382"/>
      <c r="AA54" s="382"/>
      <c r="AB54" s="382"/>
      <c r="AC54" s="401"/>
      <c r="AD54" s="394" t="e">
        <f t="shared" si="29"/>
        <v>#REF!</v>
      </c>
      <c r="AE54" s="386" t="e">
        <f t="shared" si="0"/>
        <v>#REF!</v>
      </c>
      <c r="AF54" s="386" t="e">
        <f t="shared" si="15"/>
        <v>#REF!</v>
      </c>
      <c r="AG54" s="381" t="e">
        <f t="shared" si="34"/>
        <v>#REF!</v>
      </c>
      <c r="AH54" s="393" t="e">
        <f t="shared" si="19"/>
        <v>#REF!</v>
      </c>
      <c r="AI54" s="393" t="e">
        <f t="shared" si="25"/>
        <v>#REF!</v>
      </c>
      <c r="AJ54" s="393" t="e">
        <f t="shared" si="26"/>
        <v>#REF!</v>
      </c>
      <c r="AK54" s="396" t="e">
        <f t="shared" si="30"/>
        <v>#REF!</v>
      </c>
      <c r="AL54" s="397" t="e">
        <f t="shared" si="27"/>
        <v>#REF!</v>
      </c>
      <c r="AM54" s="398">
        <f t="shared" si="28"/>
        <v>0</v>
      </c>
      <c r="AN54" s="399" t="e">
        <f t="shared" si="32"/>
        <v>#REF!</v>
      </c>
      <c r="AO54" s="379" t="e">
        <f t="shared" si="10"/>
        <v>#REF!</v>
      </c>
      <c r="AP54" s="390">
        <f t="shared" si="38"/>
        <v>0</v>
      </c>
      <c r="AQ54" s="400" t="e">
        <f t="shared" si="35"/>
        <v>#REF!</v>
      </c>
      <c r="AR54" s="400" t="e">
        <f t="shared" si="36"/>
        <v>#REF!</v>
      </c>
      <c r="AS54" s="368">
        <f t="shared" si="33"/>
        <v>29</v>
      </c>
      <c r="AT54" s="80"/>
      <c r="AU54" s="392">
        <f t="shared" si="20"/>
        <v>29</v>
      </c>
      <c r="AV54" s="370" t="e">
        <f t="shared" si="31"/>
        <v>#REF!</v>
      </c>
      <c r="AW54" s="371" t="e">
        <f t="shared" si="3"/>
        <v>#REF!</v>
      </c>
      <c r="AX54" s="371">
        <f t="shared" si="4"/>
        <v>0</v>
      </c>
      <c r="AY54" s="371" t="e">
        <f t="shared" si="4"/>
        <v>#REF!</v>
      </c>
      <c r="AZ54" s="371">
        <f t="shared" si="4"/>
        <v>0</v>
      </c>
      <c r="BA54" s="371">
        <f t="shared" si="4"/>
        <v>0</v>
      </c>
      <c r="BB54" s="371">
        <f t="shared" si="5"/>
        <v>0</v>
      </c>
      <c r="BC54" s="372" t="e">
        <f t="shared" si="6"/>
        <v>#REF!</v>
      </c>
      <c r="BD54" s="370">
        <f t="shared" si="7"/>
        <v>-1000000</v>
      </c>
      <c r="BE54" s="371" t="e">
        <f t="shared" si="8"/>
        <v>#REF!</v>
      </c>
      <c r="BF54" s="371" t="e">
        <f t="shared" si="16"/>
        <v>#REF!</v>
      </c>
      <c r="BG54" s="372" t="e">
        <f t="shared" si="9"/>
        <v>#REF!</v>
      </c>
      <c r="BH54" s="373" t="e">
        <f t="shared" si="11"/>
        <v>#REF!</v>
      </c>
      <c r="BI54" s="374" t="e">
        <f t="shared" si="12"/>
        <v>#REF!</v>
      </c>
      <c r="BJ54" s="375" t="e">
        <f t="shared" si="21"/>
        <v>#REF!</v>
      </c>
      <c r="BK54" s="376" t="e">
        <f t="shared" si="22"/>
        <v>#REF!</v>
      </c>
      <c r="BL54" s="376" t="e">
        <f t="shared" si="1"/>
        <v>#REF!</v>
      </c>
      <c r="CB54" s="80"/>
      <c r="CC54" s="80"/>
      <c r="CD54" s="80"/>
      <c r="CE54" s="80"/>
      <c r="CF54" s="80"/>
    </row>
    <row r="55" spans="2:84" ht="15.75" customHeight="1">
      <c r="B55" s="351">
        <f t="shared" si="23"/>
        <v>30</v>
      </c>
      <c r="C55" s="352">
        <f t="shared" si="17"/>
        <v>11</v>
      </c>
      <c r="D55" s="353" t="str">
        <f t="shared" si="39"/>
        <v xml:space="preserve">             </v>
      </c>
      <c r="E55" s="381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>
        <f t="shared" si="24"/>
        <v>-1000000</v>
      </c>
      <c r="S55" s="393"/>
      <c r="T55" s="393"/>
      <c r="U55" s="393"/>
      <c r="V55" s="393"/>
      <c r="W55" s="394">
        <f t="shared" si="2"/>
        <v>-1000000</v>
      </c>
      <c r="X55" s="393"/>
      <c r="Y55" s="382" t="e">
        <f t="shared" si="14"/>
        <v>#REF!</v>
      </c>
      <c r="Z55" s="382"/>
      <c r="AA55" s="382"/>
      <c r="AB55" s="382"/>
      <c r="AC55" s="401"/>
      <c r="AD55" s="394" t="e">
        <f t="shared" si="29"/>
        <v>#REF!</v>
      </c>
      <c r="AE55" s="386" t="e">
        <f t="shared" si="0"/>
        <v>#REF!</v>
      </c>
      <c r="AF55" s="386" t="e">
        <f t="shared" si="15"/>
        <v>#REF!</v>
      </c>
      <c r="AG55" s="381" t="e">
        <f t="shared" si="34"/>
        <v>#REF!</v>
      </c>
      <c r="AH55" s="393" t="e">
        <f t="shared" si="19"/>
        <v>#REF!</v>
      </c>
      <c r="AI55" s="393" t="e">
        <f t="shared" si="25"/>
        <v>#REF!</v>
      </c>
      <c r="AJ55" s="393" t="e">
        <f t="shared" si="26"/>
        <v>#REF!</v>
      </c>
      <c r="AK55" s="396" t="e">
        <f t="shared" si="30"/>
        <v>#REF!</v>
      </c>
      <c r="AL55" s="397" t="e">
        <f t="shared" si="27"/>
        <v>#REF!</v>
      </c>
      <c r="AM55" s="398">
        <f t="shared" si="28"/>
        <v>0</v>
      </c>
      <c r="AN55" s="399" t="e">
        <f t="shared" si="32"/>
        <v>#REF!</v>
      </c>
      <c r="AO55" s="379" t="e">
        <f t="shared" si="10"/>
        <v>#REF!</v>
      </c>
      <c r="AP55" s="390">
        <f t="shared" si="38"/>
        <v>0</v>
      </c>
      <c r="AQ55" s="400" t="e">
        <f t="shared" si="35"/>
        <v>#REF!</v>
      </c>
      <c r="AR55" s="400" t="e">
        <f t="shared" si="36"/>
        <v>#REF!</v>
      </c>
      <c r="AS55" s="368">
        <f t="shared" si="33"/>
        <v>30</v>
      </c>
      <c r="AT55" s="80"/>
      <c r="AU55" s="392">
        <f t="shared" si="20"/>
        <v>30</v>
      </c>
      <c r="AV55" s="370" t="e">
        <f t="shared" si="31"/>
        <v>#REF!</v>
      </c>
      <c r="AW55" s="371" t="e">
        <f t="shared" si="3"/>
        <v>#REF!</v>
      </c>
      <c r="AX55" s="371">
        <f t="shared" si="4"/>
        <v>0</v>
      </c>
      <c r="AY55" s="371" t="e">
        <f t="shared" si="4"/>
        <v>#REF!</v>
      </c>
      <c r="AZ55" s="371">
        <f t="shared" si="4"/>
        <v>0</v>
      </c>
      <c r="BA55" s="371">
        <f t="shared" si="4"/>
        <v>0</v>
      </c>
      <c r="BB55" s="371">
        <f t="shared" si="5"/>
        <v>0</v>
      </c>
      <c r="BC55" s="372" t="e">
        <f t="shared" si="6"/>
        <v>#REF!</v>
      </c>
      <c r="BD55" s="370">
        <f t="shared" si="7"/>
        <v>-1000000</v>
      </c>
      <c r="BE55" s="371" t="e">
        <f t="shared" si="8"/>
        <v>#REF!</v>
      </c>
      <c r="BF55" s="371" t="e">
        <f t="shared" si="16"/>
        <v>#REF!</v>
      </c>
      <c r="BG55" s="372" t="e">
        <f t="shared" si="9"/>
        <v>#REF!</v>
      </c>
      <c r="BH55" s="373" t="e">
        <f t="shared" si="11"/>
        <v>#REF!</v>
      </c>
      <c r="BI55" s="374" t="e">
        <f t="shared" si="12"/>
        <v>#REF!</v>
      </c>
      <c r="BJ55" s="375" t="e">
        <f t="shared" si="21"/>
        <v>#REF!</v>
      </c>
      <c r="BK55" s="376" t="e">
        <f t="shared" si="22"/>
        <v>#REF!</v>
      </c>
      <c r="BL55" s="376" t="e">
        <f t="shared" si="1"/>
        <v>#REF!</v>
      </c>
      <c r="CB55" s="80"/>
      <c r="CC55" s="80"/>
      <c r="CD55" s="80"/>
      <c r="CE55" s="80"/>
      <c r="CF55" s="80"/>
    </row>
    <row r="56" spans="2:84" ht="15.75" customHeight="1">
      <c r="B56" s="351">
        <f t="shared" si="23"/>
        <v>31</v>
      </c>
      <c r="C56" s="352">
        <f t="shared" si="17"/>
        <v>12</v>
      </c>
      <c r="D56" s="353" t="str">
        <f t="shared" si="39"/>
        <v xml:space="preserve">             </v>
      </c>
      <c r="E56" s="381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>
        <f t="shared" si="24"/>
        <v>-1000000</v>
      </c>
      <c r="S56" s="393"/>
      <c r="T56" s="393"/>
      <c r="U56" s="393"/>
      <c r="V56" s="393"/>
      <c r="W56" s="394">
        <f t="shared" si="2"/>
        <v>-1000000</v>
      </c>
      <c r="X56" s="393"/>
      <c r="Y56" s="382" t="e">
        <f t="shared" si="14"/>
        <v>#REF!</v>
      </c>
      <c r="Z56" s="382"/>
      <c r="AA56" s="382"/>
      <c r="AB56" s="382"/>
      <c r="AC56" s="401"/>
      <c r="AD56" s="394" t="e">
        <f t="shared" si="29"/>
        <v>#REF!</v>
      </c>
      <c r="AE56" s="386" t="e">
        <f t="shared" si="0"/>
        <v>#REF!</v>
      </c>
      <c r="AF56" s="386" t="e">
        <f t="shared" si="15"/>
        <v>#REF!</v>
      </c>
      <c r="AG56" s="381" t="e">
        <f t="shared" si="34"/>
        <v>#REF!</v>
      </c>
      <c r="AH56" s="393" t="e">
        <f t="shared" si="19"/>
        <v>#REF!</v>
      </c>
      <c r="AI56" s="393" t="e">
        <f t="shared" si="25"/>
        <v>#REF!</v>
      </c>
      <c r="AJ56" s="393" t="e">
        <f t="shared" si="26"/>
        <v>#REF!</v>
      </c>
      <c r="AK56" s="396" t="e">
        <f t="shared" si="30"/>
        <v>#REF!</v>
      </c>
      <c r="AL56" s="397" t="e">
        <f t="shared" si="27"/>
        <v>#REF!</v>
      </c>
      <c r="AM56" s="398">
        <f t="shared" si="28"/>
        <v>0</v>
      </c>
      <c r="AN56" s="399" t="e">
        <f t="shared" si="32"/>
        <v>#REF!</v>
      </c>
      <c r="AO56" s="379" t="e">
        <f t="shared" si="10"/>
        <v>#REF!</v>
      </c>
      <c r="AP56" s="390">
        <f t="shared" si="38"/>
        <v>0</v>
      </c>
      <c r="AQ56" s="400" t="e">
        <f t="shared" si="35"/>
        <v>#REF!</v>
      </c>
      <c r="AR56" s="400" t="e">
        <f t="shared" si="36"/>
        <v>#REF!</v>
      </c>
      <c r="AS56" s="368">
        <f t="shared" si="33"/>
        <v>31</v>
      </c>
      <c r="AT56" s="80"/>
      <c r="AU56" s="392">
        <f t="shared" si="20"/>
        <v>31</v>
      </c>
      <c r="AV56" s="370" t="e">
        <f t="shared" si="31"/>
        <v>#REF!</v>
      </c>
      <c r="AW56" s="371" t="e">
        <f t="shared" si="3"/>
        <v>#REF!</v>
      </c>
      <c r="AX56" s="371">
        <f t="shared" si="4"/>
        <v>0</v>
      </c>
      <c r="AY56" s="371" t="e">
        <f t="shared" si="4"/>
        <v>#REF!</v>
      </c>
      <c r="AZ56" s="371">
        <f t="shared" si="4"/>
        <v>0</v>
      </c>
      <c r="BA56" s="371">
        <f t="shared" si="4"/>
        <v>0</v>
      </c>
      <c r="BB56" s="371">
        <f t="shared" si="5"/>
        <v>0</v>
      </c>
      <c r="BC56" s="372" t="e">
        <f t="shared" si="6"/>
        <v>#REF!</v>
      </c>
      <c r="BD56" s="370">
        <f t="shared" si="7"/>
        <v>-1000000</v>
      </c>
      <c r="BE56" s="371" t="e">
        <f t="shared" si="8"/>
        <v>#REF!</v>
      </c>
      <c r="BF56" s="371" t="e">
        <f t="shared" si="16"/>
        <v>#REF!</v>
      </c>
      <c r="BG56" s="372" t="e">
        <f t="shared" si="9"/>
        <v>#REF!</v>
      </c>
      <c r="BH56" s="373" t="e">
        <f t="shared" si="11"/>
        <v>#REF!</v>
      </c>
      <c r="BI56" s="374" t="e">
        <f t="shared" si="12"/>
        <v>#REF!</v>
      </c>
      <c r="BJ56" s="375" t="e">
        <f t="shared" si="21"/>
        <v>#REF!</v>
      </c>
      <c r="BK56" s="376" t="e">
        <f t="shared" si="22"/>
        <v>#REF!</v>
      </c>
      <c r="BL56" s="376" t="e">
        <f t="shared" si="1"/>
        <v>#REF!</v>
      </c>
      <c r="CB56" s="80"/>
      <c r="CC56" s="80"/>
      <c r="CD56" s="80"/>
      <c r="CE56" s="80"/>
      <c r="CF56" s="80"/>
    </row>
    <row r="57" spans="2:84" ht="15.75" customHeight="1">
      <c r="B57" s="351">
        <f t="shared" si="23"/>
        <v>32</v>
      </c>
      <c r="C57" s="352">
        <f t="shared" si="17"/>
        <v>1</v>
      </c>
      <c r="D57" s="353">
        <f>IF($C56=12,$D$45+1,"             ")</f>
        <v>2021</v>
      </c>
      <c r="E57" s="381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>
        <f t="shared" si="24"/>
        <v>-1000000</v>
      </c>
      <c r="S57" s="393"/>
      <c r="T57" s="393"/>
      <c r="U57" s="393"/>
      <c r="V57" s="393"/>
      <c r="W57" s="394">
        <f t="shared" si="2"/>
        <v>-1000000</v>
      </c>
      <c r="X57" s="393"/>
      <c r="Y57" s="382" t="e">
        <f t="shared" si="14"/>
        <v>#REF!</v>
      </c>
      <c r="Z57" s="382"/>
      <c r="AA57" s="382"/>
      <c r="AB57" s="382"/>
      <c r="AC57" s="401"/>
      <c r="AD57" s="394" t="e">
        <f t="shared" si="29"/>
        <v>#REF!</v>
      </c>
      <c r="AE57" s="386" t="e">
        <f t="shared" si="0"/>
        <v>#REF!</v>
      </c>
      <c r="AF57" s="386" t="e">
        <f t="shared" si="15"/>
        <v>#REF!</v>
      </c>
      <c r="AG57" s="381" t="e">
        <f t="shared" si="34"/>
        <v>#REF!</v>
      </c>
      <c r="AH57" s="393" t="e">
        <f t="shared" si="19"/>
        <v>#REF!</v>
      </c>
      <c r="AI57" s="393" t="e">
        <f t="shared" si="25"/>
        <v>#REF!</v>
      </c>
      <c r="AJ57" s="393" t="e">
        <f t="shared" si="26"/>
        <v>#REF!</v>
      </c>
      <c r="AK57" s="396" t="e">
        <f t="shared" si="30"/>
        <v>#REF!</v>
      </c>
      <c r="AL57" s="397" t="e">
        <f t="shared" si="27"/>
        <v>#REF!</v>
      </c>
      <c r="AM57" s="398">
        <f t="shared" si="28"/>
        <v>0</v>
      </c>
      <c r="AN57" s="399" t="e">
        <f t="shared" si="32"/>
        <v>#REF!</v>
      </c>
      <c r="AO57" s="379" t="e">
        <f t="shared" si="10"/>
        <v>#REF!</v>
      </c>
      <c r="AP57" s="390">
        <f t="shared" si="38"/>
        <v>0</v>
      </c>
      <c r="AQ57" s="400" t="e">
        <f t="shared" si="35"/>
        <v>#REF!</v>
      </c>
      <c r="AR57" s="400" t="e">
        <f t="shared" si="36"/>
        <v>#REF!</v>
      </c>
      <c r="AS57" s="368">
        <f t="shared" si="33"/>
        <v>32</v>
      </c>
      <c r="AT57" s="80"/>
      <c r="AU57" s="392">
        <f t="shared" si="20"/>
        <v>32</v>
      </c>
      <c r="AV57" s="370" t="e">
        <f t="shared" si="31"/>
        <v>#REF!</v>
      </c>
      <c r="AW57" s="371" t="e">
        <f t="shared" si="3"/>
        <v>#REF!</v>
      </c>
      <c r="AX57" s="371">
        <f t="shared" si="4"/>
        <v>0</v>
      </c>
      <c r="AY57" s="371" t="e">
        <f t="shared" si="4"/>
        <v>#REF!</v>
      </c>
      <c r="AZ57" s="371">
        <f t="shared" si="4"/>
        <v>0</v>
      </c>
      <c r="BA57" s="371">
        <f t="shared" si="4"/>
        <v>0</v>
      </c>
      <c r="BB57" s="371">
        <f t="shared" si="5"/>
        <v>0</v>
      </c>
      <c r="BC57" s="372" t="e">
        <f t="shared" si="6"/>
        <v>#REF!</v>
      </c>
      <c r="BD57" s="370">
        <f t="shared" si="7"/>
        <v>-1000000</v>
      </c>
      <c r="BE57" s="371" t="e">
        <f t="shared" si="8"/>
        <v>#REF!</v>
      </c>
      <c r="BF57" s="371" t="e">
        <f t="shared" si="16"/>
        <v>#REF!</v>
      </c>
      <c r="BG57" s="372" t="e">
        <f t="shared" si="9"/>
        <v>#REF!</v>
      </c>
      <c r="BH57" s="373" t="e">
        <f t="shared" si="11"/>
        <v>#REF!</v>
      </c>
      <c r="BI57" s="374" t="e">
        <f t="shared" si="12"/>
        <v>#REF!</v>
      </c>
      <c r="BJ57" s="375" t="e">
        <f t="shared" si="21"/>
        <v>#REF!</v>
      </c>
      <c r="BK57" s="376" t="e">
        <f t="shared" si="22"/>
        <v>#REF!</v>
      </c>
      <c r="BL57" s="376" t="e">
        <f t="shared" si="1"/>
        <v>#REF!</v>
      </c>
      <c r="CB57" s="80"/>
      <c r="CC57" s="80"/>
      <c r="CD57" s="80"/>
      <c r="CE57" s="80"/>
      <c r="CF57" s="80"/>
    </row>
    <row r="58" spans="2:84" ht="15.75" customHeight="1">
      <c r="B58" s="351">
        <f t="shared" si="23"/>
        <v>33</v>
      </c>
      <c r="C58" s="352">
        <f t="shared" si="17"/>
        <v>2</v>
      </c>
      <c r="D58" s="353" t="str">
        <f t="shared" si="39"/>
        <v xml:space="preserve">             </v>
      </c>
      <c r="E58" s="381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>
        <f t="shared" si="24"/>
        <v>-1000000</v>
      </c>
      <c r="S58" s="393"/>
      <c r="T58" s="393"/>
      <c r="U58" s="393"/>
      <c r="V58" s="393"/>
      <c r="W58" s="394">
        <f t="shared" si="2"/>
        <v>-1000000</v>
      </c>
      <c r="X58" s="393"/>
      <c r="Y58" s="382" t="e">
        <f t="shared" si="14"/>
        <v>#REF!</v>
      </c>
      <c r="Z58" s="382"/>
      <c r="AA58" s="382"/>
      <c r="AB58" s="382"/>
      <c r="AC58" s="401"/>
      <c r="AD58" s="394" t="e">
        <f t="shared" si="29"/>
        <v>#REF!</v>
      </c>
      <c r="AE58" s="386" t="e">
        <f t="shared" si="0"/>
        <v>#REF!</v>
      </c>
      <c r="AF58" s="386" t="e">
        <f t="shared" si="15"/>
        <v>#REF!</v>
      </c>
      <c r="AG58" s="381" t="e">
        <f t="shared" si="34"/>
        <v>#REF!</v>
      </c>
      <c r="AH58" s="393" t="e">
        <f t="shared" si="19"/>
        <v>#REF!</v>
      </c>
      <c r="AI58" s="393" t="e">
        <f t="shared" si="25"/>
        <v>#REF!</v>
      </c>
      <c r="AJ58" s="393" t="e">
        <f t="shared" si="26"/>
        <v>#REF!</v>
      </c>
      <c r="AK58" s="396" t="e">
        <f t="shared" si="30"/>
        <v>#REF!</v>
      </c>
      <c r="AL58" s="397" t="e">
        <f t="shared" si="27"/>
        <v>#REF!</v>
      </c>
      <c r="AM58" s="398">
        <f t="shared" si="28"/>
        <v>0</v>
      </c>
      <c r="AN58" s="399" t="e">
        <f t="shared" si="32"/>
        <v>#REF!</v>
      </c>
      <c r="AO58" s="379" t="e">
        <f t="shared" si="10"/>
        <v>#REF!</v>
      </c>
      <c r="AP58" s="390">
        <f t="shared" si="38"/>
        <v>0</v>
      </c>
      <c r="AQ58" s="400" t="e">
        <f t="shared" si="35"/>
        <v>#REF!</v>
      </c>
      <c r="AR58" s="400" t="e">
        <f t="shared" si="36"/>
        <v>#REF!</v>
      </c>
      <c r="AS58" s="368">
        <f t="shared" si="33"/>
        <v>33</v>
      </c>
      <c r="AT58" s="80"/>
      <c r="AU58" s="392">
        <f t="shared" si="20"/>
        <v>33</v>
      </c>
      <c r="AV58" s="370" t="e">
        <f t="shared" si="31"/>
        <v>#REF!</v>
      </c>
      <c r="AW58" s="371" t="e">
        <f t="shared" si="3"/>
        <v>#REF!</v>
      </c>
      <c r="AX58" s="371">
        <f t="shared" si="4"/>
        <v>0</v>
      </c>
      <c r="AY58" s="371" t="e">
        <f t="shared" si="4"/>
        <v>#REF!</v>
      </c>
      <c r="AZ58" s="371">
        <f t="shared" si="4"/>
        <v>0</v>
      </c>
      <c r="BA58" s="371">
        <f t="shared" si="4"/>
        <v>0</v>
      </c>
      <c r="BB58" s="371">
        <f t="shared" si="5"/>
        <v>0</v>
      </c>
      <c r="BC58" s="372" t="e">
        <f t="shared" si="6"/>
        <v>#REF!</v>
      </c>
      <c r="BD58" s="370">
        <f t="shared" si="7"/>
        <v>-1000000</v>
      </c>
      <c r="BE58" s="371" t="e">
        <f t="shared" si="8"/>
        <v>#REF!</v>
      </c>
      <c r="BF58" s="371" t="e">
        <f t="shared" si="16"/>
        <v>#REF!</v>
      </c>
      <c r="BG58" s="372" t="e">
        <f t="shared" si="9"/>
        <v>#REF!</v>
      </c>
      <c r="BH58" s="373" t="e">
        <f t="shared" si="11"/>
        <v>#REF!</v>
      </c>
      <c r="BI58" s="374" t="e">
        <f t="shared" si="12"/>
        <v>#REF!</v>
      </c>
      <c r="BJ58" s="375" t="e">
        <f t="shared" si="21"/>
        <v>#REF!</v>
      </c>
      <c r="BK58" s="376" t="e">
        <f t="shared" si="22"/>
        <v>#REF!</v>
      </c>
      <c r="BL58" s="376" t="e">
        <f t="shared" si="1"/>
        <v>#REF!</v>
      </c>
      <c r="CB58" s="80"/>
      <c r="CC58" s="80"/>
      <c r="CD58" s="80"/>
      <c r="CE58" s="80"/>
      <c r="CF58" s="80"/>
    </row>
    <row r="59" spans="2:84" ht="15.75" customHeight="1">
      <c r="B59" s="351">
        <f t="shared" si="23"/>
        <v>34</v>
      </c>
      <c r="C59" s="352">
        <f t="shared" si="17"/>
        <v>3</v>
      </c>
      <c r="D59" s="353" t="str">
        <f t="shared" si="39"/>
        <v xml:space="preserve">             </v>
      </c>
      <c r="E59" s="381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>
        <f t="shared" si="24"/>
        <v>-1000000</v>
      </c>
      <c r="S59" s="393"/>
      <c r="T59" s="393"/>
      <c r="U59" s="393"/>
      <c r="V59" s="393"/>
      <c r="W59" s="394">
        <f t="shared" si="2"/>
        <v>-1000000</v>
      </c>
      <c r="X59" s="393"/>
      <c r="Y59" s="382" t="e">
        <f t="shared" si="14"/>
        <v>#REF!</v>
      </c>
      <c r="Z59" s="382"/>
      <c r="AA59" s="382"/>
      <c r="AB59" s="382"/>
      <c r="AC59" s="401"/>
      <c r="AD59" s="394" t="e">
        <f t="shared" si="29"/>
        <v>#REF!</v>
      </c>
      <c r="AE59" s="386" t="e">
        <f t="shared" si="0"/>
        <v>#REF!</v>
      </c>
      <c r="AF59" s="386" t="e">
        <f t="shared" si="15"/>
        <v>#REF!</v>
      </c>
      <c r="AG59" s="381" t="e">
        <f t="shared" si="34"/>
        <v>#REF!</v>
      </c>
      <c r="AH59" s="393" t="e">
        <f t="shared" si="19"/>
        <v>#REF!</v>
      </c>
      <c r="AI59" s="393" t="e">
        <f t="shared" si="25"/>
        <v>#REF!</v>
      </c>
      <c r="AJ59" s="393" t="e">
        <f t="shared" si="26"/>
        <v>#REF!</v>
      </c>
      <c r="AK59" s="396" t="e">
        <f t="shared" si="30"/>
        <v>#REF!</v>
      </c>
      <c r="AL59" s="397" t="e">
        <f t="shared" si="27"/>
        <v>#REF!</v>
      </c>
      <c r="AM59" s="398">
        <f t="shared" si="28"/>
        <v>0</v>
      </c>
      <c r="AN59" s="399" t="e">
        <f t="shared" si="32"/>
        <v>#REF!</v>
      </c>
      <c r="AO59" s="379" t="e">
        <f t="shared" si="10"/>
        <v>#REF!</v>
      </c>
      <c r="AP59" s="390" t="e">
        <f t="shared" si="38"/>
        <v>#REF!</v>
      </c>
      <c r="AQ59" s="400" t="e">
        <f t="shared" si="35"/>
        <v>#REF!</v>
      </c>
      <c r="AR59" s="400" t="e">
        <f t="shared" si="36"/>
        <v>#REF!</v>
      </c>
      <c r="AS59" s="368">
        <f t="shared" si="33"/>
        <v>34</v>
      </c>
      <c r="AT59" s="80"/>
      <c r="AU59" s="392">
        <f t="shared" si="20"/>
        <v>34</v>
      </c>
      <c r="AV59" s="370" t="e">
        <f t="shared" si="31"/>
        <v>#REF!</v>
      </c>
      <c r="AW59" s="371" t="e">
        <f t="shared" si="3"/>
        <v>#REF!</v>
      </c>
      <c r="AX59" s="371">
        <f t="shared" si="4"/>
        <v>0</v>
      </c>
      <c r="AY59" s="371" t="e">
        <f t="shared" si="4"/>
        <v>#REF!</v>
      </c>
      <c r="AZ59" s="371">
        <f t="shared" si="4"/>
        <v>0</v>
      </c>
      <c r="BA59" s="371">
        <f t="shared" si="4"/>
        <v>0</v>
      </c>
      <c r="BB59" s="371">
        <v>0</v>
      </c>
      <c r="BC59" s="372" t="e">
        <f t="shared" si="6"/>
        <v>#REF!</v>
      </c>
      <c r="BD59" s="370">
        <f t="shared" si="7"/>
        <v>-1000000</v>
      </c>
      <c r="BE59" s="371" t="e">
        <f t="shared" si="8"/>
        <v>#REF!</v>
      </c>
      <c r="BF59" s="371" t="e">
        <f t="shared" si="16"/>
        <v>#REF!</v>
      </c>
      <c r="BG59" s="372" t="e">
        <f t="shared" si="9"/>
        <v>#REF!</v>
      </c>
      <c r="BH59" s="373" t="e">
        <f t="shared" si="11"/>
        <v>#REF!</v>
      </c>
      <c r="BI59" s="374" t="e">
        <f t="shared" si="12"/>
        <v>#REF!</v>
      </c>
      <c r="BJ59" s="375" t="e">
        <f t="shared" si="21"/>
        <v>#REF!</v>
      </c>
      <c r="BK59" s="376" t="e">
        <f t="shared" si="22"/>
        <v>#REF!</v>
      </c>
      <c r="BL59" s="376" t="e">
        <f t="shared" si="1"/>
        <v>#REF!</v>
      </c>
      <c r="CB59" s="80"/>
      <c r="CC59" s="80"/>
      <c r="CD59" s="80"/>
      <c r="CE59" s="80"/>
      <c r="CF59" s="80"/>
    </row>
    <row r="60" spans="2:84" s="421" customFormat="1" ht="15.75" customHeight="1">
      <c r="B60" s="402">
        <f t="shared" si="23"/>
        <v>35</v>
      </c>
      <c r="C60" s="403">
        <f t="shared" si="17"/>
        <v>4</v>
      </c>
      <c r="D60" s="404" t="str">
        <f t="shared" si="39"/>
        <v xml:space="preserve">             </v>
      </c>
      <c r="E60" s="405"/>
      <c r="F60" s="406"/>
      <c r="G60" s="406"/>
      <c r="H60" s="406"/>
      <c r="I60" s="406"/>
      <c r="J60" s="406"/>
      <c r="K60" s="406"/>
      <c r="L60" s="406"/>
      <c r="M60" s="406"/>
      <c r="N60" s="406"/>
      <c r="O60" s="406">
        <f>O48</f>
        <v>-10000000</v>
      </c>
      <c r="P60" s="406"/>
      <c r="Q60" s="406"/>
      <c r="R60" s="393">
        <f t="shared" si="24"/>
        <v>-1000000</v>
      </c>
      <c r="S60" s="393"/>
      <c r="T60" s="406"/>
      <c r="U60" s="406"/>
      <c r="V60" s="406"/>
      <c r="W60" s="407">
        <f t="shared" si="2"/>
        <v>-11000000</v>
      </c>
      <c r="X60" s="393"/>
      <c r="Y60" s="409" t="e">
        <f t="shared" si="14"/>
        <v>#REF!</v>
      </c>
      <c r="Z60" s="409"/>
      <c r="AA60" s="409"/>
      <c r="AB60" s="409"/>
      <c r="AC60" s="410"/>
      <c r="AD60" s="407" t="e">
        <f t="shared" si="29"/>
        <v>#REF!</v>
      </c>
      <c r="AE60" s="412" t="e">
        <f>W60+AD60</f>
        <v>#REF!</v>
      </c>
      <c r="AF60" s="412" t="e">
        <f t="shared" si="15"/>
        <v>#REF!</v>
      </c>
      <c r="AG60" s="405" t="e">
        <f>IF(AS60&lt;=$J$7,AG59,0)</f>
        <v>#REF!</v>
      </c>
      <c r="AH60" s="406" t="e">
        <f t="shared" si="19"/>
        <v>#REF!</v>
      </c>
      <c r="AI60" s="406" t="e">
        <f t="shared" si="25"/>
        <v>#REF!</v>
      </c>
      <c r="AJ60" s="406" t="e">
        <f t="shared" si="26"/>
        <v>#REF!</v>
      </c>
      <c r="AK60" s="413" t="e">
        <f t="shared" si="30"/>
        <v>#REF!</v>
      </c>
      <c r="AL60" s="414" t="e">
        <f t="shared" si="27"/>
        <v>#REF!</v>
      </c>
      <c r="AM60" s="415">
        <f t="shared" si="28"/>
        <v>0</v>
      </c>
      <c r="AN60" s="416" t="e">
        <f t="shared" si="32"/>
        <v>#REF!</v>
      </c>
      <c r="AO60" s="417" t="e">
        <f t="shared" si="10"/>
        <v>#REF!</v>
      </c>
      <c r="AP60" s="418">
        <f t="shared" si="38"/>
        <v>0</v>
      </c>
      <c r="AQ60" s="419" t="e">
        <f t="shared" si="35"/>
        <v>#REF!</v>
      </c>
      <c r="AR60" s="419" t="e">
        <f t="shared" si="36"/>
        <v>#REF!</v>
      </c>
      <c r="AS60" s="420">
        <f t="shared" si="33"/>
        <v>35</v>
      </c>
      <c r="AU60" s="422">
        <f t="shared" si="20"/>
        <v>35</v>
      </c>
      <c r="AV60" s="423" t="e">
        <f t="shared" si="31"/>
        <v>#REF!</v>
      </c>
      <c r="AW60" s="424" t="e">
        <f t="shared" si="3"/>
        <v>#REF!</v>
      </c>
      <c r="AX60" s="424">
        <f t="shared" si="4"/>
        <v>0</v>
      </c>
      <c r="AY60" s="424" t="e">
        <f t="shared" si="4"/>
        <v>#REF!</v>
      </c>
      <c r="AZ60" s="424">
        <f t="shared" si="4"/>
        <v>0</v>
      </c>
      <c r="BA60" s="424">
        <f t="shared" si="4"/>
        <v>0</v>
      </c>
      <c r="BB60" s="424">
        <f t="shared" si="5"/>
        <v>0</v>
      </c>
      <c r="BC60" s="407" t="e">
        <f t="shared" si="6"/>
        <v>#REF!</v>
      </c>
      <c r="BD60" s="423">
        <f t="shared" si="7"/>
        <v>-11000000</v>
      </c>
      <c r="BE60" s="424" t="e">
        <f t="shared" si="8"/>
        <v>#REF!</v>
      </c>
      <c r="BF60" s="424" t="e">
        <f t="shared" si="16"/>
        <v>#REF!</v>
      </c>
      <c r="BG60" s="407" t="e">
        <f t="shared" si="9"/>
        <v>#REF!</v>
      </c>
      <c r="BH60" s="425" t="e">
        <f t="shared" si="11"/>
        <v>#REF!</v>
      </c>
      <c r="BI60" s="426" t="e">
        <f t="shared" si="12"/>
        <v>#REF!</v>
      </c>
      <c r="BJ60" s="427" t="e">
        <f t="shared" si="21"/>
        <v>#REF!</v>
      </c>
      <c r="BK60" s="428" t="e">
        <f t="shared" si="22"/>
        <v>#REF!</v>
      </c>
      <c r="BL60" s="428" t="e">
        <f t="shared" si="1"/>
        <v>#REF!</v>
      </c>
    </row>
    <row r="61" spans="2:84" ht="15.75" customHeight="1">
      <c r="B61" s="351">
        <f t="shared" si="23"/>
        <v>36</v>
      </c>
      <c r="C61" s="352">
        <f t="shared" si="17"/>
        <v>5</v>
      </c>
      <c r="D61" s="353" t="str">
        <f t="shared" si="39"/>
        <v xml:space="preserve">             </v>
      </c>
      <c r="E61" s="381"/>
      <c r="F61" s="393"/>
      <c r="G61" s="393"/>
      <c r="H61" s="393"/>
      <c r="I61" s="393"/>
      <c r="J61" s="393"/>
      <c r="K61" s="393"/>
      <c r="L61" s="393"/>
      <c r="M61" s="393"/>
      <c r="N61" s="393"/>
      <c r="P61" s="393"/>
      <c r="Q61" s="393"/>
      <c r="R61" s="393">
        <f>R60</f>
        <v>-1000000</v>
      </c>
      <c r="S61" s="393"/>
      <c r="T61" s="393"/>
      <c r="U61" s="393"/>
      <c r="V61" s="393"/>
      <c r="W61" s="394">
        <f t="shared" si="2"/>
        <v>-1000000</v>
      </c>
      <c r="X61" s="393"/>
      <c r="Y61" s="382" t="e">
        <f t="shared" si="14"/>
        <v>#REF!</v>
      </c>
      <c r="Z61" s="382"/>
      <c r="AA61" s="382"/>
      <c r="AB61" s="382"/>
      <c r="AC61" s="401"/>
      <c r="AD61" s="394" t="e">
        <f t="shared" si="29"/>
        <v>#REF!</v>
      </c>
      <c r="AE61" s="386" t="e">
        <f t="shared" si="0"/>
        <v>#REF!</v>
      </c>
      <c r="AF61" s="386" t="e">
        <f t="shared" si="15"/>
        <v>#REF!</v>
      </c>
      <c r="AG61" s="381" t="e">
        <f t="shared" si="34"/>
        <v>#REF!</v>
      </c>
      <c r="AH61" s="393" t="e">
        <f t="shared" si="19"/>
        <v>#REF!</v>
      </c>
      <c r="AI61" s="393" t="e">
        <f t="shared" si="25"/>
        <v>#REF!</v>
      </c>
      <c r="AJ61" s="393" t="e">
        <f t="shared" si="26"/>
        <v>#REF!</v>
      </c>
      <c r="AK61" s="396" t="e">
        <f t="shared" si="30"/>
        <v>#REF!</v>
      </c>
      <c r="AL61" s="397" t="e">
        <f t="shared" si="27"/>
        <v>#REF!</v>
      </c>
      <c r="AM61" s="398">
        <f t="shared" si="28"/>
        <v>0</v>
      </c>
      <c r="AN61" s="399" t="e">
        <f t="shared" si="32"/>
        <v>#REF!</v>
      </c>
      <c r="AO61" s="379" t="e">
        <f t="shared" si="10"/>
        <v>#REF!</v>
      </c>
      <c r="AP61" s="390">
        <f t="shared" si="38"/>
        <v>0</v>
      </c>
      <c r="AQ61" s="400" t="e">
        <f t="shared" si="35"/>
        <v>#REF!</v>
      </c>
      <c r="AR61" s="400" t="e">
        <f t="shared" si="36"/>
        <v>#REF!</v>
      </c>
      <c r="AS61" s="368">
        <f t="shared" si="33"/>
        <v>36</v>
      </c>
      <c r="AT61" s="80"/>
      <c r="AU61" s="392">
        <f t="shared" si="20"/>
        <v>36</v>
      </c>
      <c r="AV61" s="370" t="e">
        <f t="shared" si="31"/>
        <v>#REF!</v>
      </c>
      <c r="AW61" s="371" t="e">
        <f t="shared" si="3"/>
        <v>#REF!</v>
      </c>
      <c r="AX61" s="371">
        <f t="shared" si="4"/>
        <v>0</v>
      </c>
      <c r="AY61" s="371" t="e">
        <f t="shared" si="4"/>
        <v>#REF!</v>
      </c>
      <c r="AZ61" s="371">
        <f t="shared" si="4"/>
        <v>0</v>
      </c>
      <c r="BA61" s="371">
        <f t="shared" si="4"/>
        <v>0</v>
      </c>
      <c r="BB61" s="371">
        <f t="shared" si="5"/>
        <v>0</v>
      </c>
      <c r="BC61" s="372" t="e">
        <f t="shared" si="6"/>
        <v>#REF!</v>
      </c>
      <c r="BD61" s="370">
        <f t="shared" si="7"/>
        <v>-1000000</v>
      </c>
      <c r="BE61" s="371" t="e">
        <f t="shared" si="8"/>
        <v>#REF!</v>
      </c>
      <c r="BF61" s="371" t="e">
        <f>BL60*-1</f>
        <v>#REF!</v>
      </c>
      <c r="BG61" s="372" t="e">
        <f t="shared" si="9"/>
        <v>#REF!</v>
      </c>
      <c r="BH61" s="373" t="e">
        <f t="shared" si="11"/>
        <v>#REF!</v>
      </c>
      <c r="BI61" s="374" t="e">
        <f t="shared" si="12"/>
        <v>#REF!</v>
      </c>
      <c r="BJ61" s="375" t="e">
        <f t="shared" si="21"/>
        <v>#REF!</v>
      </c>
      <c r="BK61" s="376" t="e">
        <f t="shared" si="22"/>
        <v>#REF!</v>
      </c>
      <c r="BL61" s="376" t="e">
        <f t="shared" si="1"/>
        <v>#REF!</v>
      </c>
      <c r="CB61" s="80"/>
      <c r="CC61" s="80"/>
      <c r="CD61" s="80"/>
      <c r="CE61" s="80"/>
      <c r="CF61" s="80"/>
    </row>
    <row r="62" spans="2:84" s="421" customFormat="1" ht="15.75" customHeight="1">
      <c r="B62" s="402">
        <f t="shared" si="23"/>
        <v>37</v>
      </c>
      <c r="C62" s="403">
        <f t="shared" si="17"/>
        <v>6</v>
      </c>
      <c r="D62" s="404" t="str">
        <f>IF($C61=12,$D$61+1,"             ")</f>
        <v xml:space="preserve">             </v>
      </c>
      <c r="E62" s="405"/>
      <c r="F62" s="406"/>
      <c r="G62" s="406"/>
      <c r="H62" s="406"/>
      <c r="I62" s="406"/>
      <c r="J62" s="406"/>
      <c r="K62" s="406"/>
      <c r="L62" s="406"/>
      <c r="M62" s="406"/>
      <c r="N62" s="406"/>
      <c r="O62" s="406"/>
      <c r="P62" s="406"/>
      <c r="Q62" s="406"/>
      <c r="R62" s="406" t="e">
        <f t="shared" ref="R62:R75" si="40">IF($AS62&lt;=$J$7,($V$11)*-1,0)</f>
        <v>#REF!</v>
      </c>
      <c r="S62" s="406" t="e">
        <f t="shared" ref="S62:S90" si="41">IF($V$10&gt;0,0,$R62*10%)</f>
        <v>#REF!</v>
      </c>
      <c r="T62" s="406"/>
      <c r="U62" s="406"/>
      <c r="V62" s="406"/>
      <c r="W62" s="407" t="e">
        <f t="shared" si="2"/>
        <v>#REF!</v>
      </c>
      <c r="X62" s="408" t="e">
        <f t="shared" si="13"/>
        <v>#REF!</v>
      </c>
      <c r="Y62" s="409" t="e">
        <f t="shared" si="14"/>
        <v>#REF!</v>
      </c>
      <c r="Z62" s="409"/>
      <c r="AA62" s="409"/>
      <c r="AB62" s="409"/>
      <c r="AC62" s="410"/>
      <c r="AD62" s="407" t="e">
        <f>SUM(X62:AB62)-Y62-AA62</f>
        <v>#REF!</v>
      </c>
      <c r="AE62" s="412" t="e">
        <f>W62+AD62</f>
        <v>#REF!</v>
      </c>
      <c r="AF62" s="412" t="e">
        <f>PV($G$14/12,$B62,0,$AE62*-1,0)</f>
        <v>#REF!</v>
      </c>
      <c r="AG62" s="405" t="e">
        <f t="shared" si="34"/>
        <v>#REF!</v>
      </c>
      <c r="AH62" s="406" t="e">
        <f t="shared" si="19"/>
        <v>#REF!</v>
      </c>
      <c r="AI62" s="406" t="e">
        <f t="shared" si="25"/>
        <v>#REF!</v>
      </c>
      <c r="AJ62" s="406" t="e">
        <f t="shared" si="26"/>
        <v>#REF!</v>
      </c>
      <c r="AK62" s="413" t="e">
        <f t="shared" si="30"/>
        <v>#REF!</v>
      </c>
      <c r="AL62" s="414" t="e">
        <f>Y62+AA62+AJ62</f>
        <v>#REF!</v>
      </c>
      <c r="AM62" s="415" t="e">
        <f t="shared" si="28"/>
        <v>#REF!</v>
      </c>
      <c r="AN62" s="416" t="e">
        <f t="shared" si="32"/>
        <v>#REF!</v>
      </c>
      <c r="AO62" s="417" t="e">
        <f t="shared" si="10"/>
        <v>#REF!</v>
      </c>
      <c r="AP62" s="418">
        <f t="shared" si="38"/>
        <v>0</v>
      </c>
      <c r="AQ62" s="419" t="e">
        <f t="shared" si="35"/>
        <v>#REF!</v>
      </c>
      <c r="AR62" s="419" t="e">
        <f t="shared" si="36"/>
        <v>#REF!</v>
      </c>
      <c r="AS62" s="420">
        <f t="shared" si="33"/>
        <v>37</v>
      </c>
      <c r="AU62" s="422">
        <f t="shared" si="20"/>
        <v>37</v>
      </c>
      <c r="AV62" s="423" t="e">
        <f t="shared" si="31"/>
        <v>#REF!</v>
      </c>
      <c r="AW62" s="424" t="e">
        <f t="shared" si="3"/>
        <v>#REF!</v>
      </c>
      <c r="AX62" s="424" t="e">
        <f t="shared" si="4"/>
        <v>#REF!</v>
      </c>
      <c r="AY62" s="424" t="e">
        <f t="shared" si="4"/>
        <v>#REF!</v>
      </c>
      <c r="AZ62" s="424">
        <f t="shared" si="4"/>
        <v>0</v>
      </c>
      <c r="BA62" s="424">
        <f t="shared" si="4"/>
        <v>0</v>
      </c>
      <c r="BB62" s="424">
        <f t="shared" si="5"/>
        <v>0</v>
      </c>
      <c r="BC62" s="407" t="e">
        <f t="shared" si="6"/>
        <v>#REF!</v>
      </c>
      <c r="BD62" s="423" t="e">
        <f t="shared" si="7"/>
        <v>#REF!</v>
      </c>
      <c r="BE62" s="424" t="e">
        <f t="shared" si="8"/>
        <v>#REF!</v>
      </c>
      <c r="BF62" s="424" t="e">
        <f t="shared" si="16"/>
        <v>#REF!</v>
      </c>
      <c r="BG62" s="407" t="e">
        <f t="shared" si="9"/>
        <v>#REF!</v>
      </c>
      <c r="BH62" s="425" t="e">
        <f t="shared" si="11"/>
        <v>#REF!</v>
      </c>
      <c r="BI62" s="426" t="e">
        <f t="shared" si="12"/>
        <v>#REF!</v>
      </c>
      <c r="BJ62" s="427" t="e">
        <f t="shared" si="21"/>
        <v>#REF!</v>
      </c>
      <c r="BK62" s="428" t="e">
        <f>IF($BJ62&lt;0,$BJ62*-1,0)</f>
        <v>#REF!</v>
      </c>
      <c r="BL62" s="428" t="e">
        <f t="shared" si="1"/>
        <v>#REF!</v>
      </c>
    </row>
    <row r="63" spans="2:84" ht="15.75" customHeight="1">
      <c r="B63" s="351">
        <f t="shared" si="23"/>
        <v>38</v>
      </c>
      <c r="C63" s="352">
        <f t="shared" si="17"/>
        <v>7</v>
      </c>
      <c r="D63" s="353" t="str">
        <f t="shared" ref="D63:D73" si="42">IF($C62=12,$D$61+1,"             ")</f>
        <v xml:space="preserve">             </v>
      </c>
      <c r="E63" s="381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 t="e">
        <f t="shared" si="40"/>
        <v>#REF!</v>
      </c>
      <c r="S63" s="393" t="e">
        <f t="shared" si="41"/>
        <v>#REF!</v>
      </c>
      <c r="T63" s="393"/>
      <c r="U63" s="393"/>
      <c r="V63" s="393"/>
      <c r="W63" s="394" t="e">
        <f t="shared" si="2"/>
        <v>#REF!</v>
      </c>
      <c r="X63" s="384" t="e">
        <f t="shared" si="13"/>
        <v>#REF!</v>
      </c>
      <c r="Y63" s="382" t="e">
        <f t="shared" si="14"/>
        <v>#REF!</v>
      </c>
      <c r="Z63" s="382"/>
      <c r="AA63" s="382"/>
      <c r="AB63" s="382"/>
      <c r="AC63" s="401"/>
      <c r="AD63" s="394" t="e">
        <f t="shared" si="29"/>
        <v>#REF!</v>
      </c>
      <c r="AE63" s="386" t="e">
        <f t="shared" si="0"/>
        <v>#REF!</v>
      </c>
      <c r="AF63" s="386" t="e">
        <f t="shared" si="15"/>
        <v>#REF!</v>
      </c>
      <c r="AG63" s="381" t="e">
        <f t="shared" si="34"/>
        <v>#REF!</v>
      </c>
      <c r="AH63" s="393" t="e">
        <f t="shared" si="19"/>
        <v>#REF!</v>
      </c>
      <c r="AI63" s="393" t="e">
        <f t="shared" si="25"/>
        <v>#REF!</v>
      </c>
      <c r="AJ63" s="393" t="e">
        <f t="shared" si="26"/>
        <v>#REF!</v>
      </c>
      <c r="AK63" s="396" t="e">
        <f t="shared" si="30"/>
        <v>#REF!</v>
      </c>
      <c r="AL63" s="397" t="e">
        <f t="shared" si="27"/>
        <v>#REF!</v>
      </c>
      <c r="AM63" s="398" t="e">
        <f t="shared" si="28"/>
        <v>#REF!</v>
      </c>
      <c r="AN63" s="399" t="e">
        <f t="shared" si="32"/>
        <v>#REF!</v>
      </c>
      <c r="AO63" s="379" t="e">
        <f t="shared" si="10"/>
        <v>#REF!</v>
      </c>
      <c r="AP63" s="390">
        <f>IF($C63=3,SUM(AK49:AK60),0)*-1</f>
        <v>0</v>
      </c>
      <c r="AQ63" s="400" t="e">
        <f t="shared" si="35"/>
        <v>#REF!</v>
      </c>
      <c r="AR63" s="400" t="e">
        <f t="shared" si="36"/>
        <v>#REF!</v>
      </c>
      <c r="AS63" s="368">
        <f t="shared" si="33"/>
        <v>38</v>
      </c>
      <c r="AT63" s="80"/>
      <c r="AU63" s="392">
        <f t="shared" si="20"/>
        <v>38</v>
      </c>
      <c r="AV63" s="370" t="e">
        <f t="shared" si="31"/>
        <v>#REF!</v>
      </c>
      <c r="AW63" s="371" t="e">
        <f t="shared" si="3"/>
        <v>#REF!</v>
      </c>
      <c r="AX63" s="371" t="e">
        <f t="shared" si="4"/>
        <v>#REF!</v>
      </c>
      <c r="AY63" s="371" t="e">
        <f t="shared" si="4"/>
        <v>#REF!</v>
      </c>
      <c r="AZ63" s="371">
        <f t="shared" si="4"/>
        <v>0</v>
      </c>
      <c r="BA63" s="371">
        <f t="shared" si="4"/>
        <v>0</v>
      </c>
      <c r="BB63" s="371">
        <f t="shared" si="5"/>
        <v>0</v>
      </c>
      <c r="BC63" s="372" t="e">
        <f t="shared" si="6"/>
        <v>#REF!</v>
      </c>
      <c r="BD63" s="370" t="e">
        <f t="shared" si="7"/>
        <v>#REF!</v>
      </c>
      <c r="BE63" s="371" t="e">
        <f t="shared" si="8"/>
        <v>#REF!</v>
      </c>
      <c r="BF63" s="371" t="e">
        <f t="shared" si="16"/>
        <v>#REF!</v>
      </c>
      <c r="BG63" s="372" t="e">
        <f t="shared" si="9"/>
        <v>#REF!</v>
      </c>
      <c r="BH63" s="373" t="e">
        <f t="shared" si="11"/>
        <v>#REF!</v>
      </c>
      <c r="BI63" s="374" t="e">
        <f>BJ62</f>
        <v>#REF!</v>
      </c>
      <c r="BJ63" s="375" t="e">
        <f t="shared" si="21"/>
        <v>#REF!</v>
      </c>
      <c r="BK63" s="376" t="e">
        <f t="shared" si="22"/>
        <v>#REF!</v>
      </c>
      <c r="BL63" s="376" t="e">
        <f t="shared" si="1"/>
        <v>#REF!</v>
      </c>
      <c r="CB63" s="80"/>
      <c r="CC63" s="80"/>
      <c r="CD63" s="80"/>
      <c r="CE63" s="80"/>
      <c r="CF63" s="80"/>
    </row>
    <row r="64" spans="2:84" ht="15.75" customHeight="1">
      <c r="B64" s="351">
        <f t="shared" si="23"/>
        <v>39</v>
      </c>
      <c r="C64" s="352">
        <f t="shared" si="17"/>
        <v>8</v>
      </c>
      <c r="D64" s="353" t="str">
        <f t="shared" si="42"/>
        <v xml:space="preserve">             </v>
      </c>
      <c r="E64" s="381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 t="e">
        <f t="shared" si="40"/>
        <v>#REF!</v>
      </c>
      <c r="S64" s="393" t="e">
        <f t="shared" si="41"/>
        <v>#REF!</v>
      </c>
      <c r="T64" s="393"/>
      <c r="U64" s="393"/>
      <c r="V64" s="393"/>
      <c r="W64" s="394" t="e">
        <f t="shared" si="2"/>
        <v>#REF!</v>
      </c>
      <c r="X64" s="384" t="e">
        <f t="shared" si="13"/>
        <v>#REF!</v>
      </c>
      <c r="Y64" s="382" t="e">
        <f t="shared" si="14"/>
        <v>#REF!</v>
      </c>
      <c r="Z64" s="382"/>
      <c r="AA64" s="382"/>
      <c r="AB64" s="382"/>
      <c r="AC64" s="401"/>
      <c r="AD64" s="394" t="e">
        <f t="shared" si="29"/>
        <v>#REF!</v>
      </c>
      <c r="AE64" s="386" t="e">
        <f t="shared" si="0"/>
        <v>#REF!</v>
      </c>
      <c r="AF64" s="386" t="e">
        <f t="shared" si="15"/>
        <v>#REF!</v>
      </c>
      <c r="AG64" s="381" t="e">
        <f t="shared" si="34"/>
        <v>#REF!</v>
      </c>
      <c r="AH64" s="393" t="e">
        <f t="shared" si="19"/>
        <v>#REF!</v>
      </c>
      <c r="AI64" s="393" t="e">
        <f t="shared" si="25"/>
        <v>#REF!</v>
      </c>
      <c r="AJ64" s="393" t="e">
        <f t="shared" si="26"/>
        <v>#REF!</v>
      </c>
      <c r="AK64" s="396" t="e">
        <f t="shared" si="30"/>
        <v>#REF!</v>
      </c>
      <c r="AL64" s="397" t="e">
        <f t="shared" si="27"/>
        <v>#REF!</v>
      </c>
      <c r="AM64" s="398" t="e">
        <f t="shared" si="28"/>
        <v>#REF!</v>
      </c>
      <c r="AN64" s="399" t="e">
        <f t="shared" si="32"/>
        <v>#REF!</v>
      </c>
      <c r="AO64" s="379" t="e">
        <f t="shared" si="10"/>
        <v>#REF!</v>
      </c>
      <c r="AP64" s="390">
        <f t="shared" si="38"/>
        <v>0</v>
      </c>
      <c r="AQ64" s="400" t="e">
        <f t="shared" si="35"/>
        <v>#REF!</v>
      </c>
      <c r="AR64" s="400" t="e">
        <f t="shared" si="36"/>
        <v>#REF!</v>
      </c>
      <c r="AS64" s="368">
        <f t="shared" si="33"/>
        <v>39</v>
      </c>
      <c r="AT64" s="80"/>
      <c r="AU64" s="392">
        <f t="shared" si="20"/>
        <v>39</v>
      </c>
      <c r="AV64" s="370" t="e">
        <f t="shared" si="31"/>
        <v>#REF!</v>
      </c>
      <c r="AW64" s="371" t="e">
        <f t="shared" si="3"/>
        <v>#REF!</v>
      </c>
      <c r="AX64" s="371" t="e">
        <f t="shared" si="4"/>
        <v>#REF!</v>
      </c>
      <c r="AY64" s="371" t="e">
        <f t="shared" si="4"/>
        <v>#REF!</v>
      </c>
      <c r="AZ64" s="371">
        <f t="shared" si="4"/>
        <v>0</v>
      </c>
      <c r="BA64" s="371">
        <f t="shared" si="4"/>
        <v>0</v>
      </c>
      <c r="BB64" s="371">
        <f t="shared" si="5"/>
        <v>0</v>
      </c>
      <c r="BC64" s="372" t="e">
        <f t="shared" si="6"/>
        <v>#REF!</v>
      </c>
      <c r="BD64" s="370" t="e">
        <f t="shared" si="7"/>
        <v>#REF!</v>
      </c>
      <c r="BE64" s="371" t="e">
        <f t="shared" si="8"/>
        <v>#REF!</v>
      </c>
      <c r="BF64" s="371" t="e">
        <f t="shared" si="16"/>
        <v>#REF!</v>
      </c>
      <c r="BG64" s="372" t="e">
        <f t="shared" si="9"/>
        <v>#REF!</v>
      </c>
      <c r="BH64" s="373" t="e">
        <f t="shared" si="11"/>
        <v>#REF!</v>
      </c>
      <c r="BI64" s="374" t="e">
        <f t="shared" si="12"/>
        <v>#REF!</v>
      </c>
      <c r="BJ64" s="375" t="e">
        <f t="shared" si="21"/>
        <v>#REF!</v>
      </c>
      <c r="BK64" s="376" t="e">
        <f t="shared" si="22"/>
        <v>#REF!</v>
      </c>
      <c r="BL64" s="376" t="e">
        <f t="shared" si="1"/>
        <v>#REF!</v>
      </c>
      <c r="CB64" s="80"/>
      <c r="CC64" s="80"/>
      <c r="CD64" s="80"/>
      <c r="CE64" s="80"/>
      <c r="CF64" s="80"/>
    </row>
    <row r="65" spans="2:84" ht="15.75" customHeight="1">
      <c r="B65" s="351">
        <f t="shared" si="23"/>
        <v>40</v>
      </c>
      <c r="C65" s="352">
        <f t="shared" si="17"/>
        <v>9</v>
      </c>
      <c r="D65" s="353" t="str">
        <f t="shared" si="42"/>
        <v xml:space="preserve">             </v>
      </c>
      <c r="E65" s="381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 t="e">
        <f t="shared" si="40"/>
        <v>#REF!</v>
      </c>
      <c r="S65" s="393" t="e">
        <f t="shared" si="41"/>
        <v>#REF!</v>
      </c>
      <c r="T65" s="393"/>
      <c r="U65" s="393"/>
      <c r="V65" s="393"/>
      <c r="W65" s="394" t="e">
        <f t="shared" si="2"/>
        <v>#REF!</v>
      </c>
      <c r="X65" s="384" t="e">
        <f t="shared" si="13"/>
        <v>#REF!</v>
      </c>
      <c r="Y65" s="382" t="e">
        <f t="shared" si="14"/>
        <v>#REF!</v>
      </c>
      <c r="Z65" s="382"/>
      <c r="AA65" s="382"/>
      <c r="AB65" s="382"/>
      <c r="AC65" s="401"/>
      <c r="AD65" s="394" t="e">
        <f t="shared" si="29"/>
        <v>#REF!</v>
      </c>
      <c r="AE65" s="386" t="e">
        <f t="shared" si="0"/>
        <v>#REF!</v>
      </c>
      <c r="AF65" s="386" t="e">
        <f t="shared" si="15"/>
        <v>#REF!</v>
      </c>
      <c r="AG65" s="381" t="e">
        <f t="shared" si="34"/>
        <v>#REF!</v>
      </c>
      <c r="AH65" s="393" t="e">
        <f t="shared" si="19"/>
        <v>#REF!</v>
      </c>
      <c r="AI65" s="393" t="e">
        <f t="shared" si="25"/>
        <v>#REF!</v>
      </c>
      <c r="AJ65" s="393" t="e">
        <f t="shared" si="26"/>
        <v>#REF!</v>
      </c>
      <c r="AK65" s="396" t="e">
        <f t="shared" si="30"/>
        <v>#REF!</v>
      </c>
      <c r="AL65" s="397" t="e">
        <f t="shared" si="27"/>
        <v>#REF!</v>
      </c>
      <c r="AM65" s="398" t="e">
        <f t="shared" si="28"/>
        <v>#REF!</v>
      </c>
      <c r="AN65" s="399" t="e">
        <f t="shared" si="32"/>
        <v>#REF!</v>
      </c>
      <c r="AO65" s="379" t="e">
        <f t="shared" si="10"/>
        <v>#REF!</v>
      </c>
      <c r="AP65" s="390">
        <f t="shared" si="38"/>
        <v>0</v>
      </c>
      <c r="AQ65" s="400" t="e">
        <f t="shared" si="35"/>
        <v>#REF!</v>
      </c>
      <c r="AR65" s="400" t="e">
        <f t="shared" si="36"/>
        <v>#REF!</v>
      </c>
      <c r="AS65" s="368">
        <f t="shared" si="33"/>
        <v>40</v>
      </c>
      <c r="AT65" s="80"/>
      <c r="AU65" s="392">
        <f t="shared" si="20"/>
        <v>40</v>
      </c>
      <c r="AV65" s="370" t="e">
        <f t="shared" si="31"/>
        <v>#REF!</v>
      </c>
      <c r="AW65" s="371" t="e">
        <f t="shared" si="3"/>
        <v>#REF!</v>
      </c>
      <c r="AX65" s="371" t="e">
        <f t="shared" si="4"/>
        <v>#REF!</v>
      </c>
      <c r="AY65" s="371" t="e">
        <f t="shared" si="4"/>
        <v>#REF!</v>
      </c>
      <c r="AZ65" s="371">
        <f t="shared" si="4"/>
        <v>0</v>
      </c>
      <c r="BA65" s="371">
        <f t="shared" si="4"/>
        <v>0</v>
      </c>
      <c r="BB65" s="371">
        <f t="shared" si="5"/>
        <v>0</v>
      </c>
      <c r="BC65" s="372" t="e">
        <f t="shared" si="6"/>
        <v>#REF!</v>
      </c>
      <c r="BD65" s="370" t="e">
        <f t="shared" si="7"/>
        <v>#REF!</v>
      </c>
      <c r="BE65" s="371" t="e">
        <f t="shared" si="8"/>
        <v>#REF!</v>
      </c>
      <c r="BF65" s="371" t="e">
        <f t="shared" si="16"/>
        <v>#REF!</v>
      </c>
      <c r="BG65" s="372" t="e">
        <f t="shared" si="9"/>
        <v>#REF!</v>
      </c>
      <c r="BH65" s="373" t="e">
        <f t="shared" si="11"/>
        <v>#REF!</v>
      </c>
      <c r="BI65" s="374" t="e">
        <f t="shared" si="12"/>
        <v>#REF!</v>
      </c>
      <c r="BJ65" s="375" t="e">
        <f t="shared" si="21"/>
        <v>#REF!</v>
      </c>
      <c r="BK65" s="376" t="e">
        <f t="shared" si="22"/>
        <v>#REF!</v>
      </c>
      <c r="BL65" s="376" t="e">
        <f t="shared" si="1"/>
        <v>#REF!</v>
      </c>
      <c r="CB65" s="80"/>
      <c r="CC65" s="80"/>
      <c r="CD65" s="80"/>
      <c r="CE65" s="80"/>
      <c r="CF65" s="80"/>
    </row>
    <row r="66" spans="2:84" ht="15.75" customHeight="1">
      <c r="B66" s="351">
        <f t="shared" si="23"/>
        <v>41</v>
      </c>
      <c r="C66" s="352">
        <f t="shared" si="17"/>
        <v>10</v>
      </c>
      <c r="D66" s="353" t="str">
        <f t="shared" si="42"/>
        <v xml:space="preserve">             </v>
      </c>
      <c r="E66" s="381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 t="e">
        <f t="shared" si="40"/>
        <v>#REF!</v>
      </c>
      <c r="S66" s="393" t="e">
        <f t="shared" si="41"/>
        <v>#REF!</v>
      </c>
      <c r="T66" s="393"/>
      <c r="U66" s="393"/>
      <c r="V66" s="393"/>
      <c r="W66" s="394" t="e">
        <f t="shared" si="2"/>
        <v>#REF!</v>
      </c>
      <c r="X66" s="384" t="e">
        <f t="shared" si="13"/>
        <v>#REF!</v>
      </c>
      <c r="Y66" s="382" t="e">
        <f t="shared" si="14"/>
        <v>#REF!</v>
      </c>
      <c r="Z66" s="382"/>
      <c r="AA66" s="382"/>
      <c r="AB66" s="382"/>
      <c r="AC66" s="401"/>
      <c r="AD66" s="394" t="e">
        <f t="shared" si="29"/>
        <v>#REF!</v>
      </c>
      <c r="AE66" s="386" t="e">
        <f t="shared" si="0"/>
        <v>#REF!</v>
      </c>
      <c r="AF66" s="386" t="e">
        <f t="shared" si="15"/>
        <v>#REF!</v>
      </c>
      <c r="AG66" s="381" t="e">
        <f t="shared" si="34"/>
        <v>#REF!</v>
      </c>
      <c r="AH66" s="393" t="e">
        <f t="shared" si="19"/>
        <v>#REF!</v>
      </c>
      <c r="AI66" s="393" t="e">
        <f t="shared" si="25"/>
        <v>#REF!</v>
      </c>
      <c r="AJ66" s="393" t="e">
        <f t="shared" si="26"/>
        <v>#REF!</v>
      </c>
      <c r="AK66" s="396" t="e">
        <f t="shared" si="30"/>
        <v>#REF!</v>
      </c>
      <c r="AL66" s="397" t="e">
        <f t="shared" si="27"/>
        <v>#REF!</v>
      </c>
      <c r="AM66" s="398" t="e">
        <f t="shared" si="28"/>
        <v>#REF!</v>
      </c>
      <c r="AN66" s="399" t="e">
        <f t="shared" si="32"/>
        <v>#REF!</v>
      </c>
      <c r="AO66" s="379" t="e">
        <f t="shared" si="10"/>
        <v>#REF!</v>
      </c>
      <c r="AP66" s="390">
        <f t="shared" si="38"/>
        <v>0</v>
      </c>
      <c r="AQ66" s="400" t="e">
        <f t="shared" si="35"/>
        <v>#REF!</v>
      </c>
      <c r="AR66" s="400" t="e">
        <f t="shared" si="36"/>
        <v>#REF!</v>
      </c>
      <c r="AS66" s="368">
        <f t="shared" si="33"/>
        <v>41</v>
      </c>
      <c r="AT66" s="80"/>
      <c r="AU66" s="392">
        <f t="shared" si="20"/>
        <v>41</v>
      </c>
      <c r="AV66" s="370" t="e">
        <f t="shared" si="31"/>
        <v>#REF!</v>
      </c>
      <c r="AW66" s="371" t="e">
        <f t="shared" si="3"/>
        <v>#REF!</v>
      </c>
      <c r="AX66" s="371" t="e">
        <f t="shared" si="4"/>
        <v>#REF!</v>
      </c>
      <c r="AY66" s="371" t="e">
        <f t="shared" si="4"/>
        <v>#REF!</v>
      </c>
      <c r="AZ66" s="371">
        <f t="shared" si="4"/>
        <v>0</v>
      </c>
      <c r="BA66" s="371">
        <f t="shared" si="4"/>
        <v>0</v>
      </c>
      <c r="BB66" s="371">
        <f t="shared" si="5"/>
        <v>0</v>
      </c>
      <c r="BC66" s="372" t="e">
        <f t="shared" si="6"/>
        <v>#REF!</v>
      </c>
      <c r="BD66" s="370" t="e">
        <f t="shared" si="7"/>
        <v>#REF!</v>
      </c>
      <c r="BE66" s="371" t="e">
        <f t="shared" si="8"/>
        <v>#REF!</v>
      </c>
      <c r="BF66" s="371" t="e">
        <f t="shared" si="16"/>
        <v>#REF!</v>
      </c>
      <c r="BG66" s="372" t="e">
        <f t="shared" si="9"/>
        <v>#REF!</v>
      </c>
      <c r="BH66" s="373" t="e">
        <f t="shared" si="11"/>
        <v>#REF!</v>
      </c>
      <c r="BI66" s="374" t="e">
        <f t="shared" si="12"/>
        <v>#REF!</v>
      </c>
      <c r="BJ66" s="375" t="e">
        <f>BH66+BI66</f>
        <v>#REF!</v>
      </c>
      <c r="BK66" s="376" t="e">
        <f t="shared" si="22"/>
        <v>#REF!</v>
      </c>
      <c r="BL66" s="376" t="e">
        <f t="shared" si="1"/>
        <v>#REF!</v>
      </c>
      <c r="CB66" s="80"/>
      <c r="CC66" s="80"/>
      <c r="CD66" s="80"/>
      <c r="CE66" s="80"/>
      <c r="CF66" s="80"/>
    </row>
    <row r="67" spans="2:84" ht="15.75" customHeight="1">
      <c r="B67" s="351">
        <f t="shared" si="23"/>
        <v>42</v>
      </c>
      <c r="C67" s="352">
        <f t="shared" si="17"/>
        <v>11</v>
      </c>
      <c r="D67" s="353" t="str">
        <f t="shared" si="42"/>
        <v xml:space="preserve">             </v>
      </c>
      <c r="E67" s="381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 t="e">
        <f t="shared" si="40"/>
        <v>#REF!</v>
      </c>
      <c r="S67" s="393" t="e">
        <f t="shared" si="41"/>
        <v>#REF!</v>
      </c>
      <c r="T67" s="393"/>
      <c r="U67" s="393"/>
      <c r="V67" s="393"/>
      <c r="W67" s="394" t="e">
        <f t="shared" si="2"/>
        <v>#REF!</v>
      </c>
      <c r="X67" s="384" t="e">
        <f t="shared" si="13"/>
        <v>#REF!</v>
      </c>
      <c r="Y67" s="382" t="e">
        <f t="shared" si="14"/>
        <v>#REF!</v>
      </c>
      <c r="Z67" s="382"/>
      <c r="AA67" s="382"/>
      <c r="AB67" s="382"/>
      <c r="AC67" s="401"/>
      <c r="AD67" s="394" t="e">
        <f t="shared" si="29"/>
        <v>#REF!</v>
      </c>
      <c r="AE67" s="386" t="e">
        <f t="shared" si="0"/>
        <v>#REF!</v>
      </c>
      <c r="AF67" s="386" t="e">
        <f t="shared" si="15"/>
        <v>#REF!</v>
      </c>
      <c r="AG67" s="381" t="e">
        <f t="shared" si="34"/>
        <v>#REF!</v>
      </c>
      <c r="AH67" s="393" t="e">
        <f t="shared" si="19"/>
        <v>#REF!</v>
      </c>
      <c r="AI67" s="393" t="e">
        <f t="shared" si="25"/>
        <v>#REF!</v>
      </c>
      <c r="AJ67" s="393" t="e">
        <f t="shared" si="26"/>
        <v>#REF!</v>
      </c>
      <c r="AK67" s="396" t="e">
        <f t="shared" si="30"/>
        <v>#REF!</v>
      </c>
      <c r="AL67" s="397" t="e">
        <f t="shared" si="27"/>
        <v>#REF!</v>
      </c>
      <c r="AM67" s="398" t="e">
        <f t="shared" si="28"/>
        <v>#REF!</v>
      </c>
      <c r="AN67" s="399" t="e">
        <f t="shared" si="32"/>
        <v>#REF!</v>
      </c>
      <c r="AO67" s="379" t="e">
        <f t="shared" si="10"/>
        <v>#REF!</v>
      </c>
      <c r="AP67" s="390">
        <f t="shared" si="38"/>
        <v>0</v>
      </c>
      <c r="AQ67" s="400" t="e">
        <f t="shared" si="35"/>
        <v>#REF!</v>
      </c>
      <c r="AR67" s="400" t="e">
        <f t="shared" si="36"/>
        <v>#REF!</v>
      </c>
      <c r="AS67" s="368">
        <f t="shared" si="33"/>
        <v>42</v>
      </c>
      <c r="AT67" s="80"/>
      <c r="AU67" s="392">
        <f t="shared" si="20"/>
        <v>42</v>
      </c>
      <c r="AV67" s="370" t="e">
        <f t="shared" si="31"/>
        <v>#REF!</v>
      </c>
      <c r="AW67" s="371" t="e">
        <f t="shared" si="3"/>
        <v>#REF!</v>
      </c>
      <c r="AX67" s="371" t="e">
        <f t="shared" si="4"/>
        <v>#REF!</v>
      </c>
      <c r="AY67" s="371" t="e">
        <f t="shared" si="4"/>
        <v>#REF!</v>
      </c>
      <c r="AZ67" s="371">
        <f t="shared" si="4"/>
        <v>0</v>
      </c>
      <c r="BA67" s="371">
        <f t="shared" si="4"/>
        <v>0</v>
      </c>
      <c r="BB67" s="371">
        <f t="shared" si="5"/>
        <v>0</v>
      </c>
      <c r="BC67" s="372" t="e">
        <f t="shared" si="6"/>
        <v>#REF!</v>
      </c>
      <c r="BD67" s="370" t="e">
        <f t="shared" si="7"/>
        <v>#REF!</v>
      </c>
      <c r="BE67" s="371" t="e">
        <f t="shared" si="8"/>
        <v>#REF!</v>
      </c>
      <c r="BF67" s="371" t="e">
        <f t="shared" si="16"/>
        <v>#REF!</v>
      </c>
      <c r="BG67" s="372" t="e">
        <f t="shared" si="9"/>
        <v>#REF!</v>
      </c>
      <c r="BH67" s="373" t="e">
        <f t="shared" si="11"/>
        <v>#REF!</v>
      </c>
      <c r="BI67" s="374" t="e">
        <f>BJ66</f>
        <v>#REF!</v>
      </c>
      <c r="BJ67" s="375" t="e">
        <f t="shared" si="21"/>
        <v>#REF!</v>
      </c>
      <c r="BK67" s="376" t="e">
        <f>IF($BJ67&lt;0,$BJ67*-1,0)</f>
        <v>#REF!</v>
      </c>
      <c r="BL67" s="376" t="e">
        <f t="shared" si="1"/>
        <v>#REF!</v>
      </c>
      <c r="CB67" s="80"/>
      <c r="CC67" s="80"/>
      <c r="CD67" s="80"/>
      <c r="CE67" s="80"/>
      <c r="CF67" s="80"/>
    </row>
    <row r="68" spans="2:84" ht="15.75" customHeight="1">
      <c r="B68" s="351">
        <f t="shared" si="23"/>
        <v>43</v>
      </c>
      <c r="C68" s="352">
        <f t="shared" si="17"/>
        <v>12</v>
      </c>
      <c r="D68" s="353" t="str">
        <f t="shared" si="42"/>
        <v xml:space="preserve">             </v>
      </c>
      <c r="E68" s="381"/>
      <c r="F68" s="393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 t="e">
        <f t="shared" si="40"/>
        <v>#REF!</v>
      </c>
      <c r="S68" s="393" t="e">
        <f t="shared" si="41"/>
        <v>#REF!</v>
      </c>
      <c r="T68" s="393"/>
      <c r="U68" s="393"/>
      <c r="V68" s="393"/>
      <c r="W68" s="394" t="e">
        <f t="shared" si="2"/>
        <v>#REF!</v>
      </c>
      <c r="X68" s="384" t="e">
        <f t="shared" si="13"/>
        <v>#REF!</v>
      </c>
      <c r="Y68" s="382" t="e">
        <f t="shared" si="14"/>
        <v>#REF!</v>
      </c>
      <c r="Z68" s="382"/>
      <c r="AA68" s="382"/>
      <c r="AB68" s="382"/>
      <c r="AC68" s="401"/>
      <c r="AD68" s="394" t="e">
        <f t="shared" si="29"/>
        <v>#REF!</v>
      </c>
      <c r="AE68" s="386" t="e">
        <f t="shared" si="0"/>
        <v>#REF!</v>
      </c>
      <c r="AF68" s="386" t="e">
        <f t="shared" si="15"/>
        <v>#REF!</v>
      </c>
      <c r="AG68" s="381" t="e">
        <f t="shared" si="34"/>
        <v>#REF!</v>
      </c>
      <c r="AH68" s="393" t="e">
        <f t="shared" si="19"/>
        <v>#REF!</v>
      </c>
      <c r="AI68" s="393" t="e">
        <f t="shared" si="25"/>
        <v>#REF!</v>
      </c>
      <c r="AJ68" s="393" t="e">
        <f t="shared" si="26"/>
        <v>#REF!</v>
      </c>
      <c r="AK68" s="396" t="e">
        <f t="shared" si="30"/>
        <v>#REF!</v>
      </c>
      <c r="AL68" s="397" t="e">
        <f t="shared" si="27"/>
        <v>#REF!</v>
      </c>
      <c r="AM68" s="398" t="e">
        <f t="shared" si="28"/>
        <v>#REF!</v>
      </c>
      <c r="AN68" s="399" t="e">
        <f t="shared" si="32"/>
        <v>#REF!</v>
      </c>
      <c r="AO68" s="379" t="e">
        <f t="shared" si="10"/>
        <v>#REF!</v>
      </c>
      <c r="AP68" s="390">
        <f t="shared" si="38"/>
        <v>0</v>
      </c>
      <c r="AQ68" s="400" t="e">
        <f t="shared" si="35"/>
        <v>#REF!</v>
      </c>
      <c r="AR68" s="400" t="e">
        <f t="shared" si="36"/>
        <v>#REF!</v>
      </c>
      <c r="AS68" s="368">
        <f t="shared" si="33"/>
        <v>43</v>
      </c>
      <c r="AT68" s="80"/>
      <c r="AU68" s="392">
        <f t="shared" si="20"/>
        <v>43</v>
      </c>
      <c r="AV68" s="370" t="e">
        <f t="shared" si="31"/>
        <v>#REF!</v>
      </c>
      <c r="AW68" s="371" t="e">
        <f t="shared" si="3"/>
        <v>#REF!</v>
      </c>
      <c r="AX68" s="371" t="e">
        <f t="shared" si="4"/>
        <v>#REF!</v>
      </c>
      <c r="AY68" s="371" t="e">
        <f t="shared" si="4"/>
        <v>#REF!</v>
      </c>
      <c r="AZ68" s="371">
        <f t="shared" si="4"/>
        <v>0</v>
      </c>
      <c r="BA68" s="371">
        <f t="shared" si="4"/>
        <v>0</v>
      </c>
      <c r="BB68" s="371">
        <f t="shared" si="5"/>
        <v>0</v>
      </c>
      <c r="BC68" s="372" t="e">
        <f t="shared" si="6"/>
        <v>#REF!</v>
      </c>
      <c r="BD68" s="370" t="e">
        <f t="shared" si="7"/>
        <v>#REF!</v>
      </c>
      <c r="BE68" s="371" t="e">
        <f t="shared" si="8"/>
        <v>#REF!</v>
      </c>
      <c r="BF68" s="371" t="e">
        <f t="shared" si="16"/>
        <v>#REF!</v>
      </c>
      <c r="BG68" s="372" t="e">
        <f t="shared" si="9"/>
        <v>#REF!</v>
      </c>
      <c r="BH68" s="373" t="e">
        <f t="shared" si="11"/>
        <v>#REF!</v>
      </c>
      <c r="BI68" s="374" t="e">
        <f t="shared" si="12"/>
        <v>#REF!</v>
      </c>
      <c r="BJ68" s="375" t="e">
        <f t="shared" si="21"/>
        <v>#REF!</v>
      </c>
      <c r="BK68" s="376" t="e">
        <f t="shared" si="22"/>
        <v>#REF!</v>
      </c>
      <c r="BL68" s="376" t="e">
        <f t="shared" si="1"/>
        <v>#REF!</v>
      </c>
      <c r="CB68" s="80"/>
      <c r="CC68" s="80"/>
      <c r="CD68" s="80"/>
      <c r="CE68" s="80"/>
      <c r="CF68" s="80"/>
    </row>
    <row r="69" spans="2:84" ht="15.75" customHeight="1">
      <c r="B69" s="351">
        <f t="shared" si="23"/>
        <v>44</v>
      </c>
      <c r="C69" s="352">
        <f t="shared" si="17"/>
        <v>1</v>
      </c>
      <c r="D69" s="353">
        <f>IF($C68=12,$D$57+1,"             ")</f>
        <v>2022</v>
      </c>
      <c r="E69" s="381"/>
      <c r="F69" s="393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3" t="e">
        <f t="shared" si="40"/>
        <v>#REF!</v>
      </c>
      <c r="S69" s="393" t="e">
        <f t="shared" si="41"/>
        <v>#REF!</v>
      </c>
      <c r="T69" s="393"/>
      <c r="U69" s="393"/>
      <c r="V69" s="393"/>
      <c r="W69" s="394" t="e">
        <f t="shared" si="2"/>
        <v>#REF!</v>
      </c>
      <c r="X69" s="384" t="e">
        <f t="shared" si="13"/>
        <v>#REF!</v>
      </c>
      <c r="Y69" s="382" t="e">
        <f t="shared" si="14"/>
        <v>#REF!</v>
      </c>
      <c r="Z69" s="382"/>
      <c r="AA69" s="382"/>
      <c r="AB69" s="382"/>
      <c r="AC69" s="401"/>
      <c r="AD69" s="394" t="e">
        <f t="shared" si="29"/>
        <v>#REF!</v>
      </c>
      <c r="AE69" s="386" t="e">
        <f t="shared" si="0"/>
        <v>#REF!</v>
      </c>
      <c r="AF69" s="386" t="e">
        <f t="shared" si="15"/>
        <v>#REF!</v>
      </c>
      <c r="AG69" s="381" t="e">
        <f t="shared" si="34"/>
        <v>#REF!</v>
      </c>
      <c r="AH69" s="393" t="e">
        <f t="shared" si="19"/>
        <v>#REF!</v>
      </c>
      <c r="AI69" s="393" t="e">
        <f t="shared" si="25"/>
        <v>#REF!</v>
      </c>
      <c r="AJ69" s="393" t="e">
        <f t="shared" si="26"/>
        <v>#REF!</v>
      </c>
      <c r="AK69" s="396" t="e">
        <f t="shared" si="30"/>
        <v>#REF!</v>
      </c>
      <c r="AL69" s="397" t="e">
        <f t="shared" si="27"/>
        <v>#REF!</v>
      </c>
      <c r="AM69" s="398" t="e">
        <f t="shared" si="28"/>
        <v>#REF!</v>
      </c>
      <c r="AN69" s="399" t="e">
        <f t="shared" si="32"/>
        <v>#REF!</v>
      </c>
      <c r="AO69" s="379" t="e">
        <f t="shared" si="10"/>
        <v>#REF!</v>
      </c>
      <c r="AP69" s="390">
        <f t="shared" si="38"/>
        <v>0</v>
      </c>
      <c r="AQ69" s="400" t="e">
        <f t="shared" si="35"/>
        <v>#REF!</v>
      </c>
      <c r="AR69" s="400" t="e">
        <f t="shared" si="36"/>
        <v>#REF!</v>
      </c>
      <c r="AS69" s="368">
        <f t="shared" si="33"/>
        <v>44</v>
      </c>
      <c r="AT69" s="80"/>
      <c r="AU69" s="392">
        <f t="shared" si="20"/>
        <v>44</v>
      </c>
      <c r="AV69" s="370" t="e">
        <f t="shared" si="31"/>
        <v>#REF!</v>
      </c>
      <c r="AW69" s="371" t="e">
        <f t="shared" si="3"/>
        <v>#REF!</v>
      </c>
      <c r="AX69" s="371" t="e">
        <f t="shared" si="4"/>
        <v>#REF!</v>
      </c>
      <c r="AY69" s="371" t="e">
        <f t="shared" si="4"/>
        <v>#REF!</v>
      </c>
      <c r="AZ69" s="371">
        <f t="shared" si="4"/>
        <v>0</v>
      </c>
      <c r="BA69" s="371">
        <f t="shared" si="4"/>
        <v>0</v>
      </c>
      <c r="BB69" s="371">
        <f t="shared" si="5"/>
        <v>0</v>
      </c>
      <c r="BC69" s="372" t="e">
        <f t="shared" si="6"/>
        <v>#REF!</v>
      </c>
      <c r="BD69" s="370" t="e">
        <f t="shared" si="7"/>
        <v>#REF!</v>
      </c>
      <c r="BE69" s="371" t="e">
        <f t="shared" si="8"/>
        <v>#REF!</v>
      </c>
      <c r="BF69" s="371" t="e">
        <f t="shared" si="16"/>
        <v>#REF!</v>
      </c>
      <c r="BG69" s="372" t="e">
        <f t="shared" si="9"/>
        <v>#REF!</v>
      </c>
      <c r="BH69" s="373" t="e">
        <f t="shared" si="11"/>
        <v>#REF!</v>
      </c>
      <c r="BI69" s="374" t="e">
        <f t="shared" si="12"/>
        <v>#REF!</v>
      </c>
      <c r="BJ69" s="375" t="e">
        <f t="shared" si="21"/>
        <v>#REF!</v>
      </c>
      <c r="BK69" s="376" t="e">
        <f t="shared" si="22"/>
        <v>#REF!</v>
      </c>
      <c r="BL69" s="376" t="e">
        <f t="shared" si="1"/>
        <v>#REF!</v>
      </c>
      <c r="CB69" s="80"/>
      <c r="CC69" s="80"/>
      <c r="CD69" s="80"/>
      <c r="CE69" s="80"/>
      <c r="CF69" s="80"/>
    </row>
    <row r="70" spans="2:84" ht="15.75" customHeight="1">
      <c r="B70" s="351">
        <f t="shared" si="23"/>
        <v>45</v>
      </c>
      <c r="C70" s="352">
        <f t="shared" si="17"/>
        <v>2</v>
      </c>
      <c r="D70" s="353" t="str">
        <f t="shared" si="42"/>
        <v xml:space="preserve">             </v>
      </c>
      <c r="E70" s="381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 t="e">
        <f t="shared" si="40"/>
        <v>#REF!</v>
      </c>
      <c r="S70" s="393" t="e">
        <f t="shared" si="41"/>
        <v>#REF!</v>
      </c>
      <c r="T70" s="393"/>
      <c r="U70" s="393"/>
      <c r="V70" s="393"/>
      <c r="W70" s="394" t="e">
        <f t="shared" si="2"/>
        <v>#REF!</v>
      </c>
      <c r="X70" s="384" t="e">
        <f t="shared" si="13"/>
        <v>#REF!</v>
      </c>
      <c r="Y70" s="382" t="e">
        <f t="shared" si="14"/>
        <v>#REF!</v>
      </c>
      <c r="Z70" s="382"/>
      <c r="AA70" s="382"/>
      <c r="AB70" s="382"/>
      <c r="AC70" s="401"/>
      <c r="AD70" s="394" t="e">
        <f t="shared" si="29"/>
        <v>#REF!</v>
      </c>
      <c r="AE70" s="386" t="e">
        <f t="shared" si="0"/>
        <v>#REF!</v>
      </c>
      <c r="AF70" s="386" t="e">
        <f t="shared" si="15"/>
        <v>#REF!</v>
      </c>
      <c r="AG70" s="381" t="e">
        <f t="shared" si="34"/>
        <v>#REF!</v>
      </c>
      <c r="AH70" s="393" t="e">
        <f t="shared" si="19"/>
        <v>#REF!</v>
      </c>
      <c r="AI70" s="393" t="e">
        <f t="shared" si="25"/>
        <v>#REF!</v>
      </c>
      <c r="AJ70" s="393" t="e">
        <f t="shared" si="26"/>
        <v>#REF!</v>
      </c>
      <c r="AK70" s="396" t="e">
        <f t="shared" si="30"/>
        <v>#REF!</v>
      </c>
      <c r="AL70" s="397" t="e">
        <f t="shared" si="27"/>
        <v>#REF!</v>
      </c>
      <c r="AM70" s="398" t="e">
        <f t="shared" si="28"/>
        <v>#REF!</v>
      </c>
      <c r="AN70" s="399" t="e">
        <f t="shared" si="32"/>
        <v>#REF!</v>
      </c>
      <c r="AO70" s="379" t="e">
        <f t="shared" si="10"/>
        <v>#REF!</v>
      </c>
      <c r="AP70" s="390">
        <f t="shared" si="38"/>
        <v>0</v>
      </c>
      <c r="AQ70" s="400" t="e">
        <f t="shared" si="35"/>
        <v>#REF!</v>
      </c>
      <c r="AR70" s="400" t="e">
        <f t="shared" si="36"/>
        <v>#REF!</v>
      </c>
      <c r="AS70" s="368">
        <f t="shared" si="33"/>
        <v>45</v>
      </c>
      <c r="AT70" s="80"/>
      <c r="AU70" s="392">
        <f t="shared" si="20"/>
        <v>45</v>
      </c>
      <c r="AV70" s="370" t="e">
        <f t="shared" si="31"/>
        <v>#REF!</v>
      </c>
      <c r="AW70" s="371" t="e">
        <f t="shared" si="3"/>
        <v>#REF!</v>
      </c>
      <c r="AX70" s="371" t="e">
        <f t="shared" si="4"/>
        <v>#REF!</v>
      </c>
      <c r="AY70" s="371" t="e">
        <f t="shared" si="4"/>
        <v>#REF!</v>
      </c>
      <c r="AZ70" s="371">
        <f t="shared" si="4"/>
        <v>0</v>
      </c>
      <c r="BA70" s="371">
        <f t="shared" si="4"/>
        <v>0</v>
      </c>
      <c r="BB70" s="371">
        <f t="shared" si="5"/>
        <v>0</v>
      </c>
      <c r="BC70" s="372" t="e">
        <f t="shared" si="6"/>
        <v>#REF!</v>
      </c>
      <c r="BD70" s="370" t="e">
        <f t="shared" si="7"/>
        <v>#REF!</v>
      </c>
      <c r="BE70" s="371" t="e">
        <f t="shared" si="8"/>
        <v>#REF!</v>
      </c>
      <c r="BF70" s="371" t="e">
        <f t="shared" si="16"/>
        <v>#REF!</v>
      </c>
      <c r="BG70" s="372" t="e">
        <f t="shared" si="9"/>
        <v>#REF!</v>
      </c>
      <c r="BH70" s="373" t="e">
        <f t="shared" si="11"/>
        <v>#REF!</v>
      </c>
      <c r="BI70" s="374" t="e">
        <f t="shared" si="12"/>
        <v>#REF!</v>
      </c>
      <c r="BJ70" s="375" t="e">
        <f t="shared" si="21"/>
        <v>#REF!</v>
      </c>
      <c r="BK70" s="376" t="e">
        <f t="shared" si="22"/>
        <v>#REF!</v>
      </c>
      <c r="BL70" s="376" t="e">
        <f t="shared" si="1"/>
        <v>#REF!</v>
      </c>
      <c r="CB70" s="80"/>
      <c r="CC70" s="80"/>
      <c r="CD70" s="80"/>
      <c r="CE70" s="80"/>
      <c r="CF70" s="80"/>
    </row>
    <row r="71" spans="2:84" ht="15.75" customHeight="1">
      <c r="B71" s="351">
        <f t="shared" si="23"/>
        <v>46</v>
      </c>
      <c r="C71" s="352">
        <f t="shared" si="17"/>
        <v>3</v>
      </c>
      <c r="D71" s="353" t="str">
        <f t="shared" si="42"/>
        <v xml:space="preserve">             </v>
      </c>
      <c r="E71" s="381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 t="e">
        <f t="shared" si="40"/>
        <v>#REF!</v>
      </c>
      <c r="S71" s="393" t="e">
        <f t="shared" si="41"/>
        <v>#REF!</v>
      </c>
      <c r="T71" s="393"/>
      <c r="U71" s="393"/>
      <c r="V71" s="393"/>
      <c r="W71" s="394" t="e">
        <f t="shared" si="2"/>
        <v>#REF!</v>
      </c>
      <c r="X71" s="384" t="e">
        <f t="shared" si="13"/>
        <v>#REF!</v>
      </c>
      <c r="Y71" s="382" t="e">
        <f t="shared" si="14"/>
        <v>#REF!</v>
      </c>
      <c r="Z71" s="382"/>
      <c r="AA71" s="382"/>
      <c r="AB71" s="382"/>
      <c r="AC71" s="401"/>
      <c r="AD71" s="394" t="e">
        <f t="shared" si="29"/>
        <v>#REF!</v>
      </c>
      <c r="AE71" s="386" t="e">
        <f t="shared" si="0"/>
        <v>#REF!</v>
      </c>
      <c r="AF71" s="386" t="e">
        <f t="shared" si="15"/>
        <v>#REF!</v>
      </c>
      <c r="AG71" s="381" t="e">
        <f t="shared" si="34"/>
        <v>#REF!</v>
      </c>
      <c r="AH71" s="393" t="e">
        <f t="shared" si="19"/>
        <v>#REF!</v>
      </c>
      <c r="AI71" s="393" t="e">
        <f t="shared" si="25"/>
        <v>#REF!</v>
      </c>
      <c r="AJ71" s="393" t="e">
        <f t="shared" si="26"/>
        <v>#REF!</v>
      </c>
      <c r="AK71" s="396" t="e">
        <f t="shared" si="30"/>
        <v>#REF!</v>
      </c>
      <c r="AL71" s="397" t="e">
        <f t="shared" si="27"/>
        <v>#REF!</v>
      </c>
      <c r="AM71" s="398" t="e">
        <f t="shared" si="28"/>
        <v>#REF!</v>
      </c>
      <c r="AN71" s="399" t="e">
        <f t="shared" si="32"/>
        <v>#REF!</v>
      </c>
      <c r="AO71" s="379" t="e">
        <f t="shared" si="10"/>
        <v>#REF!</v>
      </c>
      <c r="AP71" s="390"/>
      <c r="AQ71" s="400" t="e">
        <f t="shared" si="35"/>
        <v>#REF!</v>
      </c>
      <c r="AR71" s="400" t="e">
        <f t="shared" si="36"/>
        <v>#REF!</v>
      </c>
      <c r="AS71" s="368">
        <f t="shared" si="33"/>
        <v>46</v>
      </c>
      <c r="AT71" s="80"/>
      <c r="AU71" s="392">
        <f t="shared" si="20"/>
        <v>46</v>
      </c>
      <c r="AV71" s="370" t="e">
        <f t="shared" si="31"/>
        <v>#REF!</v>
      </c>
      <c r="AW71" s="371" t="e">
        <f t="shared" si="3"/>
        <v>#REF!</v>
      </c>
      <c r="AX71" s="371" t="e">
        <f t="shared" si="4"/>
        <v>#REF!</v>
      </c>
      <c r="AY71" s="371" t="e">
        <f t="shared" si="4"/>
        <v>#REF!</v>
      </c>
      <c r="AZ71" s="371">
        <f t="shared" si="4"/>
        <v>0</v>
      </c>
      <c r="BA71" s="371">
        <f t="shared" si="4"/>
        <v>0</v>
      </c>
      <c r="BB71" s="371">
        <f t="shared" si="5"/>
        <v>0</v>
      </c>
      <c r="BC71" s="372" t="e">
        <f t="shared" si="6"/>
        <v>#REF!</v>
      </c>
      <c r="BD71" s="370" t="e">
        <f t="shared" si="7"/>
        <v>#REF!</v>
      </c>
      <c r="BE71" s="371" t="e">
        <f t="shared" si="8"/>
        <v>#REF!</v>
      </c>
      <c r="BF71" s="371" t="e">
        <f t="shared" si="16"/>
        <v>#REF!</v>
      </c>
      <c r="BG71" s="372" t="e">
        <f t="shared" si="9"/>
        <v>#REF!</v>
      </c>
      <c r="BH71" s="373" t="e">
        <f t="shared" si="11"/>
        <v>#REF!</v>
      </c>
      <c r="BI71" s="374" t="e">
        <f t="shared" si="12"/>
        <v>#REF!</v>
      </c>
      <c r="BJ71" s="375" t="e">
        <f t="shared" si="21"/>
        <v>#REF!</v>
      </c>
      <c r="BK71" s="376" t="e">
        <f t="shared" si="22"/>
        <v>#REF!</v>
      </c>
      <c r="BL71" s="376" t="e">
        <f t="shared" si="1"/>
        <v>#REF!</v>
      </c>
      <c r="CB71" s="80"/>
      <c r="CC71" s="80"/>
      <c r="CD71" s="80"/>
      <c r="CE71" s="80"/>
      <c r="CF71" s="80"/>
    </row>
    <row r="72" spans="2:84" ht="15.75" customHeight="1">
      <c r="B72" s="351">
        <f t="shared" si="23"/>
        <v>47</v>
      </c>
      <c r="C72" s="352">
        <f t="shared" si="17"/>
        <v>4</v>
      </c>
      <c r="D72" s="353" t="str">
        <f t="shared" si="42"/>
        <v xml:space="preserve">             </v>
      </c>
      <c r="E72" s="381"/>
      <c r="F72" s="393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 t="e">
        <f t="shared" si="40"/>
        <v>#REF!</v>
      </c>
      <c r="S72" s="393" t="e">
        <f t="shared" si="41"/>
        <v>#REF!</v>
      </c>
      <c r="T72" s="393"/>
      <c r="U72" s="393"/>
      <c r="V72" s="393"/>
      <c r="W72" s="394" t="e">
        <f t="shared" si="2"/>
        <v>#REF!</v>
      </c>
      <c r="X72" s="384" t="e">
        <f t="shared" si="13"/>
        <v>#REF!</v>
      </c>
      <c r="Y72" s="382" t="e">
        <f t="shared" si="14"/>
        <v>#REF!</v>
      </c>
      <c r="Z72" s="382"/>
      <c r="AA72" s="382"/>
      <c r="AB72" s="382"/>
      <c r="AC72" s="401"/>
      <c r="AD72" s="394" t="e">
        <f t="shared" si="29"/>
        <v>#REF!</v>
      </c>
      <c r="AE72" s="386" t="e">
        <f t="shared" si="0"/>
        <v>#REF!</v>
      </c>
      <c r="AF72" s="386" t="e">
        <f t="shared" si="15"/>
        <v>#REF!</v>
      </c>
      <c r="AG72" s="381" t="e">
        <f t="shared" si="34"/>
        <v>#REF!</v>
      </c>
      <c r="AH72" s="393" t="e">
        <f t="shared" si="19"/>
        <v>#REF!</v>
      </c>
      <c r="AI72" s="393" t="e">
        <f t="shared" si="25"/>
        <v>#REF!</v>
      </c>
      <c r="AJ72" s="393" t="e">
        <f t="shared" si="26"/>
        <v>#REF!</v>
      </c>
      <c r="AK72" s="396" t="e">
        <f t="shared" si="30"/>
        <v>#REF!</v>
      </c>
      <c r="AL72" s="397" t="e">
        <f t="shared" si="27"/>
        <v>#REF!</v>
      </c>
      <c r="AM72" s="398" t="e">
        <f t="shared" si="28"/>
        <v>#REF!</v>
      </c>
      <c r="AN72" s="399" t="e">
        <f t="shared" si="32"/>
        <v>#REF!</v>
      </c>
      <c r="AO72" s="379" t="e">
        <f t="shared" si="10"/>
        <v>#REF!</v>
      </c>
      <c r="AP72" s="390">
        <f t="shared" si="38"/>
        <v>0</v>
      </c>
      <c r="AQ72" s="400" t="e">
        <f t="shared" si="35"/>
        <v>#REF!</v>
      </c>
      <c r="AR72" s="400" t="e">
        <f t="shared" si="36"/>
        <v>#REF!</v>
      </c>
      <c r="AS72" s="368">
        <f t="shared" si="33"/>
        <v>47</v>
      </c>
      <c r="AT72" s="80"/>
      <c r="AU72" s="392">
        <f t="shared" si="20"/>
        <v>47</v>
      </c>
      <c r="AV72" s="370" t="e">
        <f t="shared" si="31"/>
        <v>#REF!</v>
      </c>
      <c r="AW72" s="371" t="e">
        <f t="shared" si="3"/>
        <v>#REF!</v>
      </c>
      <c r="AX72" s="371" t="e">
        <f t="shared" si="4"/>
        <v>#REF!</v>
      </c>
      <c r="AY72" s="371" t="e">
        <f t="shared" si="4"/>
        <v>#REF!</v>
      </c>
      <c r="AZ72" s="371">
        <f t="shared" si="4"/>
        <v>0</v>
      </c>
      <c r="BA72" s="371">
        <f t="shared" si="4"/>
        <v>0</v>
      </c>
      <c r="BB72" s="371">
        <f t="shared" si="5"/>
        <v>0</v>
      </c>
      <c r="BC72" s="372" t="e">
        <f t="shared" si="6"/>
        <v>#REF!</v>
      </c>
      <c r="BD72" s="370" t="e">
        <f t="shared" si="7"/>
        <v>#REF!</v>
      </c>
      <c r="BE72" s="371" t="e">
        <f t="shared" si="8"/>
        <v>#REF!</v>
      </c>
      <c r="BF72" s="371" t="e">
        <f t="shared" si="16"/>
        <v>#REF!</v>
      </c>
      <c r="BG72" s="372" t="e">
        <f t="shared" si="9"/>
        <v>#REF!</v>
      </c>
      <c r="BH72" s="373" t="e">
        <f t="shared" si="11"/>
        <v>#REF!</v>
      </c>
      <c r="BI72" s="374" t="e">
        <f>BJ71</f>
        <v>#REF!</v>
      </c>
      <c r="BJ72" s="375" t="e">
        <f t="shared" si="21"/>
        <v>#REF!</v>
      </c>
      <c r="BK72" s="376" t="e">
        <f>IF($BJ72&lt;0,$BJ72*-1,0)</f>
        <v>#REF!</v>
      </c>
      <c r="BL72" s="376" t="e">
        <f t="shared" si="1"/>
        <v>#REF!</v>
      </c>
      <c r="CB72" s="80"/>
      <c r="CC72" s="80"/>
      <c r="CD72" s="80"/>
      <c r="CE72" s="80"/>
      <c r="CF72" s="80"/>
    </row>
    <row r="73" spans="2:84" ht="15.75" customHeight="1">
      <c r="B73" s="351">
        <f t="shared" si="23"/>
        <v>48</v>
      </c>
      <c r="C73" s="352">
        <f t="shared" si="17"/>
        <v>5</v>
      </c>
      <c r="D73" s="353" t="str">
        <f t="shared" si="42"/>
        <v xml:space="preserve">             </v>
      </c>
      <c r="E73" s="381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 t="e">
        <f t="shared" si="40"/>
        <v>#REF!</v>
      </c>
      <c r="S73" s="393" t="e">
        <f t="shared" si="41"/>
        <v>#REF!</v>
      </c>
      <c r="T73" s="393"/>
      <c r="U73" s="393"/>
      <c r="V73" s="393"/>
      <c r="W73" s="394" t="e">
        <f t="shared" si="2"/>
        <v>#REF!</v>
      </c>
      <c r="X73" s="384" t="e">
        <f t="shared" si="13"/>
        <v>#REF!</v>
      </c>
      <c r="Y73" s="382" t="e">
        <f t="shared" si="14"/>
        <v>#REF!</v>
      </c>
      <c r="Z73" s="382"/>
      <c r="AA73" s="382"/>
      <c r="AB73" s="382"/>
      <c r="AC73" s="401"/>
      <c r="AD73" s="394" t="e">
        <f t="shared" si="29"/>
        <v>#REF!</v>
      </c>
      <c r="AE73" s="386" t="e">
        <f t="shared" si="0"/>
        <v>#REF!</v>
      </c>
      <c r="AF73" s="386" t="e">
        <f t="shared" si="15"/>
        <v>#REF!</v>
      </c>
      <c r="AG73" s="381" t="e">
        <f t="shared" si="34"/>
        <v>#REF!</v>
      </c>
      <c r="AH73" s="393" t="e">
        <f t="shared" si="19"/>
        <v>#REF!</v>
      </c>
      <c r="AI73" s="393" t="e">
        <f t="shared" si="25"/>
        <v>#REF!</v>
      </c>
      <c r="AJ73" s="393" t="e">
        <f t="shared" si="26"/>
        <v>#REF!</v>
      </c>
      <c r="AK73" s="396" t="e">
        <f t="shared" si="30"/>
        <v>#REF!</v>
      </c>
      <c r="AL73" s="397" t="e">
        <f t="shared" si="27"/>
        <v>#REF!</v>
      </c>
      <c r="AM73" s="398" t="e">
        <f t="shared" si="28"/>
        <v>#REF!</v>
      </c>
      <c r="AN73" s="399" t="e">
        <f t="shared" si="32"/>
        <v>#REF!</v>
      </c>
      <c r="AO73" s="379" t="e">
        <f t="shared" si="10"/>
        <v>#REF!</v>
      </c>
      <c r="AP73" s="390">
        <f t="shared" si="38"/>
        <v>0</v>
      </c>
      <c r="AQ73" s="400" t="e">
        <f t="shared" si="35"/>
        <v>#REF!</v>
      </c>
      <c r="AR73" s="400" t="e">
        <f t="shared" si="36"/>
        <v>#REF!</v>
      </c>
      <c r="AS73" s="368">
        <f t="shared" si="33"/>
        <v>48</v>
      </c>
      <c r="AT73" s="80"/>
      <c r="AU73" s="392">
        <f t="shared" si="20"/>
        <v>48</v>
      </c>
      <c r="AV73" s="370" t="e">
        <f t="shared" si="31"/>
        <v>#REF!</v>
      </c>
      <c r="AW73" s="371" t="e">
        <f t="shared" si="3"/>
        <v>#REF!</v>
      </c>
      <c r="AX73" s="371" t="e">
        <f t="shared" si="4"/>
        <v>#REF!</v>
      </c>
      <c r="AY73" s="371" t="e">
        <f t="shared" si="4"/>
        <v>#REF!</v>
      </c>
      <c r="AZ73" s="371">
        <f t="shared" si="4"/>
        <v>0</v>
      </c>
      <c r="BA73" s="371">
        <f t="shared" si="4"/>
        <v>0</v>
      </c>
      <c r="BB73" s="371">
        <f t="shared" si="5"/>
        <v>0</v>
      </c>
      <c r="BC73" s="372" t="e">
        <f t="shared" si="6"/>
        <v>#REF!</v>
      </c>
      <c r="BD73" s="370" t="e">
        <f t="shared" si="7"/>
        <v>#REF!</v>
      </c>
      <c r="BE73" s="371" t="e">
        <f t="shared" si="8"/>
        <v>#REF!</v>
      </c>
      <c r="BF73" s="371" t="e">
        <f t="shared" si="16"/>
        <v>#REF!</v>
      </c>
      <c r="BG73" s="372" t="e">
        <f t="shared" si="9"/>
        <v>#REF!</v>
      </c>
      <c r="BH73" s="373" t="e">
        <f t="shared" si="11"/>
        <v>#REF!</v>
      </c>
      <c r="BI73" s="374" t="e">
        <f t="shared" si="12"/>
        <v>#REF!</v>
      </c>
      <c r="BJ73" s="375" t="e">
        <f t="shared" si="21"/>
        <v>#REF!</v>
      </c>
      <c r="BK73" s="376" t="e">
        <f t="shared" si="22"/>
        <v>#REF!</v>
      </c>
      <c r="BL73" s="376" t="e">
        <f t="shared" si="1"/>
        <v>#REF!</v>
      </c>
      <c r="CB73" s="80"/>
      <c r="CC73" s="80"/>
      <c r="CD73" s="80"/>
      <c r="CE73" s="80"/>
      <c r="CF73" s="80"/>
    </row>
    <row r="74" spans="2:84" ht="15.75" customHeight="1">
      <c r="B74" s="351">
        <f t="shared" si="23"/>
        <v>49</v>
      </c>
      <c r="C74" s="352">
        <f t="shared" si="17"/>
        <v>6</v>
      </c>
      <c r="D74" s="353" t="str">
        <f>IF($C73=12,$D$73+1,"             ")</f>
        <v xml:space="preserve">             </v>
      </c>
      <c r="E74" s="381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 t="e">
        <f t="shared" si="40"/>
        <v>#REF!</v>
      </c>
      <c r="S74" s="393" t="e">
        <f t="shared" si="41"/>
        <v>#REF!</v>
      </c>
      <c r="T74" s="393"/>
      <c r="U74" s="393"/>
      <c r="V74" s="393"/>
      <c r="W74" s="394" t="e">
        <f t="shared" si="2"/>
        <v>#REF!</v>
      </c>
      <c r="X74" s="384" t="e">
        <f t="shared" si="13"/>
        <v>#REF!</v>
      </c>
      <c r="Y74" s="382" t="e">
        <f t="shared" si="14"/>
        <v>#REF!</v>
      </c>
      <c r="Z74" s="382"/>
      <c r="AA74" s="382"/>
      <c r="AB74" s="382"/>
      <c r="AC74" s="401"/>
      <c r="AD74" s="394" t="e">
        <f t="shared" si="29"/>
        <v>#REF!</v>
      </c>
      <c r="AE74" s="386" t="e">
        <f t="shared" si="0"/>
        <v>#REF!</v>
      </c>
      <c r="AF74" s="386" t="e">
        <f t="shared" si="15"/>
        <v>#REF!</v>
      </c>
      <c r="AG74" s="381" t="e">
        <f t="shared" si="34"/>
        <v>#REF!</v>
      </c>
      <c r="AH74" s="393" t="e">
        <f t="shared" si="19"/>
        <v>#REF!</v>
      </c>
      <c r="AI74" s="393" t="e">
        <f t="shared" si="25"/>
        <v>#REF!</v>
      </c>
      <c r="AJ74" s="393" t="e">
        <f t="shared" si="26"/>
        <v>#REF!</v>
      </c>
      <c r="AK74" s="396" t="e">
        <f t="shared" si="30"/>
        <v>#REF!</v>
      </c>
      <c r="AL74" s="397" t="e">
        <f t="shared" si="27"/>
        <v>#REF!</v>
      </c>
      <c r="AM74" s="398" t="e">
        <f t="shared" si="28"/>
        <v>#REF!</v>
      </c>
      <c r="AN74" s="399" t="e">
        <f t="shared" si="32"/>
        <v>#REF!</v>
      </c>
      <c r="AO74" s="379" t="e">
        <f t="shared" si="10"/>
        <v>#REF!</v>
      </c>
      <c r="AP74" s="390">
        <f t="shared" si="38"/>
        <v>0</v>
      </c>
      <c r="AQ74" s="400" t="e">
        <f t="shared" si="35"/>
        <v>#REF!</v>
      </c>
      <c r="AR74" s="400" t="e">
        <f t="shared" si="36"/>
        <v>#REF!</v>
      </c>
      <c r="AS74" s="368">
        <f t="shared" si="33"/>
        <v>49</v>
      </c>
      <c r="AT74" s="80"/>
      <c r="AU74" s="392">
        <f t="shared" si="20"/>
        <v>49</v>
      </c>
      <c r="AV74" s="370" t="e">
        <f t="shared" si="31"/>
        <v>#REF!</v>
      </c>
      <c r="AW74" s="371" t="e">
        <f t="shared" si="3"/>
        <v>#REF!</v>
      </c>
      <c r="AX74" s="371" t="e">
        <f t="shared" si="4"/>
        <v>#REF!</v>
      </c>
      <c r="AY74" s="371" t="e">
        <f t="shared" si="4"/>
        <v>#REF!</v>
      </c>
      <c r="AZ74" s="371">
        <f t="shared" si="4"/>
        <v>0</v>
      </c>
      <c r="BA74" s="371">
        <f t="shared" si="4"/>
        <v>0</v>
      </c>
      <c r="BB74" s="371">
        <f t="shared" si="5"/>
        <v>0</v>
      </c>
      <c r="BC74" s="372" t="e">
        <f t="shared" si="6"/>
        <v>#REF!</v>
      </c>
      <c r="BD74" s="370" t="e">
        <f t="shared" si="7"/>
        <v>#REF!</v>
      </c>
      <c r="BE74" s="371" t="e">
        <f t="shared" si="8"/>
        <v>#REF!</v>
      </c>
      <c r="BF74" s="371" t="e">
        <f t="shared" si="16"/>
        <v>#REF!</v>
      </c>
      <c r="BG74" s="372" t="e">
        <f t="shared" si="9"/>
        <v>#REF!</v>
      </c>
      <c r="BH74" s="373" t="e">
        <f t="shared" si="11"/>
        <v>#REF!</v>
      </c>
      <c r="BI74" s="374" t="e">
        <f t="shared" si="12"/>
        <v>#REF!</v>
      </c>
      <c r="BJ74" s="375" t="e">
        <f t="shared" si="21"/>
        <v>#REF!</v>
      </c>
      <c r="BK74" s="376" t="e">
        <f t="shared" si="22"/>
        <v>#REF!</v>
      </c>
      <c r="BL74" s="376" t="e">
        <f t="shared" si="1"/>
        <v>#REF!</v>
      </c>
      <c r="CB74" s="80"/>
      <c r="CC74" s="80"/>
      <c r="CD74" s="80"/>
      <c r="CE74" s="80"/>
      <c r="CF74" s="80"/>
    </row>
    <row r="75" spans="2:84" ht="15.75" customHeight="1" thickBot="1">
      <c r="B75" s="351">
        <f t="shared" si="23"/>
        <v>50</v>
      </c>
      <c r="C75" s="352">
        <f t="shared" si="17"/>
        <v>7</v>
      </c>
      <c r="D75" s="353" t="str">
        <f t="shared" ref="D75:D84" si="43">IF($C74=12,$D$73+1,"             ")</f>
        <v xml:space="preserve">             </v>
      </c>
      <c r="E75" s="381"/>
      <c r="F75" s="393"/>
      <c r="G75" s="393"/>
      <c r="H75" s="393"/>
      <c r="I75" s="393"/>
      <c r="J75" s="393"/>
      <c r="K75" s="393"/>
      <c r="L75" s="393"/>
      <c r="M75" s="393"/>
      <c r="N75" s="393"/>
      <c r="O75" s="393"/>
      <c r="P75" s="393"/>
      <c r="Q75" s="393"/>
      <c r="R75" s="393" t="e">
        <f t="shared" si="40"/>
        <v>#REF!</v>
      </c>
      <c r="S75" s="393" t="e">
        <f t="shared" si="41"/>
        <v>#REF!</v>
      </c>
      <c r="T75" s="393"/>
      <c r="U75" s="393"/>
      <c r="V75" s="393"/>
      <c r="W75" s="394" t="e">
        <f t="shared" si="2"/>
        <v>#REF!</v>
      </c>
      <c r="X75" s="384" t="e">
        <f t="shared" si="13"/>
        <v>#REF!</v>
      </c>
      <c r="Y75" s="382" t="e">
        <f t="shared" si="14"/>
        <v>#REF!</v>
      </c>
      <c r="Z75" s="382"/>
      <c r="AA75" s="382"/>
      <c r="AB75" s="382"/>
      <c r="AC75" s="401"/>
      <c r="AD75" s="394" t="e">
        <f t="shared" si="29"/>
        <v>#REF!</v>
      </c>
      <c r="AE75" s="386" t="e">
        <f t="shared" si="0"/>
        <v>#REF!</v>
      </c>
      <c r="AF75" s="386" t="e">
        <f t="shared" si="15"/>
        <v>#REF!</v>
      </c>
      <c r="AG75" s="381" t="e">
        <f t="shared" si="34"/>
        <v>#REF!</v>
      </c>
      <c r="AH75" s="393" t="e">
        <f t="shared" si="19"/>
        <v>#REF!</v>
      </c>
      <c r="AI75" s="393" t="e">
        <f t="shared" si="25"/>
        <v>#REF!</v>
      </c>
      <c r="AJ75" s="393" t="e">
        <f t="shared" si="26"/>
        <v>#REF!</v>
      </c>
      <c r="AK75" s="396" t="e">
        <f t="shared" si="30"/>
        <v>#REF!</v>
      </c>
      <c r="AL75" s="397" t="e">
        <f t="shared" si="27"/>
        <v>#REF!</v>
      </c>
      <c r="AM75" s="398" t="e">
        <f t="shared" si="28"/>
        <v>#REF!</v>
      </c>
      <c r="AN75" s="399" t="e">
        <f t="shared" si="32"/>
        <v>#REF!</v>
      </c>
      <c r="AO75" s="379" t="e">
        <f t="shared" si="10"/>
        <v>#REF!</v>
      </c>
      <c r="AP75" s="390">
        <f>IF($C75=3,SUM(AK61:AK72),0)*-1</f>
        <v>0</v>
      </c>
      <c r="AQ75" s="400" t="e">
        <f>AE75+AI75+AK75+AP75</f>
        <v>#REF!</v>
      </c>
      <c r="AR75" s="400" t="e">
        <f>AQ75+Y75+AA75+AJ75+AN75</f>
        <v>#REF!</v>
      </c>
      <c r="AS75" s="368">
        <f t="shared" si="33"/>
        <v>50</v>
      </c>
      <c r="AT75" s="80"/>
      <c r="AU75" s="392">
        <f t="shared" si="20"/>
        <v>50</v>
      </c>
      <c r="AV75" s="370" t="e">
        <f t="shared" si="31"/>
        <v>#REF!</v>
      </c>
      <c r="AW75" s="371" t="e">
        <f t="shared" si="3"/>
        <v>#REF!</v>
      </c>
      <c r="AX75" s="371" t="e">
        <f t="shared" si="4"/>
        <v>#REF!</v>
      </c>
      <c r="AY75" s="371" t="e">
        <f t="shared" si="4"/>
        <v>#REF!</v>
      </c>
      <c r="AZ75" s="371">
        <f t="shared" si="4"/>
        <v>0</v>
      </c>
      <c r="BA75" s="371">
        <f t="shared" si="4"/>
        <v>0</v>
      </c>
      <c r="BB75" s="371">
        <f t="shared" si="5"/>
        <v>0</v>
      </c>
      <c r="BC75" s="372" t="e">
        <f t="shared" si="6"/>
        <v>#REF!</v>
      </c>
      <c r="BD75" s="370" t="e">
        <f t="shared" si="7"/>
        <v>#REF!</v>
      </c>
      <c r="BE75" s="371" t="e">
        <f t="shared" si="8"/>
        <v>#REF!</v>
      </c>
      <c r="BF75" s="371" t="e">
        <f t="shared" si="16"/>
        <v>#REF!</v>
      </c>
      <c r="BG75" s="372" t="e">
        <f t="shared" si="9"/>
        <v>#REF!</v>
      </c>
      <c r="BH75" s="373" t="e">
        <f>BC75+BG75</f>
        <v>#REF!</v>
      </c>
      <c r="BI75" s="374" t="e">
        <f t="shared" si="12"/>
        <v>#REF!</v>
      </c>
      <c r="BJ75" s="375" t="e">
        <f t="shared" si="21"/>
        <v>#REF!</v>
      </c>
      <c r="BK75" s="376" t="e">
        <f t="shared" si="22"/>
        <v>#REF!</v>
      </c>
      <c r="BL75" s="376" t="e">
        <f t="shared" si="1"/>
        <v>#REF!</v>
      </c>
      <c r="CB75" s="80"/>
      <c r="CC75" s="80"/>
      <c r="CD75" s="80"/>
      <c r="CE75" s="80"/>
      <c r="CF75" s="80"/>
    </row>
    <row r="76" spans="2:84" ht="15.75" hidden="1" customHeight="1">
      <c r="B76" s="351">
        <f t="shared" si="23"/>
        <v>51</v>
      </c>
      <c r="C76" s="352">
        <f t="shared" si="17"/>
        <v>8</v>
      </c>
      <c r="D76" s="353" t="str">
        <f t="shared" si="43"/>
        <v xml:space="preserve">             </v>
      </c>
      <c r="E76" s="381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 t="e">
        <f t="shared" ref="R76:R90" si="44">IF($AS76&lt;=$J$7,($V$8+$V$9+$V$11)*-1,0)</f>
        <v>#REF!</v>
      </c>
      <c r="S76" s="393" t="e">
        <f t="shared" si="41"/>
        <v>#REF!</v>
      </c>
      <c r="T76" s="393"/>
      <c r="U76" s="393"/>
      <c r="V76" s="393"/>
      <c r="W76" s="394" t="e">
        <f t="shared" si="2"/>
        <v>#REF!</v>
      </c>
      <c r="X76" s="384" t="e">
        <f t="shared" si="13"/>
        <v>#REF!</v>
      </c>
      <c r="Y76" s="382" t="e">
        <f t="shared" si="14"/>
        <v>#REF!</v>
      </c>
      <c r="Z76" s="382"/>
      <c r="AA76" s="382"/>
      <c r="AB76" s="382"/>
      <c r="AC76" s="401"/>
      <c r="AD76" s="394" t="e">
        <f t="shared" si="29"/>
        <v>#REF!</v>
      </c>
      <c r="AE76" s="386" t="e">
        <f t="shared" si="0"/>
        <v>#REF!</v>
      </c>
      <c r="AF76" s="386" t="e">
        <f t="shared" si="15"/>
        <v>#REF!</v>
      </c>
      <c r="AG76" s="381" t="e">
        <f t="shared" si="34"/>
        <v>#REF!</v>
      </c>
      <c r="AH76" s="393" t="e">
        <f t="shared" si="19"/>
        <v>#REF!</v>
      </c>
      <c r="AI76" s="393" t="e">
        <f t="shared" si="25"/>
        <v>#REF!</v>
      </c>
      <c r="AJ76" s="393" t="e">
        <f t="shared" si="26"/>
        <v>#REF!</v>
      </c>
      <c r="AK76" s="396" t="e">
        <f t="shared" si="30"/>
        <v>#REF!</v>
      </c>
      <c r="AL76" s="397" t="e">
        <f t="shared" si="27"/>
        <v>#REF!</v>
      </c>
      <c r="AM76" s="398" t="e">
        <f t="shared" si="28"/>
        <v>#REF!</v>
      </c>
      <c r="AN76" s="399" t="e">
        <f t="shared" si="32"/>
        <v>#REF!</v>
      </c>
      <c r="AO76" s="379" t="e">
        <f t="shared" si="10"/>
        <v>#REF!</v>
      </c>
      <c r="AP76" s="390">
        <f t="shared" si="38"/>
        <v>0</v>
      </c>
      <c r="AQ76" s="400" t="e">
        <f t="shared" si="35"/>
        <v>#REF!</v>
      </c>
      <c r="AR76" s="400" t="e">
        <f t="shared" si="36"/>
        <v>#REF!</v>
      </c>
      <c r="AS76" s="368">
        <f t="shared" si="33"/>
        <v>51</v>
      </c>
      <c r="AT76" s="80"/>
      <c r="AU76" s="392">
        <f t="shared" si="20"/>
        <v>51</v>
      </c>
      <c r="AV76" s="370" t="e">
        <f t="shared" ref="AV76:AV90" si="45">AI76-AK76</f>
        <v>#REF!</v>
      </c>
      <c r="AW76" s="371" t="e">
        <f t="shared" si="3"/>
        <v>#REF!</v>
      </c>
      <c r="AX76" s="371" t="e">
        <f t="shared" si="4"/>
        <v>#REF!</v>
      </c>
      <c r="AY76" s="371" t="e">
        <f t="shared" si="4"/>
        <v>#REF!</v>
      </c>
      <c r="AZ76" s="371">
        <f t="shared" si="4"/>
        <v>0</v>
      </c>
      <c r="BA76" s="371">
        <f t="shared" si="4"/>
        <v>0</v>
      </c>
      <c r="BB76" s="371">
        <f t="shared" si="5"/>
        <v>0</v>
      </c>
      <c r="BC76" s="372" t="e">
        <f t="shared" si="6"/>
        <v>#REF!</v>
      </c>
      <c r="BD76" s="370" t="e">
        <f t="shared" si="7"/>
        <v>#REF!</v>
      </c>
      <c r="BE76" s="371" t="e">
        <f t="shared" si="8"/>
        <v>#REF!</v>
      </c>
      <c r="BF76" s="371" t="e">
        <f t="shared" si="16"/>
        <v>#REF!</v>
      </c>
      <c r="BG76" s="372" t="e">
        <f t="shared" si="9"/>
        <v>#REF!</v>
      </c>
      <c r="BH76" s="373" t="e">
        <f t="shared" si="11"/>
        <v>#REF!</v>
      </c>
      <c r="BI76" s="374" t="e">
        <f t="shared" si="12"/>
        <v>#REF!</v>
      </c>
      <c r="BJ76" s="375" t="e">
        <f t="shared" si="21"/>
        <v>#REF!</v>
      </c>
      <c r="BK76" s="376" t="e">
        <f t="shared" si="22"/>
        <v>#REF!</v>
      </c>
      <c r="BL76" s="376" t="e">
        <f t="shared" si="1"/>
        <v>#REF!</v>
      </c>
      <c r="CB76" s="80"/>
      <c r="CC76" s="80"/>
      <c r="CD76" s="80"/>
      <c r="CE76" s="80"/>
      <c r="CF76" s="80"/>
    </row>
    <row r="77" spans="2:84" ht="15.75" hidden="1" customHeight="1">
      <c r="B77" s="351">
        <f t="shared" si="23"/>
        <v>52</v>
      </c>
      <c r="C77" s="352">
        <f t="shared" si="17"/>
        <v>9</v>
      </c>
      <c r="D77" s="353" t="str">
        <f t="shared" si="43"/>
        <v xml:space="preserve">             </v>
      </c>
      <c r="E77" s="381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 t="e">
        <f t="shared" si="44"/>
        <v>#REF!</v>
      </c>
      <c r="S77" s="393" t="e">
        <f t="shared" si="41"/>
        <v>#REF!</v>
      </c>
      <c r="T77" s="393"/>
      <c r="U77" s="393"/>
      <c r="V77" s="393"/>
      <c r="W77" s="394" t="e">
        <f t="shared" si="2"/>
        <v>#REF!</v>
      </c>
      <c r="X77" s="384" t="e">
        <f t="shared" si="13"/>
        <v>#REF!</v>
      </c>
      <c r="Y77" s="382" t="e">
        <f t="shared" si="14"/>
        <v>#REF!</v>
      </c>
      <c r="Z77" s="382"/>
      <c r="AA77" s="382"/>
      <c r="AB77" s="382"/>
      <c r="AC77" s="401"/>
      <c r="AD77" s="394" t="e">
        <f t="shared" si="29"/>
        <v>#REF!</v>
      </c>
      <c r="AE77" s="386" t="e">
        <f t="shared" si="0"/>
        <v>#REF!</v>
      </c>
      <c r="AF77" s="386" t="e">
        <f t="shared" si="15"/>
        <v>#REF!</v>
      </c>
      <c r="AG77" s="381" t="e">
        <f t="shared" si="34"/>
        <v>#REF!</v>
      </c>
      <c r="AH77" s="393" t="e">
        <f t="shared" si="19"/>
        <v>#REF!</v>
      </c>
      <c r="AI77" s="393" t="e">
        <f t="shared" si="25"/>
        <v>#REF!</v>
      </c>
      <c r="AJ77" s="393" t="e">
        <f t="shared" si="26"/>
        <v>#REF!</v>
      </c>
      <c r="AK77" s="396" t="e">
        <f t="shared" si="30"/>
        <v>#REF!</v>
      </c>
      <c r="AL77" s="397" t="e">
        <f t="shared" si="27"/>
        <v>#REF!</v>
      </c>
      <c r="AM77" s="398" t="e">
        <f t="shared" si="28"/>
        <v>#REF!</v>
      </c>
      <c r="AN77" s="399" t="e">
        <f t="shared" si="32"/>
        <v>#REF!</v>
      </c>
      <c r="AO77" s="379" t="e">
        <f t="shared" si="10"/>
        <v>#REF!</v>
      </c>
      <c r="AP77" s="390">
        <f t="shared" si="38"/>
        <v>0</v>
      </c>
      <c r="AQ77" s="400" t="e">
        <f t="shared" si="35"/>
        <v>#REF!</v>
      </c>
      <c r="AR77" s="400" t="e">
        <f t="shared" si="36"/>
        <v>#REF!</v>
      </c>
      <c r="AS77" s="368">
        <f t="shared" si="33"/>
        <v>52</v>
      </c>
      <c r="AT77" s="80"/>
      <c r="AU77" s="392">
        <f t="shared" si="20"/>
        <v>52</v>
      </c>
      <c r="AV77" s="370" t="e">
        <f t="shared" si="45"/>
        <v>#REF!</v>
      </c>
      <c r="AW77" s="371" t="e">
        <f t="shared" si="3"/>
        <v>#REF!</v>
      </c>
      <c r="AX77" s="371" t="e">
        <f t="shared" si="4"/>
        <v>#REF!</v>
      </c>
      <c r="AY77" s="371" t="e">
        <f t="shared" si="4"/>
        <v>#REF!</v>
      </c>
      <c r="AZ77" s="371">
        <f t="shared" si="4"/>
        <v>0</v>
      </c>
      <c r="BA77" s="371">
        <f t="shared" si="4"/>
        <v>0</v>
      </c>
      <c r="BB77" s="371">
        <f t="shared" si="5"/>
        <v>0</v>
      </c>
      <c r="BC77" s="372" t="e">
        <f t="shared" si="6"/>
        <v>#REF!</v>
      </c>
      <c r="BD77" s="370" t="e">
        <f t="shared" si="7"/>
        <v>#REF!</v>
      </c>
      <c r="BE77" s="371" t="e">
        <f t="shared" si="8"/>
        <v>#REF!</v>
      </c>
      <c r="BF77" s="371" t="e">
        <f t="shared" si="16"/>
        <v>#REF!</v>
      </c>
      <c r="BG77" s="372" t="e">
        <f t="shared" si="9"/>
        <v>#REF!</v>
      </c>
      <c r="BH77" s="373" t="e">
        <f t="shared" si="11"/>
        <v>#REF!</v>
      </c>
      <c r="BI77" s="374" t="e">
        <f t="shared" si="12"/>
        <v>#REF!</v>
      </c>
      <c r="BJ77" s="375" t="e">
        <f t="shared" si="21"/>
        <v>#REF!</v>
      </c>
      <c r="BK77" s="376" t="e">
        <f t="shared" si="22"/>
        <v>#REF!</v>
      </c>
      <c r="BL77" s="376" t="e">
        <f t="shared" si="1"/>
        <v>#REF!</v>
      </c>
      <c r="CB77" s="80"/>
      <c r="CC77" s="80"/>
      <c r="CD77" s="80"/>
      <c r="CE77" s="80"/>
      <c r="CF77" s="80"/>
    </row>
    <row r="78" spans="2:84" ht="15.75" hidden="1" customHeight="1">
      <c r="B78" s="351">
        <f t="shared" si="23"/>
        <v>53</v>
      </c>
      <c r="C78" s="352">
        <f t="shared" si="17"/>
        <v>10</v>
      </c>
      <c r="D78" s="353" t="str">
        <f t="shared" si="43"/>
        <v xml:space="preserve">             </v>
      </c>
      <c r="E78" s="381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 t="e">
        <f t="shared" si="44"/>
        <v>#REF!</v>
      </c>
      <c r="S78" s="393" t="e">
        <f t="shared" si="41"/>
        <v>#REF!</v>
      </c>
      <c r="T78" s="393"/>
      <c r="U78" s="393"/>
      <c r="V78" s="393"/>
      <c r="W78" s="394" t="e">
        <f t="shared" si="2"/>
        <v>#REF!</v>
      </c>
      <c r="X78" s="384" t="e">
        <f t="shared" si="13"/>
        <v>#REF!</v>
      </c>
      <c r="Y78" s="382" t="e">
        <f t="shared" si="14"/>
        <v>#REF!</v>
      </c>
      <c r="Z78" s="382"/>
      <c r="AA78" s="382"/>
      <c r="AB78" s="382"/>
      <c r="AC78" s="401"/>
      <c r="AD78" s="394" t="e">
        <f t="shared" si="29"/>
        <v>#REF!</v>
      </c>
      <c r="AE78" s="386" t="e">
        <f t="shared" si="0"/>
        <v>#REF!</v>
      </c>
      <c r="AF78" s="386" t="e">
        <f t="shared" si="15"/>
        <v>#REF!</v>
      </c>
      <c r="AG78" s="381" t="e">
        <f t="shared" si="34"/>
        <v>#REF!</v>
      </c>
      <c r="AH78" s="393" t="e">
        <f t="shared" si="19"/>
        <v>#REF!</v>
      </c>
      <c r="AI78" s="393" t="e">
        <f t="shared" si="25"/>
        <v>#REF!</v>
      </c>
      <c r="AJ78" s="393" t="e">
        <f t="shared" si="26"/>
        <v>#REF!</v>
      </c>
      <c r="AK78" s="396" t="e">
        <f t="shared" si="30"/>
        <v>#REF!</v>
      </c>
      <c r="AL78" s="397" t="e">
        <f t="shared" si="27"/>
        <v>#REF!</v>
      </c>
      <c r="AM78" s="398" t="e">
        <f t="shared" si="28"/>
        <v>#REF!</v>
      </c>
      <c r="AN78" s="399" t="e">
        <f t="shared" si="32"/>
        <v>#REF!</v>
      </c>
      <c r="AO78" s="379" t="e">
        <f t="shared" si="10"/>
        <v>#REF!</v>
      </c>
      <c r="AP78" s="390">
        <f t="shared" si="38"/>
        <v>0</v>
      </c>
      <c r="AQ78" s="400" t="e">
        <f t="shared" si="35"/>
        <v>#REF!</v>
      </c>
      <c r="AR78" s="400" t="e">
        <f t="shared" si="36"/>
        <v>#REF!</v>
      </c>
      <c r="AS78" s="368">
        <f t="shared" si="33"/>
        <v>53</v>
      </c>
      <c r="AT78" s="80"/>
      <c r="AU78" s="392">
        <f t="shared" si="20"/>
        <v>53</v>
      </c>
      <c r="AV78" s="370" t="e">
        <f t="shared" si="45"/>
        <v>#REF!</v>
      </c>
      <c r="AW78" s="371" t="e">
        <f t="shared" si="3"/>
        <v>#REF!</v>
      </c>
      <c r="AX78" s="371" t="e">
        <f t="shared" si="4"/>
        <v>#REF!</v>
      </c>
      <c r="AY78" s="371" t="e">
        <f t="shared" si="4"/>
        <v>#REF!</v>
      </c>
      <c r="AZ78" s="371">
        <f t="shared" si="4"/>
        <v>0</v>
      </c>
      <c r="BA78" s="371">
        <f t="shared" si="4"/>
        <v>0</v>
      </c>
      <c r="BB78" s="371">
        <f t="shared" si="5"/>
        <v>0</v>
      </c>
      <c r="BC78" s="372" t="e">
        <f t="shared" si="6"/>
        <v>#REF!</v>
      </c>
      <c r="BD78" s="370" t="e">
        <f t="shared" si="7"/>
        <v>#REF!</v>
      </c>
      <c r="BE78" s="371" t="e">
        <f t="shared" si="8"/>
        <v>#REF!</v>
      </c>
      <c r="BF78" s="371" t="e">
        <f t="shared" si="16"/>
        <v>#REF!</v>
      </c>
      <c r="BG78" s="372" t="e">
        <f t="shared" si="9"/>
        <v>#REF!</v>
      </c>
      <c r="BH78" s="373" t="e">
        <f t="shared" si="11"/>
        <v>#REF!</v>
      </c>
      <c r="BI78" s="374" t="e">
        <f t="shared" si="12"/>
        <v>#REF!</v>
      </c>
      <c r="BJ78" s="375" t="e">
        <f t="shared" si="21"/>
        <v>#REF!</v>
      </c>
      <c r="BK78" s="376" t="e">
        <f t="shared" si="22"/>
        <v>#REF!</v>
      </c>
      <c r="BL78" s="376" t="e">
        <f t="shared" si="1"/>
        <v>#REF!</v>
      </c>
      <c r="CB78" s="80"/>
      <c r="CC78" s="80"/>
      <c r="CD78" s="80"/>
      <c r="CE78" s="80"/>
      <c r="CF78" s="80"/>
    </row>
    <row r="79" spans="2:84" ht="15.75" hidden="1" customHeight="1">
      <c r="B79" s="351">
        <f t="shared" si="23"/>
        <v>54</v>
      </c>
      <c r="C79" s="352">
        <f t="shared" si="17"/>
        <v>11</v>
      </c>
      <c r="D79" s="353" t="str">
        <f t="shared" si="43"/>
        <v xml:space="preserve">             </v>
      </c>
      <c r="E79" s="381"/>
      <c r="F79" s="393"/>
      <c r="G79" s="393"/>
      <c r="H79" s="393"/>
      <c r="I79" s="393"/>
      <c r="J79" s="393"/>
      <c r="K79" s="393"/>
      <c r="L79" s="393"/>
      <c r="M79" s="393"/>
      <c r="N79" s="393"/>
      <c r="O79" s="393"/>
      <c r="P79" s="393"/>
      <c r="Q79" s="393"/>
      <c r="R79" s="393" t="e">
        <f t="shared" si="44"/>
        <v>#REF!</v>
      </c>
      <c r="S79" s="393" t="e">
        <f t="shared" si="41"/>
        <v>#REF!</v>
      </c>
      <c r="T79" s="393"/>
      <c r="U79" s="393"/>
      <c r="V79" s="393"/>
      <c r="W79" s="394" t="e">
        <f t="shared" si="2"/>
        <v>#REF!</v>
      </c>
      <c r="X79" s="384" t="e">
        <f t="shared" si="13"/>
        <v>#REF!</v>
      </c>
      <c r="Y79" s="382" t="e">
        <f t="shared" si="14"/>
        <v>#REF!</v>
      </c>
      <c r="Z79" s="382"/>
      <c r="AA79" s="382"/>
      <c r="AB79" s="382"/>
      <c r="AC79" s="401"/>
      <c r="AD79" s="394" t="e">
        <f t="shared" si="29"/>
        <v>#REF!</v>
      </c>
      <c r="AE79" s="386" t="e">
        <f t="shared" si="0"/>
        <v>#REF!</v>
      </c>
      <c r="AF79" s="386" t="e">
        <f t="shared" si="15"/>
        <v>#REF!</v>
      </c>
      <c r="AG79" s="381" t="e">
        <f t="shared" si="34"/>
        <v>#REF!</v>
      </c>
      <c r="AH79" s="393" t="e">
        <f t="shared" si="19"/>
        <v>#REF!</v>
      </c>
      <c r="AI79" s="393" t="e">
        <f t="shared" si="25"/>
        <v>#REF!</v>
      </c>
      <c r="AJ79" s="393" t="e">
        <f t="shared" si="26"/>
        <v>#REF!</v>
      </c>
      <c r="AK79" s="396" t="e">
        <f t="shared" si="30"/>
        <v>#REF!</v>
      </c>
      <c r="AL79" s="397" t="e">
        <f t="shared" si="27"/>
        <v>#REF!</v>
      </c>
      <c r="AM79" s="398" t="e">
        <f t="shared" si="28"/>
        <v>#REF!</v>
      </c>
      <c r="AN79" s="399" t="e">
        <f t="shared" si="32"/>
        <v>#REF!</v>
      </c>
      <c r="AO79" s="379" t="e">
        <f t="shared" si="10"/>
        <v>#REF!</v>
      </c>
      <c r="AP79" s="390">
        <f t="shared" si="38"/>
        <v>0</v>
      </c>
      <c r="AQ79" s="400" t="e">
        <f t="shared" si="35"/>
        <v>#REF!</v>
      </c>
      <c r="AR79" s="400" t="e">
        <f t="shared" si="36"/>
        <v>#REF!</v>
      </c>
      <c r="AS79" s="368">
        <f t="shared" si="33"/>
        <v>54</v>
      </c>
      <c r="AT79" s="80"/>
      <c r="AU79" s="392">
        <f t="shared" si="20"/>
        <v>54</v>
      </c>
      <c r="AV79" s="370" t="e">
        <f t="shared" si="45"/>
        <v>#REF!</v>
      </c>
      <c r="AW79" s="371" t="e">
        <f t="shared" si="3"/>
        <v>#REF!</v>
      </c>
      <c r="AX79" s="371" t="e">
        <f t="shared" si="4"/>
        <v>#REF!</v>
      </c>
      <c r="AY79" s="371" t="e">
        <f t="shared" si="4"/>
        <v>#REF!</v>
      </c>
      <c r="AZ79" s="371">
        <f t="shared" si="4"/>
        <v>0</v>
      </c>
      <c r="BA79" s="371">
        <f t="shared" si="4"/>
        <v>0</v>
      </c>
      <c r="BB79" s="371">
        <f t="shared" si="5"/>
        <v>0</v>
      </c>
      <c r="BC79" s="372" t="e">
        <f t="shared" si="6"/>
        <v>#REF!</v>
      </c>
      <c r="BD79" s="370" t="e">
        <f t="shared" si="7"/>
        <v>#REF!</v>
      </c>
      <c r="BE79" s="371" t="e">
        <f t="shared" si="8"/>
        <v>#REF!</v>
      </c>
      <c r="BF79" s="371" t="e">
        <f t="shared" si="16"/>
        <v>#REF!</v>
      </c>
      <c r="BG79" s="372" t="e">
        <f t="shared" si="9"/>
        <v>#REF!</v>
      </c>
      <c r="BH79" s="373" t="e">
        <f t="shared" si="11"/>
        <v>#REF!</v>
      </c>
      <c r="BI79" s="374" t="e">
        <f t="shared" si="12"/>
        <v>#REF!</v>
      </c>
      <c r="BJ79" s="375" t="e">
        <f t="shared" si="21"/>
        <v>#REF!</v>
      </c>
      <c r="BK79" s="376" t="e">
        <f t="shared" si="22"/>
        <v>#REF!</v>
      </c>
      <c r="BL79" s="376" t="e">
        <f t="shared" si="1"/>
        <v>#REF!</v>
      </c>
      <c r="CB79" s="80"/>
      <c r="CC79" s="80"/>
      <c r="CD79" s="80"/>
      <c r="CE79" s="80"/>
      <c r="CF79" s="80"/>
    </row>
    <row r="80" spans="2:84" ht="15.75" hidden="1" customHeight="1">
      <c r="B80" s="351">
        <f t="shared" si="23"/>
        <v>55</v>
      </c>
      <c r="C80" s="352">
        <f t="shared" si="17"/>
        <v>12</v>
      </c>
      <c r="D80" s="353" t="str">
        <f t="shared" si="43"/>
        <v xml:space="preserve">             </v>
      </c>
      <c r="E80" s="381"/>
      <c r="F80" s="393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 t="e">
        <f t="shared" si="44"/>
        <v>#REF!</v>
      </c>
      <c r="S80" s="393" t="e">
        <f t="shared" si="41"/>
        <v>#REF!</v>
      </c>
      <c r="T80" s="393"/>
      <c r="U80" s="393"/>
      <c r="V80" s="393"/>
      <c r="W80" s="394" t="e">
        <f t="shared" si="2"/>
        <v>#REF!</v>
      </c>
      <c r="X80" s="384" t="e">
        <f t="shared" si="13"/>
        <v>#REF!</v>
      </c>
      <c r="Y80" s="382" t="e">
        <f t="shared" si="14"/>
        <v>#REF!</v>
      </c>
      <c r="Z80" s="382"/>
      <c r="AA80" s="382"/>
      <c r="AB80" s="382"/>
      <c r="AC80" s="401"/>
      <c r="AD80" s="394" t="e">
        <f t="shared" si="29"/>
        <v>#REF!</v>
      </c>
      <c r="AE80" s="386" t="e">
        <f t="shared" si="0"/>
        <v>#REF!</v>
      </c>
      <c r="AF80" s="386" t="e">
        <f t="shared" si="15"/>
        <v>#REF!</v>
      </c>
      <c r="AG80" s="381" t="e">
        <f t="shared" si="34"/>
        <v>#REF!</v>
      </c>
      <c r="AH80" s="393" t="e">
        <f t="shared" si="19"/>
        <v>#REF!</v>
      </c>
      <c r="AI80" s="393" t="e">
        <f t="shared" si="25"/>
        <v>#REF!</v>
      </c>
      <c r="AJ80" s="393" t="e">
        <f t="shared" si="26"/>
        <v>#REF!</v>
      </c>
      <c r="AK80" s="396" t="e">
        <f t="shared" si="30"/>
        <v>#REF!</v>
      </c>
      <c r="AL80" s="397" t="e">
        <f t="shared" si="27"/>
        <v>#REF!</v>
      </c>
      <c r="AM80" s="398" t="e">
        <f t="shared" si="28"/>
        <v>#REF!</v>
      </c>
      <c r="AN80" s="399" t="e">
        <f t="shared" si="32"/>
        <v>#REF!</v>
      </c>
      <c r="AO80" s="379" t="e">
        <f t="shared" si="10"/>
        <v>#REF!</v>
      </c>
      <c r="AP80" s="390">
        <f t="shared" si="38"/>
        <v>0</v>
      </c>
      <c r="AQ80" s="400" t="e">
        <f t="shared" si="35"/>
        <v>#REF!</v>
      </c>
      <c r="AR80" s="400" t="e">
        <f t="shared" si="36"/>
        <v>#REF!</v>
      </c>
      <c r="AS80" s="368">
        <f t="shared" si="33"/>
        <v>55</v>
      </c>
      <c r="AT80" s="80"/>
      <c r="AU80" s="392">
        <f t="shared" si="20"/>
        <v>55</v>
      </c>
      <c r="AV80" s="370" t="e">
        <f t="shared" si="45"/>
        <v>#REF!</v>
      </c>
      <c r="AW80" s="371" t="e">
        <f t="shared" si="3"/>
        <v>#REF!</v>
      </c>
      <c r="AX80" s="371" t="e">
        <f t="shared" si="4"/>
        <v>#REF!</v>
      </c>
      <c r="AY80" s="371" t="e">
        <f t="shared" si="4"/>
        <v>#REF!</v>
      </c>
      <c r="AZ80" s="371">
        <f t="shared" si="4"/>
        <v>0</v>
      </c>
      <c r="BA80" s="371">
        <f t="shared" si="4"/>
        <v>0</v>
      </c>
      <c r="BB80" s="371">
        <f t="shared" si="5"/>
        <v>0</v>
      </c>
      <c r="BC80" s="372" t="e">
        <f t="shared" si="6"/>
        <v>#REF!</v>
      </c>
      <c r="BD80" s="370" t="e">
        <f t="shared" si="7"/>
        <v>#REF!</v>
      </c>
      <c r="BE80" s="371" t="e">
        <f t="shared" si="8"/>
        <v>#REF!</v>
      </c>
      <c r="BF80" s="371" t="e">
        <f t="shared" si="16"/>
        <v>#REF!</v>
      </c>
      <c r="BG80" s="372" t="e">
        <f t="shared" si="9"/>
        <v>#REF!</v>
      </c>
      <c r="BH80" s="373" t="e">
        <f t="shared" si="11"/>
        <v>#REF!</v>
      </c>
      <c r="BI80" s="374" t="e">
        <f t="shared" si="12"/>
        <v>#REF!</v>
      </c>
      <c r="BJ80" s="375" t="e">
        <f t="shared" si="21"/>
        <v>#REF!</v>
      </c>
      <c r="BK80" s="376" t="e">
        <f t="shared" si="22"/>
        <v>#REF!</v>
      </c>
      <c r="BL80" s="376" t="e">
        <f t="shared" si="1"/>
        <v>#REF!</v>
      </c>
      <c r="CB80" s="80"/>
      <c r="CC80" s="80"/>
      <c r="CD80" s="80"/>
      <c r="CE80" s="80"/>
      <c r="CF80" s="80"/>
    </row>
    <row r="81" spans="2:84" ht="15.75" hidden="1" customHeight="1">
      <c r="B81" s="351">
        <f t="shared" si="23"/>
        <v>56</v>
      </c>
      <c r="C81" s="352">
        <f t="shared" si="17"/>
        <v>1</v>
      </c>
      <c r="D81" s="353" t="e">
        <f t="shared" si="43"/>
        <v>#VALUE!</v>
      </c>
      <c r="E81" s="381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 t="e">
        <f t="shared" si="44"/>
        <v>#REF!</v>
      </c>
      <c r="S81" s="393" t="e">
        <f t="shared" si="41"/>
        <v>#REF!</v>
      </c>
      <c r="T81" s="393"/>
      <c r="U81" s="393"/>
      <c r="V81" s="393"/>
      <c r="W81" s="394" t="e">
        <f t="shared" si="2"/>
        <v>#REF!</v>
      </c>
      <c r="X81" s="384" t="e">
        <f t="shared" si="13"/>
        <v>#REF!</v>
      </c>
      <c r="Y81" s="382" t="e">
        <f t="shared" si="14"/>
        <v>#REF!</v>
      </c>
      <c r="Z81" s="382"/>
      <c r="AA81" s="382"/>
      <c r="AB81" s="382"/>
      <c r="AC81" s="401"/>
      <c r="AD81" s="394" t="e">
        <f t="shared" si="29"/>
        <v>#REF!</v>
      </c>
      <c r="AE81" s="386" t="e">
        <f t="shared" si="0"/>
        <v>#REF!</v>
      </c>
      <c r="AF81" s="386" t="e">
        <f t="shared" si="15"/>
        <v>#REF!</v>
      </c>
      <c r="AG81" s="381" t="e">
        <f t="shared" si="34"/>
        <v>#REF!</v>
      </c>
      <c r="AH81" s="393" t="e">
        <f t="shared" si="19"/>
        <v>#REF!</v>
      </c>
      <c r="AI81" s="393" t="e">
        <f t="shared" si="25"/>
        <v>#REF!</v>
      </c>
      <c r="AJ81" s="393" t="e">
        <f t="shared" si="26"/>
        <v>#REF!</v>
      </c>
      <c r="AK81" s="396" t="e">
        <f t="shared" si="30"/>
        <v>#REF!</v>
      </c>
      <c r="AL81" s="397" t="e">
        <f t="shared" si="27"/>
        <v>#REF!</v>
      </c>
      <c r="AM81" s="398" t="e">
        <f t="shared" si="28"/>
        <v>#REF!</v>
      </c>
      <c r="AN81" s="399" t="e">
        <f t="shared" si="32"/>
        <v>#REF!</v>
      </c>
      <c r="AO81" s="379" t="e">
        <f t="shared" si="10"/>
        <v>#REF!</v>
      </c>
      <c r="AP81" s="390">
        <f t="shared" si="38"/>
        <v>0</v>
      </c>
      <c r="AQ81" s="400" t="e">
        <f t="shared" si="35"/>
        <v>#REF!</v>
      </c>
      <c r="AR81" s="400" t="e">
        <f t="shared" si="36"/>
        <v>#REF!</v>
      </c>
      <c r="AS81" s="368">
        <f t="shared" si="33"/>
        <v>56</v>
      </c>
      <c r="AT81" s="80"/>
      <c r="AU81" s="392">
        <f t="shared" si="20"/>
        <v>56</v>
      </c>
      <c r="AV81" s="370" t="e">
        <f t="shared" si="45"/>
        <v>#REF!</v>
      </c>
      <c r="AW81" s="371" t="e">
        <f t="shared" si="3"/>
        <v>#REF!</v>
      </c>
      <c r="AX81" s="371" t="e">
        <f t="shared" si="4"/>
        <v>#REF!</v>
      </c>
      <c r="AY81" s="371" t="e">
        <f t="shared" si="4"/>
        <v>#REF!</v>
      </c>
      <c r="AZ81" s="371">
        <f t="shared" si="4"/>
        <v>0</v>
      </c>
      <c r="BA81" s="371">
        <f t="shared" si="4"/>
        <v>0</v>
      </c>
      <c r="BB81" s="371">
        <f t="shared" si="5"/>
        <v>0</v>
      </c>
      <c r="BC81" s="372" t="e">
        <f t="shared" si="6"/>
        <v>#REF!</v>
      </c>
      <c r="BD81" s="370" t="e">
        <f t="shared" si="7"/>
        <v>#REF!</v>
      </c>
      <c r="BE81" s="371" t="e">
        <f t="shared" si="8"/>
        <v>#REF!</v>
      </c>
      <c r="BF81" s="371" t="e">
        <f t="shared" si="16"/>
        <v>#REF!</v>
      </c>
      <c r="BG81" s="372" t="e">
        <f t="shared" si="9"/>
        <v>#REF!</v>
      </c>
      <c r="BH81" s="373" t="e">
        <f t="shared" si="11"/>
        <v>#REF!</v>
      </c>
      <c r="BI81" s="374" t="e">
        <f t="shared" si="12"/>
        <v>#REF!</v>
      </c>
      <c r="BJ81" s="375" t="e">
        <f t="shared" si="21"/>
        <v>#REF!</v>
      </c>
      <c r="BK81" s="376" t="e">
        <f t="shared" si="22"/>
        <v>#REF!</v>
      </c>
      <c r="BL81" s="376" t="e">
        <f t="shared" si="1"/>
        <v>#REF!</v>
      </c>
      <c r="CB81" s="80"/>
      <c r="CC81" s="80"/>
      <c r="CD81" s="80"/>
      <c r="CE81" s="80"/>
      <c r="CF81" s="80"/>
    </row>
    <row r="82" spans="2:84" ht="15.75" hidden="1" customHeight="1">
      <c r="B82" s="351">
        <f t="shared" si="23"/>
        <v>57</v>
      </c>
      <c r="C82" s="352">
        <f t="shared" si="17"/>
        <v>2</v>
      </c>
      <c r="D82" s="353" t="str">
        <f t="shared" si="43"/>
        <v xml:space="preserve">             </v>
      </c>
      <c r="E82" s="381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 t="e">
        <f t="shared" si="44"/>
        <v>#REF!</v>
      </c>
      <c r="S82" s="393" t="e">
        <f t="shared" si="41"/>
        <v>#REF!</v>
      </c>
      <c r="T82" s="393"/>
      <c r="U82" s="393"/>
      <c r="V82" s="393"/>
      <c r="W82" s="394" t="e">
        <f t="shared" si="2"/>
        <v>#REF!</v>
      </c>
      <c r="X82" s="384" t="e">
        <f t="shared" si="13"/>
        <v>#REF!</v>
      </c>
      <c r="Y82" s="382" t="e">
        <f t="shared" si="14"/>
        <v>#REF!</v>
      </c>
      <c r="Z82" s="382"/>
      <c r="AA82" s="382"/>
      <c r="AB82" s="382"/>
      <c r="AC82" s="401"/>
      <c r="AD82" s="394" t="e">
        <f t="shared" si="29"/>
        <v>#REF!</v>
      </c>
      <c r="AE82" s="386" t="e">
        <f t="shared" si="0"/>
        <v>#REF!</v>
      </c>
      <c r="AF82" s="386" t="e">
        <f t="shared" si="15"/>
        <v>#REF!</v>
      </c>
      <c r="AG82" s="381" t="e">
        <f t="shared" si="34"/>
        <v>#REF!</v>
      </c>
      <c r="AH82" s="393" t="e">
        <f t="shared" si="19"/>
        <v>#REF!</v>
      </c>
      <c r="AI82" s="393" t="e">
        <f t="shared" si="25"/>
        <v>#REF!</v>
      </c>
      <c r="AJ82" s="393" t="e">
        <f t="shared" si="26"/>
        <v>#REF!</v>
      </c>
      <c r="AK82" s="396" t="e">
        <f t="shared" si="30"/>
        <v>#REF!</v>
      </c>
      <c r="AL82" s="397" t="e">
        <f t="shared" si="27"/>
        <v>#REF!</v>
      </c>
      <c r="AM82" s="398" t="e">
        <f t="shared" si="28"/>
        <v>#REF!</v>
      </c>
      <c r="AN82" s="399" t="e">
        <f t="shared" si="32"/>
        <v>#REF!</v>
      </c>
      <c r="AO82" s="379" t="e">
        <f t="shared" si="10"/>
        <v>#REF!</v>
      </c>
      <c r="AP82" s="390">
        <f t="shared" si="38"/>
        <v>0</v>
      </c>
      <c r="AQ82" s="400" t="e">
        <f t="shared" si="35"/>
        <v>#REF!</v>
      </c>
      <c r="AR82" s="400" t="e">
        <f t="shared" si="36"/>
        <v>#REF!</v>
      </c>
      <c r="AS82" s="368">
        <f t="shared" si="33"/>
        <v>57</v>
      </c>
      <c r="AT82" s="80"/>
      <c r="AU82" s="392">
        <f t="shared" si="20"/>
        <v>57</v>
      </c>
      <c r="AV82" s="370" t="e">
        <f t="shared" si="45"/>
        <v>#REF!</v>
      </c>
      <c r="AW82" s="371" t="e">
        <f t="shared" si="3"/>
        <v>#REF!</v>
      </c>
      <c r="AX82" s="371" t="e">
        <f t="shared" si="4"/>
        <v>#REF!</v>
      </c>
      <c r="AY82" s="371" t="e">
        <f t="shared" si="4"/>
        <v>#REF!</v>
      </c>
      <c r="AZ82" s="371">
        <f t="shared" si="4"/>
        <v>0</v>
      </c>
      <c r="BA82" s="371">
        <f t="shared" si="4"/>
        <v>0</v>
      </c>
      <c r="BB82" s="371">
        <f t="shared" si="5"/>
        <v>0</v>
      </c>
      <c r="BC82" s="372" t="e">
        <f t="shared" si="6"/>
        <v>#REF!</v>
      </c>
      <c r="BD82" s="370" t="e">
        <f t="shared" si="7"/>
        <v>#REF!</v>
      </c>
      <c r="BE82" s="371" t="e">
        <f t="shared" si="8"/>
        <v>#REF!</v>
      </c>
      <c r="BF82" s="371" t="e">
        <f t="shared" si="16"/>
        <v>#REF!</v>
      </c>
      <c r="BG82" s="372" t="e">
        <f t="shared" si="9"/>
        <v>#REF!</v>
      </c>
      <c r="BH82" s="373" t="e">
        <f t="shared" si="11"/>
        <v>#REF!</v>
      </c>
      <c r="BI82" s="374" t="e">
        <f t="shared" si="12"/>
        <v>#REF!</v>
      </c>
      <c r="BJ82" s="375" t="e">
        <f t="shared" si="21"/>
        <v>#REF!</v>
      </c>
      <c r="BK82" s="376" t="e">
        <f t="shared" si="22"/>
        <v>#REF!</v>
      </c>
      <c r="BL82" s="376" t="e">
        <f t="shared" si="1"/>
        <v>#REF!</v>
      </c>
      <c r="CB82" s="80"/>
      <c r="CC82" s="80"/>
      <c r="CD82" s="80"/>
      <c r="CE82" s="80"/>
      <c r="CF82" s="80"/>
    </row>
    <row r="83" spans="2:84" ht="15.75" hidden="1" customHeight="1">
      <c r="B83" s="351">
        <f t="shared" si="23"/>
        <v>58</v>
      </c>
      <c r="C83" s="352">
        <f t="shared" si="17"/>
        <v>3</v>
      </c>
      <c r="D83" s="353" t="str">
        <f t="shared" si="43"/>
        <v xml:space="preserve">             </v>
      </c>
      <c r="E83" s="381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 t="e">
        <f t="shared" si="44"/>
        <v>#REF!</v>
      </c>
      <c r="S83" s="393" t="e">
        <f t="shared" si="41"/>
        <v>#REF!</v>
      </c>
      <c r="T83" s="393"/>
      <c r="U83" s="393"/>
      <c r="V83" s="393"/>
      <c r="W83" s="394" t="e">
        <f t="shared" si="2"/>
        <v>#REF!</v>
      </c>
      <c r="X83" s="384" t="e">
        <f t="shared" si="13"/>
        <v>#REF!</v>
      </c>
      <c r="Y83" s="382" t="e">
        <f t="shared" si="14"/>
        <v>#REF!</v>
      </c>
      <c r="Z83" s="382"/>
      <c r="AA83" s="382"/>
      <c r="AB83" s="382"/>
      <c r="AC83" s="401"/>
      <c r="AD83" s="394" t="e">
        <f t="shared" si="29"/>
        <v>#REF!</v>
      </c>
      <c r="AE83" s="386" t="e">
        <f t="shared" si="0"/>
        <v>#REF!</v>
      </c>
      <c r="AF83" s="386" t="e">
        <f t="shared" si="15"/>
        <v>#REF!</v>
      </c>
      <c r="AG83" s="381" t="e">
        <f t="shared" si="34"/>
        <v>#REF!</v>
      </c>
      <c r="AH83" s="393" t="e">
        <f t="shared" si="19"/>
        <v>#REF!</v>
      </c>
      <c r="AI83" s="393" t="e">
        <f t="shared" si="25"/>
        <v>#REF!</v>
      </c>
      <c r="AJ83" s="393" t="e">
        <f t="shared" si="26"/>
        <v>#REF!</v>
      </c>
      <c r="AK83" s="396" t="e">
        <f t="shared" si="30"/>
        <v>#REF!</v>
      </c>
      <c r="AL83" s="397" t="e">
        <f t="shared" si="27"/>
        <v>#REF!</v>
      </c>
      <c r="AM83" s="398" t="e">
        <f t="shared" si="28"/>
        <v>#REF!</v>
      </c>
      <c r="AN83" s="399" t="e">
        <f t="shared" si="32"/>
        <v>#REF!</v>
      </c>
      <c r="AO83" s="379" t="e">
        <f t="shared" si="10"/>
        <v>#REF!</v>
      </c>
      <c r="AP83" s="390" t="e">
        <f t="shared" si="38"/>
        <v>#REF!</v>
      </c>
      <c r="AQ83" s="400" t="e">
        <f t="shared" si="35"/>
        <v>#REF!</v>
      </c>
      <c r="AR83" s="400" t="e">
        <f t="shared" si="36"/>
        <v>#REF!</v>
      </c>
      <c r="AS83" s="368">
        <f t="shared" si="33"/>
        <v>58</v>
      </c>
      <c r="AT83" s="80"/>
      <c r="AU83" s="392">
        <f t="shared" si="20"/>
        <v>58</v>
      </c>
      <c r="AV83" s="370" t="e">
        <f t="shared" si="45"/>
        <v>#REF!</v>
      </c>
      <c r="AW83" s="371" t="e">
        <f t="shared" si="3"/>
        <v>#REF!</v>
      </c>
      <c r="AX83" s="371" t="e">
        <f t="shared" si="4"/>
        <v>#REF!</v>
      </c>
      <c r="AY83" s="371" t="e">
        <f t="shared" si="4"/>
        <v>#REF!</v>
      </c>
      <c r="AZ83" s="371">
        <f t="shared" si="4"/>
        <v>0</v>
      </c>
      <c r="BA83" s="371">
        <f t="shared" si="4"/>
        <v>0</v>
      </c>
      <c r="BB83" s="371" t="e">
        <f t="shared" si="5"/>
        <v>#REF!</v>
      </c>
      <c r="BC83" s="372" t="e">
        <f t="shared" si="6"/>
        <v>#REF!</v>
      </c>
      <c r="BD83" s="370" t="e">
        <f t="shared" si="7"/>
        <v>#REF!</v>
      </c>
      <c r="BE83" s="371" t="e">
        <f t="shared" si="8"/>
        <v>#REF!</v>
      </c>
      <c r="BF83" s="371" t="e">
        <f t="shared" si="16"/>
        <v>#REF!</v>
      </c>
      <c r="BG83" s="372" t="e">
        <f t="shared" si="9"/>
        <v>#REF!</v>
      </c>
      <c r="BH83" s="373" t="e">
        <f t="shared" si="11"/>
        <v>#REF!</v>
      </c>
      <c r="BI83" s="374" t="e">
        <f t="shared" si="12"/>
        <v>#REF!</v>
      </c>
      <c r="BJ83" s="375" t="e">
        <f t="shared" si="21"/>
        <v>#REF!</v>
      </c>
      <c r="BK83" s="376" t="e">
        <f t="shared" si="22"/>
        <v>#REF!</v>
      </c>
      <c r="BL83" s="376" t="e">
        <f t="shared" si="1"/>
        <v>#REF!</v>
      </c>
      <c r="CB83" s="80"/>
      <c r="CC83" s="80"/>
      <c r="CD83" s="80"/>
      <c r="CE83" s="80"/>
      <c r="CF83" s="80"/>
    </row>
    <row r="84" spans="2:84" ht="15.75" hidden="1" customHeight="1">
      <c r="B84" s="351">
        <f t="shared" si="23"/>
        <v>59</v>
      </c>
      <c r="C84" s="352">
        <f t="shared" si="17"/>
        <v>4</v>
      </c>
      <c r="D84" s="353" t="str">
        <f t="shared" si="43"/>
        <v xml:space="preserve">             </v>
      </c>
      <c r="E84" s="381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 t="e">
        <f t="shared" si="44"/>
        <v>#REF!</v>
      </c>
      <c r="S84" s="393" t="e">
        <f t="shared" si="41"/>
        <v>#REF!</v>
      </c>
      <c r="T84" s="393"/>
      <c r="U84" s="393"/>
      <c r="V84" s="393"/>
      <c r="W84" s="394" t="e">
        <f t="shared" si="2"/>
        <v>#REF!</v>
      </c>
      <c r="X84" s="384" t="e">
        <f t="shared" si="13"/>
        <v>#REF!</v>
      </c>
      <c r="Y84" s="382" t="e">
        <f t="shared" si="14"/>
        <v>#REF!</v>
      </c>
      <c r="Z84" s="382"/>
      <c r="AA84" s="382"/>
      <c r="AB84" s="382"/>
      <c r="AC84" s="401"/>
      <c r="AD84" s="394" t="e">
        <f t="shared" si="29"/>
        <v>#REF!</v>
      </c>
      <c r="AE84" s="386" t="e">
        <f t="shared" si="0"/>
        <v>#REF!</v>
      </c>
      <c r="AF84" s="386" t="e">
        <f t="shared" si="15"/>
        <v>#REF!</v>
      </c>
      <c r="AG84" s="381" t="e">
        <f>IF(AS84&lt;=$J$7,AG83,0)</f>
        <v>#REF!</v>
      </c>
      <c r="AH84" s="393" t="e">
        <f t="shared" si="19"/>
        <v>#REF!</v>
      </c>
      <c r="AI84" s="393" t="e">
        <f t="shared" si="25"/>
        <v>#REF!</v>
      </c>
      <c r="AJ84" s="393" t="e">
        <f t="shared" si="26"/>
        <v>#REF!</v>
      </c>
      <c r="AK84" s="396" t="e">
        <f t="shared" si="30"/>
        <v>#REF!</v>
      </c>
      <c r="AL84" s="397" t="e">
        <f t="shared" si="27"/>
        <v>#REF!</v>
      </c>
      <c r="AM84" s="398" t="e">
        <f t="shared" si="28"/>
        <v>#REF!</v>
      </c>
      <c r="AN84" s="399" t="e">
        <f t="shared" si="32"/>
        <v>#REF!</v>
      </c>
      <c r="AO84" s="379" t="e">
        <f t="shared" si="10"/>
        <v>#REF!</v>
      </c>
      <c r="AP84" s="390">
        <f t="shared" si="38"/>
        <v>0</v>
      </c>
      <c r="AQ84" s="400" t="e">
        <f t="shared" si="35"/>
        <v>#REF!</v>
      </c>
      <c r="AR84" s="400" t="e">
        <f t="shared" si="36"/>
        <v>#REF!</v>
      </c>
      <c r="AS84" s="368">
        <f t="shared" si="33"/>
        <v>59</v>
      </c>
      <c r="AT84" s="80"/>
      <c r="AU84" s="392">
        <f t="shared" si="20"/>
        <v>59</v>
      </c>
      <c r="AV84" s="370" t="e">
        <f t="shared" si="45"/>
        <v>#REF!</v>
      </c>
      <c r="AW84" s="371" t="e">
        <f t="shared" si="3"/>
        <v>#REF!</v>
      </c>
      <c r="AX84" s="371" t="e">
        <f t="shared" si="4"/>
        <v>#REF!</v>
      </c>
      <c r="AY84" s="371" t="e">
        <f t="shared" si="4"/>
        <v>#REF!</v>
      </c>
      <c r="AZ84" s="371">
        <f t="shared" si="4"/>
        <v>0</v>
      </c>
      <c r="BA84" s="371">
        <f t="shared" si="4"/>
        <v>0</v>
      </c>
      <c r="BB84" s="371">
        <f t="shared" si="5"/>
        <v>0</v>
      </c>
      <c r="BC84" s="372" t="e">
        <f t="shared" si="6"/>
        <v>#REF!</v>
      </c>
      <c r="BD84" s="370" t="e">
        <f t="shared" si="7"/>
        <v>#REF!</v>
      </c>
      <c r="BE84" s="371" t="e">
        <f t="shared" si="8"/>
        <v>#REF!</v>
      </c>
      <c r="BF84" s="371" t="e">
        <f t="shared" si="16"/>
        <v>#REF!</v>
      </c>
      <c r="BG84" s="372" t="e">
        <f t="shared" si="9"/>
        <v>#REF!</v>
      </c>
      <c r="BH84" s="373" t="e">
        <f t="shared" si="11"/>
        <v>#REF!</v>
      </c>
      <c r="BI84" s="374" t="e">
        <f t="shared" si="12"/>
        <v>#REF!</v>
      </c>
      <c r="BJ84" s="375" t="e">
        <f t="shared" si="21"/>
        <v>#REF!</v>
      </c>
      <c r="BK84" s="376" t="e">
        <f t="shared" si="22"/>
        <v>#REF!</v>
      </c>
      <c r="BL84" s="376" t="e">
        <f t="shared" si="1"/>
        <v>#REF!</v>
      </c>
      <c r="CB84" s="80"/>
      <c r="CC84" s="80"/>
      <c r="CD84" s="80"/>
      <c r="CE84" s="80"/>
      <c r="CF84" s="80"/>
    </row>
    <row r="85" spans="2:84" ht="15.75" hidden="1" customHeight="1">
      <c r="B85" s="351">
        <f t="shared" si="23"/>
        <v>60</v>
      </c>
      <c r="C85" s="352">
        <f t="shared" si="17"/>
        <v>5</v>
      </c>
      <c r="D85" s="353" t="str">
        <f>IF($C84=12,$D$73+1,"             ")</f>
        <v xml:space="preserve">             </v>
      </c>
      <c r="E85" s="381"/>
      <c r="F85" s="393"/>
      <c r="G85" s="393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 t="e">
        <f t="shared" si="44"/>
        <v>#REF!</v>
      </c>
      <c r="S85" s="393" t="e">
        <f t="shared" si="41"/>
        <v>#REF!</v>
      </c>
      <c r="T85" s="393"/>
      <c r="U85" s="393"/>
      <c r="V85" s="393"/>
      <c r="W85" s="394" t="e">
        <f t="shared" si="2"/>
        <v>#REF!</v>
      </c>
      <c r="X85" s="384" t="e">
        <f t="shared" si="13"/>
        <v>#REF!</v>
      </c>
      <c r="Y85" s="382" t="e">
        <f t="shared" si="14"/>
        <v>#REF!</v>
      </c>
      <c r="Z85" s="393"/>
      <c r="AA85" s="393"/>
      <c r="AB85" s="393"/>
      <c r="AC85" s="429"/>
      <c r="AD85" s="394" t="e">
        <f t="shared" si="29"/>
        <v>#REF!</v>
      </c>
      <c r="AE85" s="386" t="e">
        <f t="shared" si="0"/>
        <v>#REF!</v>
      </c>
      <c r="AF85" s="386" t="e">
        <f t="shared" si="15"/>
        <v>#REF!</v>
      </c>
      <c r="AG85" s="381" t="e">
        <f t="shared" si="34"/>
        <v>#REF!</v>
      </c>
      <c r="AH85" s="393" t="e">
        <f t="shared" si="19"/>
        <v>#REF!</v>
      </c>
      <c r="AI85" s="393" t="e">
        <f t="shared" si="25"/>
        <v>#REF!</v>
      </c>
      <c r="AJ85" s="393" t="e">
        <f t="shared" si="26"/>
        <v>#REF!</v>
      </c>
      <c r="AK85" s="396" t="e">
        <f t="shared" si="30"/>
        <v>#REF!</v>
      </c>
      <c r="AL85" s="430" t="e">
        <f t="shared" si="27"/>
        <v>#REF!</v>
      </c>
      <c r="AM85" s="398" t="e">
        <f t="shared" si="28"/>
        <v>#REF!</v>
      </c>
      <c r="AN85" s="399" t="e">
        <f t="shared" si="32"/>
        <v>#REF!</v>
      </c>
      <c r="AO85" s="379" t="e">
        <f t="shared" si="10"/>
        <v>#REF!</v>
      </c>
      <c r="AP85" s="431">
        <f t="shared" si="38"/>
        <v>0</v>
      </c>
      <c r="AQ85" s="400" t="e">
        <f t="shared" si="35"/>
        <v>#REF!</v>
      </c>
      <c r="AR85" s="400" t="e">
        <f t="shared" si="36"/>
        <v>#REF!</v>
      </c>
      <c r="AS85" s="368">
        <f t="shared" si="33"/>
        <v>60</v>
      </c>
      <c r="AT85" s="80"/>
      <c r="AU85" s="392">
        <f t="shared" si="20"/>
        <v>60</v>
      </c>
      <c r="AV85" s="370" t="e">
        <f t="shared" si="45"/>
        <v>#REF!</v>
      </c>
      <c r="AW85" s="371" t="e">
        <f t="shared" si="3"/>
        <v>#REF!</v>
      </c>
      <c r="AX85" s="371" t="e">
        <f t="shared" si="4"/>
        <v>#REF!</v>
      </c>
      <c r="AY85" s="371" t="e">
        <f t="shared" si="4"/>
        <v>#REF!</v>
      </c>
      <c r="AZ85" s="371">
        <f t="shared" si="4"/>
        <v>0</v>
      </c>
      <c r="BA85" s="371">
        <f t="shared" si="4"/>
        <v>0</v>
      </c>
      <c r="BB85" s="371">
        <f t="shared" si="5"/>
        <v>0</v>
      </c>
      <c r="BC85" s="372" t="e">
        <f t="shared" si="6"/>
        <v>#REF!</v>
      </c>
      <c r="BD85" s="370" t="e">
        <f t="shared" si="7"/>
        <v>#REF!</v>
      </c>
      <c r="BE85" s="371" t="e">
        <f t="shared" si="8"/>
        <v>#REF!</v>
      </c>
      <c r="BF85" s="371" t="e">
        <f t="shared" si="16"/>
        <v>#REF!</v>
      </c>
      <c r="BG85" s="372" t="e">
        <f t="shared" si="9"/>
        <v>#REF!</v>
      </c>
      <c r="BH85" s="373" t="e">
        <f t="shared" si="11"/>
        <v>#REF!</v>
      </c>
      <c r="BI85" s="374" t="e">
        <f t="shared" si="12"/>
        <v>#REF!</v>
      </c>
      <c r="BJ85" s="375" t="e">
        <f t="shared" si="21"/>
        <v>#REF!</v>
      </c>
      <c r="BK85" s="376" t="e">
        <f t="shared" si="22"/>
        <v>#REF!</v>
      </c>
      <c r="BL85" s="376" t="e">
        <f t="shared" si="1"/>
        <v>#REF!</v>
      </c>
      <c r="CB85" s="80"/>
      <c r="CC85" s="80"/>
      <c r="CD85" s="80"/>
      <c r="CE85" s="80"/>
      <c r="CF85" s="80"/>
    </row>
    <row r="86" spans="2:84" ht="15.75" hidden="1" customHeight="1">
      <c r="B86" s="351">
        <f t="shared" si="23"/>
        <v>61</v>
      </c>
      <c r="C86" s="352">
        <f t="shared" si="17"/>
        <v>6</v>
      </c>
      <c r="D86" s="353" t="str">
        <f>IF($C85=12,$D$85+1,"             ")</f>
        <v xml:space="preserve">             </v>
      </c>
      <c r="E86" s="381"/>
      <c r="F86" s="382"/>
      <c r="G86" s="382"/>
      <c r="H86" s="382"/>
      <c r="I86" s="382"/>
      <c r="J86" s="382"/>
      <c r="K86" s="382"/>
      <c r="L86" s="382"/>
      <c r="M86" s="382"/>
      <c r="N86" s="382"/>
      <c r="O86" s="382"/>
      <c r="P86" s="382"/>
      <c r="Q86" s="382"/>
      <c r="R86" s="393" t="e">
        <f t="shared" si="44"/>
        <v>#REF!</v>
      </c>
      <c r="S86" s="382" t="e">
        <f t="shared" si="41"/>
        <v>#REF!</v>
      </c>
      <c r="T86" s="382"/>
      <c r="U86" s="382"/>
      <c r="V86" s="382"/>
      <c r="W86" s="394" t="e">
        <f>SUM(E86:V86)</f>
        <v>#REF!</v>
      </c>
      <c r="X86" s="384" t="e">
        <f t="shared" si="13"/>
        <v>#REF!</v>
      </c>
      <c r="Y86" s="382" t="e">
        <f t="shared" si="14"/>
        <v>#REF!</v>
      </c>
      <c r="Z86" s="382"/>
      <c r="AA86" s="382"/>
      <c r="AB86" s="382"/>
      <c r="AC86" s="401"/>
      <c r="AD86" s="394" t="e">
        <f t="shared" si="29"/>
        <v>#REF!</v>
      </c>
      <c r="AE86" s="386" t="e">
        <f>W86+AD86</f>
        <v>#REF!</v>
      </c>
      <c r="AF86" s="386" t="e">
        <f t="shared" si="15"/>
        <v>#REF!</v>
      </c>
      <c r="AG86" s="381" t="e">
        <f t="shared" si="34"/>
        <v>#REF!</v>
      </c>
      <c r="AH86" s="393" t="e">
        <f t="shared" si="19"/>
        <v>#REF!</v>
      </c>
      <c r="AI86" s="393" t="e">
        <f t="shared" si="25"/>
        <v>#REF!</v>
      </c>
      <c r="AJ86" s="393" t="e">
        <f t="shared" si="26"/>
        <v>#REF!</v>
      </c>
      <c r="AK86" s="396" t="e">
        <f t="shared" si="30"/>
        <v>#REF!</v>
      </c>
      <c r="AL86" s="430" t="e">
        <f t="shared" si="27"/>
        <v>#REF!</v>
      </c>
      <c r="AM86" s="398" t="e">
        <f t="shared" si="28"/>
        <v>#REF!</v>
      </c>
      <c r="AN86" s="399" t="e">
        <f t="shared" si="32"/>
        <v>#REF!</v>
      </c>
      <c r="AO86" s="379" t="e">
        <f t="shared" si="10"/>
        <v>#REF!</v>
      </c>
      <c r="AP86" s="431">
        <f t="shared" si="38"/>
        <v>0</v>
      </c>
      <c r="AQ86" s="400" t="e">
        <f t="shared" si="35"/>
        <v>#REF!</v>
      </c>
      <c r="AR86" s="400" t="e">
        <f t="shared" si="36"/>
        <v>#REF!</v>
      </c>
      <c r="AS86" s="368">
        <f t="shared" si="33"/>
        <v>61</v>
      </c>
      <c r="AT86" s="80"/>
      <c r="AU86" s="392">
        <f t="shared" si="20"/>
        <v>61</v>
      </c>
      <c r="AV86" s="370" t="e">
        <f t="shared" si="45"/>
        <v>#REF!</v>
      </c>
      <c r="AW86" s="371" t="e">
        <f t="shared" si="3"/>
        <v>#REF!</v>
      </c>
      <c r="AX86" s="371" t="e">
        <f t="shared" si="4"/>
        <v>#REF!</v>
      </c>
      <c r="AY86" s="371" t="e">
        <f t="shared" si="4"/>
        <v>#REF!</v>
      </c>
      <c r="AZ86" s="371">
        <f t="shared" si="4"/>
        <v>0</v>
      </c>
      <c r="BA86" s="371">
        <f>AA86</f>
        <v>0</v>
      </c>
      <c r="BB86" s="371">
        <f t="shared" si="5"/>
        <v>0</v>
      </c>
      <c r="BC86" s="372" t="e">
        <f t="shared" si="6"/>
        <v>#REF!</v>
      </c>
      <c r="BD86" s="370" t="e">
        <f t="shared" si="7"/>
        <v>#REF!</v>
      </c>
      <c r="BE86" s="371" t="e">
        <f t="shared" si="8"/>
        <v>#REF!</v>
      </c>
      <c r="BF86" s="371" t="e">
        <f t="shared" si="16"/>
        <v>#REF!</v>
      </c>
      <c r="BG86" s="372" t="e">
        <f t="shared" si="9"/>
        <v>#REF!</v>
      </c>
      <c r="BH86" s="373" t="e">
        <f t="shared" si="11"/>
        <v>#REF!</v>
      </c>
      <c r="BI86" s="374" t="e">
        <f t="shared" si="12"/>
        <v>#REF!</v>
      </c>
      <c r="BJ86" s="375" t="e">
        <f t="shared" si="21"/>
        <v>#REF!</v>
      </c>
      <c r="BK86" s="376" t="e">
        <f t="shared" si="22"/>
        <v>#REF!</v>
      </c>
      <c r="BL86" s="376" t="e">
        <f>$BK86*$G$14*1/12</f>
        <v>#REF!</v>
      </c>
      <c r="CB86" s="80"/>
      <c r="CC86" s="80"/>
      <c r="CD86" s="80"/>
      <c r="CE86" s="80"/>
      <c r="CF86" s="80"/>
    </row>
    <row r="87" spans="2:84" ht="15.75" hidden="1" customHeight="1">
      <c r="B87" s="351">
        <f t="shared" si="23"/>
        <v>62</v>
      </c>
      <c r="C87" s="352">
        <f t="shared" si="17"/>
        <v>7</v>
      </c>
      <c r="D87" s="353" t="str">
        <f>IF($C86=12,$D$85+1,"             ")</f>
        <v xml:space="preserve">             </v>
      </c>
      <c r="E87" s="384"/>
      <c r="F87" s="382"/>
      <c r="G87" s="382"/>
      <c r="H87" s="382"/>
      <c r="I87" s="382"/>
      <c r="J87" s="382"/>
      <c r="K87" s="382"/>
      <c r="L87" s="382"/>
      <c r="M87" s="382"/>
      <c r="N87" s="382"/>
      <c r="O87" s="382"/>
      <c r="P87" s="382"/>
      <c r="Q87" s="382"/>
      <c r="R87" s="393" t="e">
        <f t="shared" si="44"/>
        <v>#REF!</v>
      </c>
      <c r="S87" s="393" t="e">
        <f t="shared" si="41"/>
        <v>#REF!</v>
      </c>
      <c r="T87" s="382"/>
      <c r="U87" s="382"/>
      <c r="V87" s="382"/>
      <c r="W87" s="394" t="e">
        <f>SUM(E87:V87)</f>
        <v>#REF!</v>
      </c>
      <c r="X87" s="384" t="e">
        <f t="shared" si="13"/>
        <v>#REF!</v>
      </c>
      <c r="Y87" s="382" t="e">
        <f t="shared" si="14"/>
        <v>#REF!</v>
      </c>
      <c r="Z87" s="382"/>
      <c r="AA87" s="382"/>
      <c r="AB87" s="382"/>
      <c r="AC87" s="401"/>
      <c r="AD87" s="394" t="e">
        <f t="shared" si="29"/>
        <v>#REF!</v>
      </c>
      <c r="AE87" s="386" t="e">
        <f>W87+AD87</f>
        <v>#REF!</v>
      </c>
      <c r="AF87" s="386" t="e">
        <f t="shared" si="15"/>
        <v>#REF!</v>
      </c>
      <c r="AG87" s="381" t="e">
        <f t="shared" si="34"/>
        <v>#REF!</v>
      </c>
      <c r="AH87" s="393" t="e">
        <f t="shared" si="19"/>
        <v>#REF!</v>
      </c>
      <c r="AI87" s="393" t="e">
        <f t="shared" si="25"/>
        <v>#REF!</v>
      </c>
      <c r="AJ87" s="393" t="e">
        <f t="shared" si="26"/>
        <v>#REF!</v>
      </c>
      <c r="AK87" s="396" t="e">
        <f t="shared" si="30"/>
        <v>#REF!</v>
      </c>
      <c r="AL87" s="430" t="e">
        <f t="shared" si="27"/>
        <v>#REF!</v>
      </c>
      <c r="AM87" s="398" t="e">
        <f t="shared" si="28"/>
        <v>#REF!</v>
      </c>
      <c r="AN87" s="399" t="e">
        <f t="shared" si="32"/>
        <v>#REF!</v>
      </c>
      <c r="AO87" s="379" t="e">
        <f t="shared" si="10"/>
        <v>#REF!</v>
      </c>
      <c r="AP87" s="431">
        <f>IF($C87=3,SUM(AK73:AK85),0)*-1</f>
        <v>0</v>
      </c>
      <c r="AQ87" s="400" t="e">
        <f t="shared" si="35"/>
        <v>#REF!</v>
      </c>
      <c r="AR87" s="400" t="e">
        <f t="shared" si="36"/>
        <v>#REF!</v>
      </c>
      <c r="AS87" s="368">
        <f t="shared" si="33"/>
        <v>62</v>
      </c>
      <c r="AT87" s="80"/>
      <c r="AU87" s="392">
        <f t="shared" si="20"/>
        <v>62</v>
      </c>
      <c r="AV87" s="370" t="e">
        <f t="shared" si="45"/>
        <v>#REF!</v>
      </c>
      <c r="AW87" s="371" t="e">
        <f>AJ87</f>
        <v>#REF!</v>
      </c>
      <c r="AX87" s="371" t="e">
        <f t="shared" ref="AX87:BA90" si="46">X87</f>
        <v>#REF!</v>
      </c>
      <c r="AY87" s="371" t="e">
        <f t="shared" si="46"/>
        <v>#REF!</v>
      </c>
      <c r="AZ87" s="371">
        <f t="shared" si="46"/>
        <v>0</v>
      </c>
      <c r="BA87" s="371">
        <f t="shared" si="46"/>
        <v>0</v>
      </c>
      <c r="BB87" s="371">
        <f>AP87</f>
        <v>0</v>
      </c>
      <c r="BC87" s="372" t="e">
        <f>AV87+AW87+AX87+AY87+AZ87+BA87+BB87</f>
        <v>#REF!</v>
      </c>
      <c r="BD87" s="370" t="e">
        <f>W87</f>
        <v>#REF!</v>
      </c>
      <c r="BE87" s="371" t="e">
        <f>AN87</f>
        <v>#REF!</v>
      </c>
      <c r="BF87" s="371" t="e">
        <f t="shared" si="16"/>
        <v>#REF!</v>
      </c>
      <c r="BG87" s="372" t="e">
        <f>BD87+BE87+BF87</f>
        <v>#REF!</v>
      </c>
      <c r="BH87" s="373" t="e">
        <f>BC87+BG87</f>
        <v>#REF!</v>
      </c>
      <c r="BI87" s="374" t="e">
        <f t="shared" si="12"/>
        <v>#REF!</v>
      </c>
      <c r="BJ87" s="375" t="e">
        <f t="shared" si="21"/>
        <v>#REF!</v>
      </c>
      <c r="BK87" s="376" t="e">
        <f t="shared" si="22"/>
        <v>#REF!</v>
      </c>
      <c r="BL87" s="376" t="e">
        <f>$BK87*$G$14*1/12</f>
        <v>#REF!</v>
      </c>
      <c r="CB87" s="80"/>
      <c r="CC87" s="80"/>
      <c r="CD87" s="80"/>
      <c r="CE87" s="80"/>
      <c r="CF87" s="80"/>
    </row>
    <row r="88" spans="2:84" ht="15.75" hidden="1" customHeight="1">
      <c r="B88" s="351">
        <f t="shared" si="23"/>
        <v>63</v>
      </c>
      <c r="C88" s="352">
        <f t="shared" si="17"/>
        <v>8</v>
      </c>
      <c r="D88" s="353" t="str">
        <f>IF($C87=12,$D$85+1,"             ")</f>
        <v xml:space="preserve">             </v>
      </c>
      <c r="E88" s="384"/>
      <c r="F88" s="382"/>
      <c r="G88" s="382"/>
      <c r="H88" s="382"/>
      <c r="I88" s="382"/>
      <c r="J88" s="382"/>
      <c r="K88" s="382"/>
      <c r="L88" s="382"/>
      <c r="M88" s="382"/>
      <c r="N88" s="382"/>
      <c r="O88" s="382"/>
      <c r="P88" s="382"/>
      <c r="Q88" s="382"/>
      <c r="R88" s="393" t="e">
        <f t="shared" si="44"/>
        <v>#REF!</v>
      </c>
      <c r="S88" s="393" t="e">
        <f t="shared" si="41"/>
        <v>#REF!</v>
      </c>
      <c r="T88" s="382"/>
      <c r="U88" s="382"/>
      <c r="V88" s="382"/>
      <c r="W88" s="394" t="e">
        <f>SUM(E88:V88)</f>
        <v>#REF!</v>
      </c>
      <c r="X88" s="384" t="e">
        <f t="shared" si="13"/>
        <v>#REF!</v>
      </c>
      <c r="Y88" s="382" t="e">
        <f t="shared" si="14"/>
        <v>#REF!</v>
      </c>
      <c r="Z88" s="382"/>
      <c r="AA88" s="382"/>
      <c r="AB88" s="382"/>
      <c r="AC88" s="401"/>
      <c r="AD88" s="394" t="e">
        <f t="shared" si="29"/>
        <v>#REF!</v>
      </c>
      <c r="AE88" s="386" t="e">
        <f>W88+AD88</f>
        <v>#REF!</v>
      </c>
      <c r="AF88" s="386" t="e">
        <f t="shared" si="15"/>
        <v>#REF!</v>
      </c>
      <c r="AG88" s="381" t="e">
        <f t="shared" si="34"/>
        <v>#REF!</v>
      </c>
      <c r="AH88" s="393" t="e">
        <f t="shared" si="19"/>
        <v>#REF!</v>
      </c>
      <c r="AI88" s="393" t="e">
        <f t="shared" si="25"/>
        <v>#REF!</v>
      </c>
      <c r="AJ88" s="393" t="e">
        <f t="shared" si="26"/>
        <v>#REF!</v>
      </c>
      <c r="AK88" s="396" t="e">
        <f t="shared" si="30"/>
        <v>#REF!</v>
      </c>
      <c r="AL88" s="430" t="e">
        <f t="shared" si="27"/>
        <v>#REF!</v>
      </c>
      <c r="AM88" s="398" t="e">
        <f t="shared" si="28"/>
        <v>#REF!</v>
      </c>
      <c r="AN88" s="399" t="e">
        <f t="shared" si="32"/>
        <v>#REF!</v>
      </c>
      <c r="AO88" s="379" t="e">
        <f>IF(($AL88+$AO87+$AM88)&lt;0,($AL88+$AO87+$AM88),0)</f>
        <v>#REF!</v>
      </c>
      <c r="AP88" s="431">
        <f t="shared" si="38"/>
        <v>0</v>
      </c>
      <c r="AQ88" s="400" t="e">
        <f t="shared" si="35"/>
        <v>#REF!</v>
      </c>
      <c r="AR88" s="400" t="e">
        <f t="shared" si="36"/>
        <v>#REF!</v>
      </c>
      <c r="AS88" s="368">
        <f t="shared" si="33"/>
        <v>63</v>
      </c>
      <c r="AT88" s="80"/>
      <c r="AU88" s="392">
        <f t="shared" si="20"/>
        <v>63</v>
      </c>
      <c r="AV88" s="370" t="e">
        <f t="shared" si="45"/>
        <v>#REF!</v>
      </c>
      <c r="AW88" s="371" t="e">
        <f>AJ88</f>
        <v>#REF!</v>
      </c>
      <c r="AX88" s="371" t="e">
        <f t="shared" si="46"/>
        <v>#REF!</v>
      </c>
      <c r="AY88" s="371" t="e">
        <f t="shared" si="46"/>
        <v>#REF!</v>
      </c>
      <c r="AZ88" s="371">
        <f t="shared" si="46"/>
        <v>0</v>
      </c>
      <c r="BA88" s="371">
        <f t="shared" si="46"/>
        <v>0</v>
      </c>
      <c r="BB88" s="371">
        <f>AP88</f>
        <v>0</v>
      </c>
      <c r="BC88" s="372" t="e">
        <f>AV88+AW88+AX88+AY88+AZ88+BA88+BB88</f>
        <v>#REF!</v>
      </c>
      <c r="BD88" s="370" t="e">
        <f>W88</f>
        <v>#REF!</v>
      </c>
      <c r="BE88" s="371" t="e">
        <f>AN88</f>
        <v>#REF!</v>
      </c>
      <c r="BF88" s="371" t="e">
        <f t="shared" si="16"/>
        <v>#REF!</v>
      </c>
      <c r="BG88" s="372" t="e">
        <f>BD88+BE88+BF88</f>
        <v>#REF!</v>
      </c>
      <c r="BH88" s="373" t="e">
        <f>BC88+BG88</f>
        <v>#REF!</v>
      </c>
      <c r="BI88" s="374" t="e">
        <f>BJ87</f>
        <v>#REF!</v>
      </c>
      <c r="BJ88" s="375" t="e">
        <f>BH88+BI88</f>
        <v>#REF!</v>
      </c>
      <c r="BK88" s="376" t="e">
        <f>IF($BJ88&lt;0,$BJ88*-1,0)</f>
        <v>#REF!</v>
      </c>
      <c r="BL88" s="376" t="e">
        <f>$BK88*$G$14*1/12</f>
        <v>#REF!</v>
      </c>
      <c r="CB88" s="80"/>
      <c r="CC88" s="80"/>
      <c r="CD88" s="80"/>
      <c r="CE88" s="80"/>
      <c r="CF88" s="80"/>
    </row>
    <row r="89" spans="2:84" ht="15.75" hidden="1" customHeight="1">
      <c r="B89" s="351">
        <f t="shared" si="23"/>
        <v>64</v>
      </c>
      <c r="C89" s="352">
        <f t="shared" si="17"/>
        <v>9</v>
      </c>
      <c r="D89" s="353" t="str">
        <f>IF($C88=12,$D$85+1,"             ")</f>
        <v xml:space="preserve">             </v>
      </c>
      <c r="E89" s="384"/>
      <c r="F89" s="382"/>
      <c r="G89" s="382"/>
      <c r="H89" s="382"/>
      <c r="I89" s="382"/>
      <c r="J89" s="382"/>
      <c r="K89" s="382"/>
      <c r="L89" s="382"/>
      <c r="M89" s="382"/>
      <c r="N89" s="382"/>
      <c r="O89" s="382"/>
      <c r="P89" s="382"/>
      <c r="Q89" s="382"/>
      <c r="R89" s="393" t="e">
        <f t="shared" si="44"/>
        <v>#REF!</v>
      </c>
      <c r="S89" s="393" t="e">
        <f t="shared" si="41"/>
        <v>#REF!</v>
      </c>
      <c r="T89" s="382"/>
      <c r="U89" s="382"/>
      <c r="V89" s="382"/>
      <c r="W89" s="394" t="e">
        <f>SUM(E89:V89)</f>
        <v>#REF!</v>
      </c>
      <c r="X89" s="384" t="e">
        <f>IF($AS89=$J$7+1,$O$14,0)</f>
        <v>#REF!</v>
      </c>
      <c r="Y89" s="382" t="e">
        <f>IF($AS89=$J$7+1,$O$15,0)</f>
        <v>#REF!</v>
      </c>
      <c r="Z89" s="382"/>
      <c r="AA89" s="382"/>
      <c r="AB89" s="382"/>
      <c r="AC89" s="401"/>
      <c r="AD89" s="394" t="e">
        <f t="shared" si="29"/>
        <v>#REF!</v>
      </c>
      <c r="AE89" s="386" t="e">
        <f>W89+AD89</f>
        <v>#REF!</v>
      </c>
      <c r="AF89" s="386" t="e">
        <f>PV($G$14/12,$B89,0,$AE89*-1,0)</f>
        <v>#REF!</v>
      </c>
      <c r="AG89" s="381" t="e">
        <f t="shared" si="34"/>
        <v>#REF!</v>
      </c>
      <c r="AH89" s="393" t="e">
        <f t="shared" si="19"/>
        <v>#REF!</v>
      </c>
      <c r="AI89" s="393" t="e">
        <f t="shared" si="25"/>
        <v>#REF!</v>
      </c>
      <c r="AJ89" s="393" t="e">
        <f t="shared" si="26"/>
        <v>#REF!</v>
      </c>
      <c r="AK89" s="396" t="e">
        <f t="shared" si="30"/>
        <v>#REF!</v>
      </c>
      <c r="AL89" s="430" t="e">
        <f t="shared" si="27"/>
        <v>#REF!</v>
      </c>
      <c r="AM89" s="398" t="e">
        <f t="shared" si="28"/>
        <v>#REF!</v>
      </c>
      <c r="AN89" s="399" t="e">
        <f t="shared" si="32"/>
        <v>#REF!</v>
      </c>
      <c r="AO89" s="379" t="e">
        <f>IF(($AL89+$AO88+$AM89)&lt;0,($AL89+$AO88+$AM89),0)</f>
        <v>#REF!</v>
      </c>
      <c r="AP89" s="431">
        <f t="shared" si="38"/>
        <v>0</v>
      </c>
      <c r="AQ89" s="400" t="e">
        <f t="shared" si="35"/>
        <v>#REF!</v>
      </c>
      <c r="AR89" s="400" t="e">
        <f t="shared" si="36"/>
        <v>#REF!</v>
      </c>
      <c r="AS89" s="368">
        <f t="shared" si="33"/>
        <v>64</v>
      </c>
      <c r="AT89" s="80"/>
      <c r="AU89" s="392">
        <f t="shared" si="20"/>
        <v>64</v>
      </c>
      <c r="AV89" s="370" t="e">
        <f t="shared" si="45"/>
        <v>#REF!</v>
      </c>
      <c r="AW89" s="371" t="e">
        <f>AJ89</f>
        <v>#REF!</v>
      </c>
      <c r="AX89" s="371" t="e">
        <f t="shared" si="46"/>
        <v>#REF!</v>
      </c>
      <c r="AY89" s="371" t="e">
        <f t="shared" si="46"/>
        <v>#REF!</v>
      </c>
      <c r="AZ89" s="371">
        <f t="shared" si="46"/>
        <v>0</v>
      </c>
      <c r="BA89" s="371">
        <f t="shared" si="46"/>
        <v>0</v>
      </c>
      <c r="BB89" s="371">
        <f>AP89</f>
        <v>0</v>
      </c>
      <c r="BC89" s="372" t="e">
        <f>AV89+AW89+AX89+AY89+AZ89+BA89+BB89</f>
        <v>#REF!</v>
      </c>
      <c r="BD89" s="370" t="e">
        <f>W89</f>
        <v>#REF!</v>
      </c>
      <c r="BE89" s="371" t="e">
        <f>AN89</f>
        <v>#REF!</v>
      </c>
      <c r="BF89" s="371" t="e">
        <f>BL88*-1</f>
        <v>#REF!</v>
      </c>
      <c r="BG89" s="372" t="e">
        <f>BD89+BE89+BF89</f>
        <v>#REF!</v>
      </c>
      <c r="BH89" s="373" t="e">
        <f>BC89+BG89</f>
        <v>#REF!</v>
      </c>
      <c r="BI89" s="374" t="e">
        <f>BJ88</f>
        <v>#REF!</v>
      </c>
      <c r="BJ89" s="375" t="e">
        <f>BH89+BI89</f>
        <v>#REF!</v>
      </c>
      <c r="BK89" s="376" t="e">
        <f>IF($BJ89&lt;0,$BJ89*-1,0)</f>
        <v>#REF!</v>
      </c>
      <c r="BL89" s="376" t="e">
        <f>$BK89*$G$14*1/12</f>
        <v>#REF!</v>
      </c>
      <c r="CB89" s="80"/>
      <c r="CC89" s="80"/>
      <c r="CD89" s="80"/>
      <c r="CE89" s="80"/>
      <c r="CF89" s="80"/>
    </row>
    <row r="90" spans="2:84" ht="15.75" hidden="1" customHeight="1">
      <c r="B90" s="351">
        <f t="shared" si="23"/>
        <v>65</v>
      </c>
      <c r="C90" s="352">
        <f>IF($C89=12,1,$C89+1)</f>
        <v>10</v>
      </c>
      <c r="D90" s="353" t="str">
        <f>IF($C89=12,$D$85+1,"             ")</f>
        <v xml:space="preserve">             </v>
      </c>
      <c r="E90" s="432"/>
      <c r="F90" s="433"/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  <c r="R90" s="393" t="e">
        <f t="shared" si="44"/>
        <v>#REF!</v>
      </c>
      <c r="S90" s="433" t="e">
        <f t="shared" si="41"/>
        <v>#REF!</v>
      </c>
      <c r="T90" s="433"/>
      <c r="U90" s="433"/>
      <c r="V90" s="433"/>
      <c r="W90" s="434" t="e">
        <f>SUM(E90:V90)</f>
        <v>#REF!</v>
      </c>
      <c r="X90" s="384" t="e">
        <f>IF($AS90=$J$7+1,$O$14,0)</f>
        <v>#REF!</v>
      </c>
      <c r="Y90" s="382" t="e">
        <f>IF($AS90=$J$7+1,$O$15,0)</f>
        <v>#REF!</v>
      </c>
      <c r="Z90" s="435"/>
      <c r="AA90" s="435"/>
      <c r="AB90" s="435"/>
      <c r="AC90" s="436"/>
      <c r="AD90" s="437" t="e">
        <f t="shared" si="29"/>
        <v>#REF!</v>
      </c>
      <c r="AE90" s="438" t="e">
        <f>W90+AD90</f>
        <v>#REF!</v>
      </c>
      <c r="AF90" s="438" t="e">
        <f>PV($G$14/12,$B90,0,$AE90*-1,0)</f>
        <v>#REF!</v>
      </c>
      <c r="AG90" s="381" t="e">
        <f t="shared" si="34"/>
        <v>#REF!</v>
      </c>
      <c r="AH90" s="393" t="e">
        <f>IF($AS90&lt;=$J$7,$V$10,0)</f>
        <v>#REF!</v>
      </c>
      <c r="AI90" s="439" t="e">
        <f t="shared" si="25"/>
        <v>#REF!</v>
      </c>
      <c r="AJ90" s="439" t="e">
        <f t="shared" si="26"/>
        <v>#REF!</v>
      </c>
      <c r="AK90" s="440" t="e">
        <f t="shared" si="30"/>
        <v>#REF!</v>
      </c>
      <c r="AL90" s="441" t="e">
        <f t="shared" si="27"/>
        <v>#REF!</v>
      </c>
      <c r="AM90" s="442" t="e">
        <f>($F90*$O$12)+($H90*$R$14)+($J90*$R$14)+($N90*$R$14)+($S90*$W$14)</f>
        <v>#REF!</v>
      </c>
      <c r="AN90" s="443" t="e">
        <f t="shared" si="32"/>
        <v>#REF!</v>
      </c>
      <c r="AO90" s="444" t="e">
        <f>IF(($AL90+$AO89+$AM90)&lt;0,($AL90+$AO89+$AM90),0)</f>
        <v>#REF!</v>
      </c>
      <c r="AP90" s="445">
        <f t="shared" si="38"/>
        <v>0</v>
      </c>
      <c r="AQ90" s="400" t="e">
        <f t="shared" si="35"/>
        <v>#REF!</v>
      </c>
      <c r="AR90" s="446" t="e">
        <f t="shared" si="36"/>
        <v>#REF!</v>
      </c>
      <c r="AS90" s="368">
        <f t="shared" si="33"/>
        <v>65</v>
      </c>
      <c r="AT90" s="80"/>
      <c r="AU90" s="447">
        <f>B90</f>
        <v>65</v>
      </c>
      <c r="AV90" s="448" t="e">
        <f t="shared" si="45"/>
        <v>#REF!</v>
      </c>
      <c r="AW90" s="449" t="e">
        <f>AJ90</f>
        <v>#REF!</v>
      </c>
      <c r="AX90" s="449" t="e">
        <f t="shared" si="46"/>
        <v>#REF!</v>
      </c>
      <c r="AY90" s="449" t="e">
        <f t="shared" si="46"/>
        <v>#REF!</v>
      </c>
      <c r="AZ90" s="449">
        <f t="shared" si="46"/>
        <v>0</v>
      </c>
      <c r="BA90" s="449">
        <f t="shared" si="46"/>
        <v>0</v>
      </c>
      <c r="BB90" s="449">
        <f>AP90</f>
        <v>0</v>
      </c>
      <c r="BC90" s="450" t="e">
        <f>AV90+AW90+AX90+AY90+AZ90+BA90+BB90</f>
        <v>#REF!</v>
      </c>
      <c r="BD90" s="448" t="e">
        <f>W90</f>
        <v>#REF!</v>
      </c>
      <c r="BE90" s="449" t="e">
        <f>AN90</f>
        <v>#REF!</v>
      </c>
      <c r="BF90" s="449" t="e">
        <f>BL89*-1</f>
        <v>#REF!</v>
      </c>
      <c r="BG90" s="450" t="e">
        <f>BD90+BE90+BF90</f>
        <v>#REF!</v>
      </c>
      <c r="BH90" s="451" t="e">
        <f>BC90+BG90</f>
        <v>#REF!</v>
      </c>
      <c r="BI90" s="452" t="e">
        <f>BJ89</f>
        <v>#REF!</v>
      </c>
      <c r="BJ90" s="453" t="e">
        <f>BH90+BI90</f>
        <v>#REF!</v>
      </c>
      <c r="BK90" s="454" t="e">
        <f>IF($BJ90&lt;0,$BJ90*-1,0)</f>
        <v>#REF!</v>
      </c>
      <c r="BL90" s="454" t="e">
        <f>$BK90*$G$14*1/12</f>
        <v>#REF!</v>
      </c>
      <c r="CB90" s="80"/>
      <c r="CC90" s="80"/>
      <c r="CD90" s="80"/>
      <c r="CE90" s="80"/>
      <c r="CF90" s="80"/>
    </row>
    <row r="91" spans="2:84" s="480" customFormat="1" ht="20.100000000000001" customHeight="1" thickTop="1" thickBot="1">
      <c r="B91" s="455"/>
      <c r="C91" s="456"/>
      <c r="D91" s="457"/>
      <c r="E91" s="458">
        <f t="shared" ref="E91:AN91" si="47">SUM(E22:E90)</f>
        <v>-272727273</v>
      </c>
      <c r="F91" s="459">
        <f t="shared" si="47"/>
        <v>0</v>
      </c>
      <c r="G91" s="460">
        <f t="shared" si="47"/>
        <v>-45454545</v>
      </c>
      <c r="H91" s="460">
        <f t="shared" si="47"/>
        <v>0</v>
      </c>
      <c r="I91" s="460">
        <f t="shared" si="47"/>
        <v>0</v>
      </c>
      <c r="J91" s="460">
        <f t="shared" si="47"/>
        <v>0</v>
      </c>
      <c r="K91" s="460"/>
      <c r="L91" s="460"/>
      <c r="M91" s="460">
        <f t="shared" si="47"/>
        <v>0</v>
      </c>
      <c r="N91" s="460">
        <f t="shared" si="47"/>
        <v>0</v>
      </c>
      <c r="O91" s="459">
        <f t="shared" si="47"/>
        <v>-30000000</v>
      </c>
      <c r="P91" s="461">
        <f t="shared" si="47"/>
        <v>-26249999.985000003</v>
      </c>
      <c r="Q91" s="459">
        <f t="shared" si="47"/>
        <v>0</v>
      </c>
      <c r="R91" s="459" t="e">
        <f t="shared" si="47"/>
        <v>#REF!</v>
      </c>
      <c r="S91" s="459" t="e">
        <f>SUM(S26:S90)</f>
        <v>#REF!</v>
      </c>
      <c r="T91" s="459">
        <f t="shared" si="47"/>
        <v>-1103712.6256319333</v>
      </c>
      <c r="U91" s="459">
        <f t="shared" si="47"/>
        <v>0</v>
      </c>
      <c r="V91" s="459">
        <f t="shared" si="47"/>
        <v>0</v>
      </c>
      <c r="W91" s="462" t="e">
        <f t="shared" si="47"/>
        <v>#REF!</v>
      </c>
      <c r="X91" s="463" t="e">
        <f t="shared" si="47"/>
        <v>#REF!</v>
      </c>
      <c r="Y91" s="464" t="e">
        <f t="shared" si="47"/>
        <v>#REF!</v>
      </c>
      <c r="Z91" s="464">
        <f t="shared" si="47"/>
        <v>0</v>
      </c>
      <c r="AA91" s="464">
        <f t="shared" si="47"/>
        <v>0</v>
      </c>
      <c r="AB91" s="464">
        <f t="shared" si="47"/>
        <v>0</v>
      </c>
      <c r="AC91" s="465">
        <f>SUM(AC22:AC75)</f>
        <v>6562499.9962500008</v>
      </c>
      <c r="AD91" s="466" t="e">
        <f>SUM(AD22:AD90)</f>
        <v>#REF!</v>
      </c>
      <c r="AE91" s="467" t="e">
        <f t="shared" si="47"/>
        <v>#REF!</v>
      </c>
      <c r="AF91" s="468" t="e">
        <f>SUM(AF22:AF90)</f>
        <v>#REF!</v>
      </c>
      <c r="AG91" s="469" t="e">
        <f t="shared" si="47"/>
        <v>#REF!</v>
      </c>
      <c r="AH91" s="470" t="e">
        <f t="shared" si="47"/>
        <v>#REF!</v>
      </c>
      <c r="AI91" s="470" t="e">
        <f t="shared" si="47"/>
        <v>#REF!</v>
      </c>
      <c r="AJ91" s="470" t="e">
        <f t="shared" si="47"/>
        <v>#REF!</v>
      </c>
      <c r="AK91" s="471" t="e">
        <f t="shared" si="47"/>
        <v>#REF!</v>
      </c>
      <c r="AL91" s="472" t="e">
        <f t="shared" si="47"/>
        <v>#REF!</v>
      </c>
      <c r="AM91" s="473" t="e">
        <f>SUM(AM22:AM90)</f>
        <v>#REF!</v>
      </c>
      <c r="AN91" s="474" t="e">
        <f t="shared" si="47"/>
        <v>#REF!</v>
      </c>
      <c r="AO91" s="475"/>
      <c r="AP91" s="476" t="e">
        <f>SUM(AP22:AP90)</f>
        <v>#REF!</v>
      </c>
      <c r="AQ91" s="477" t="e">
        <f>SUM(AQ22:AQ90)</f>
        <v>#REF!</v>
      </c>
      <c r="AR91" s="478" t="e">
        <f>SUM(AR22:AR90)</f>
        <v>#REF!</v>
      </c>
      <c r="AS91" s="479"/>
      <c r="AU91" s="481"/>
      <c r="AV91" s="482" t="e">
        <f>SUM(AV22:AV90)</f>
        <v>#REF!</v>
      </c>
      <c r="AW91" s="483" t="e">
        <f>SUM(AW22:AW90)</f>
        <v>#REF!</v>
      </c>
      <c r="AX91" s="483" t="e">
        <f t="shared" ref="AX91:BE91" si="48">SUM(AX22:AX90)</f>
        <v>#REF!</v>
      </c>
      <c r="AY91" s="483" t="e">
        <f t="shared" si="48"/>
        <v>#REF!</v>
      </c>
      <c r="AZ91" s="483">
        <f t="shared" si="48"/>
        <v>0</v>
      </c>
      <c r="BA91" s="483">
        <f t="shared" si="48"/>
        <v>0</v>
      </c>
      <c r="BB91" s="483" t="e">
        <f t="shared" si="48"/>
        <v>#REF!</v>
      </c>
      <c r="BC91" s="484" t="e">
        <f t="shared" si="48"/>
        <v>#REF!</v>
      </c>
      <c r="BD91" s="482" t="e">
        <f t="shared" si="48"/>
        <v>#REF!</v>
      </c>
      <c r="BE91" s="483" t="e">
        <f t="shared" si="48"/>
        <v>#REF!</v>
      </c>
      <c r="BF91" s="485" t="e">
        <f t="shared" ref="BF91:BH91" si="49">SUM(BF22:BF61)</f>
        <v>#REF!</v>
      </c>
      <c r="BG91" s="485" t="e">
        <f t="shared" si="49"/>
        <v>#REF!</v>
      </c>
      <c r="BH91" s="485" t="e">
        <f t="shared" si="49"/>
        <v>#REF!</v>
      </c>
      <c r="BI91" s="483"/>
      <c r="BJ91" s="484"/>
      <c r="BK91" s="485" t="e">
        <f>SUM(BK22:BK90)</f>
        <v>#REF!</v>
      </c>
      <c r="BL91" s="485" t="e">
        <f>SUM(BL22:BL62)</f>
        <v>#REF!</v>
      </c>
    </row>
    <row r="92" spans="2:84" s="491" customFormat="1" ht="22.5" customHeight="1" thickTop="1">
      <c r="B92" s="486"/>
      <c r="C92" s="487"/>
      <c r="D92" s="486"/>
      <c r="E92" s="488"/>
      <c r="F92" s="488"/>
      <c r="G92" s="488"/>
      <c r="H92" s="488"/>
      <c r="I92" s="488"/>
      <c r="J92" s="488"/>
      <c r="K92" s="488"/>
      <c r="L92" s="488"/>
      <c r="M92" s="488"/>
      <c r="N92" s="488"/>
      <c r="O92" s="488"/>
      <c r="P92" s="488"/>
      <c r="Q92" s="488"/>
      <c r="R92" s="488"/>
      <c r="S92" s="488"/>
      <c r="T92" s="488"/>
      <c r="U92" s="488"/>
      <c r="V92" s="488"/>
      <c r="W92" s="488"/>
      <c r="X92" s="488"/>
      <c r="Y92" s="488"/>
      <c r="Z92" s="488"/>
      <c r="AA92" s="488"/>
      <c r="AB92" s="488"/>
      <c r="AC92" s="488"/>
      <c r="AD92" s="489"/>
      <c r="AE92" s="489"/>
      <c r="AF92" s="489" t="e">
        <f>'①Tidak termasuk VAT TAX'!AI91-'OPL - VAT'!AF91</f>
        <v>#REF!</v>
      </c>
      <c r="AG92" s="489" t="e">
        <f>AG91-'①Tidak termasuk VAT TAX'!AJ91</f>
        <v>#REF!</v>
      </c>
      <c r="AH92" s="489"/>
      <c r="AI92" s="489"/>
      <c r="AJ92" s="489"/>
      <c r="AK92" s="490"/>
      <c r="AL92" s="490"/>
      <c r="AM92" s="488"/>
      <c r="AP92" s="492"/>
      <c r="AS92" s="493"/>
      <c r="AT92" s="493"/>
      <c r="AU92" s="493"/>
      <c r="AV92" s="493"/>
      <c r="AW92" s="493"/>
      <c r="AX92" s="493"/>
      <c r="AY92" s="493"/>
      <c r="AZ92" s="493"/>
      <c r="BA92" s="493"/>
      <c r="BB92" s="493"/>
      <c r="BC92" s="493"/>
      <c r="BD92" s="494"/>
      <c r="BK92" s="495"/>
      <c r="BL92" s="495"/>
    </row>
    <row r="93" spans="2:84" ht="18" customHeight="1">
      <c r="B93" s="496" t="s">
        <v>197</v>
      </c>
      <c r="C93" s="497"/>
      <c r="D93" s="59"/>
      <c r="E93" s="498"/>
      <c r="F93" s="498"/>
      <c r="G93" s="498"/>
      <c r="H93" s="498"/>
      <c r="I93" s="498"/>
      <c r="J93" s="498"/>
      <c r="K93" s="498"/>
      <c r="L93" s="498"/>
      <c r="M93" s="496" t="s">
        <v>198</v>
      </c>
      <c r="N93" s="498"/>
      <c r="O93" s="498"/>
      <c r="P93" s="498"/>
      <c r="Q93" s="498"/>
      <c r="R93" s="498"/>
      <c r="S93" s="498"/>
      <c r="T93" s="498"/>
      <c r="U93" s="499"/>
      <c r="V93" s="499"/>
      <c r="W93" s="499"/>
      <c r="X93" s="499"/>
      <c r="Y93" s="499"/>
      <c r="Z93" s="499"/>
      <c r="AA93" s="499"/>
      <c r="AB93" s="499"/>
      <c r="AC93" s="499"/>
      <c r="AD93" s="500"/>
      <c r="AE93" s="500"/>
      <c r="AF93" s="500" t="e">
        <f>AG92-AF92</f>
        <v>#REF!</v>
      </c>
      <c r="AG93" s="500"/>
      <c r="AH93" s="500"/>
      <c r="AI93" s="500"/>
      <c r="AJ93" s="500"/>
      <c r="AK93" s="499"/>
      <c r="AL93" s="499"/>
      <c r="AM93" s="273"/>
      <c r="AS93" s="501"/>
      <c r="AT93" s="501"/>
      <c r="AU93" s="76"/>
      <c r="AV93" s="501"/>
      <c r="AW93" s="501"/>
      <c r="AX93" s="501"/>
      <c r="AY93" s="501"/>
      <c r="AZ93" s="501"/>
      <c r="BA93" s="501"/>
      <c r="BB93" s="501"/>
      <c r="BC93" s="501"/>
      <c r="BD93" s="502"/>
      <c r="CB93" s="80"/>
      <c r="CC93" s="80"/>
      <c r="CD93" s="80"/>
      <c r="CE93" s="80"/>
      <c r="CF93" s="80"/>
    </row>
    <row r="94" spans="2:84" ht="18" customHeight="1">
      <c r="B94" s="503" t="s">
        <v>199</v>
      </c>
      <c r="C94" s="1499" t="s">
        <v>200</v>
      </c>
      <c r="D94" s="1499"/>
      <c r="E94" s="1499"/>
      <c r="F94" s="1499"/>
      <c r="G94" s="1499"/>
      <c r="H94" s="1499"/>
      <c r="I94" s="504" t="s">
        <v>201</v>
      </c>
      <c r="J94" s="505"/>
      <c r="K94" s="505"/>
      <c r="L94" s="505"/>
      <c r="M94" s="503" t="s">
        <v>199</v>
      </c>
      <c r="N94" s="1499" t="s">
        <v>200</v>
      </c>
      <c r="O94" s="1499"/>
      <c r="P94" s="1499"/>
      <c r="Q94" s="1499"/>
      <c r="R94" s="1499"/>
      <c r="S94" s="1499"/>
      <c r="T94" s="504" t="s">
        <v>201</v>
      </c>
      <c r="U94" s="499"/>
      <c r="V94" s="499"/>
      <c r="W94" s="499"/>
      <c r="X94" s="499"/>
      <c r="Y94" s="499"/>
      <c r="Z94" s="499"/>
      <c r="AA94" s="499"/>
      <c r="AB94" s="499"/>
      <c r="AC94" s="499"/>
      <c r="AD94" s="506"/>
      <c r="AE94" s="506"/>
      <c r="AF94" s="506" t="e">
        <f>SUM(AF91/36)</f>
        <v>#REF!</v>
      </c>
      <c r="AG94" s="506"/>
      <c r="AH94" s="506"/>
      <c r="AI94" s="506"/>
      <c r="AJ94" s="506"/>
      <c r="AK94" s="507"/>
      <c r="AL94" s="507"/>
      <c r="AM94" s="273"/>
      <c r="AS94" s="501"/>
      <c r="AT94" s="501"/>
      <c r="AU94" s="76"/>
      <c r="AV94" s="501"/>
      <c r="AW94" s="501"/>
      <c r="AX94" s="501"/>
      <c r="AY94" s="501"/>
      <c r="AZ94" s="501"/>
      <c r="BA94" s="501"/>
      <c r="BB94" s="501"/>
      <c r="BC94" s="501"/>
      <c r="BD94" s="502"/>
      <c r="CB94" s="80"/>
      <c r="CC94" s="80"/>
      <c r="CD94" s="80"/>
      <c r="CE94" s="80"/>
      <c r="CF94" s="80"/>
    </row>
    <row r="95" spans="2:84" ht="18" customHeight="1">
      <c r="B95" s="508" t="s">
        <v>202</v>
      </c>
      <c r="C95" s="509" t="s">
        <v>203</v>
      </c>
      <c r="D95" s="510"/>
      <c r="E95" s="510"/>
      <c r="F95" s="510"/>
      <c r="G95" s="510"/>
      <c r="H95" s="511"/>
      <c r="I95" s="512"/>
      <c r="J95" s="513"/>
      <c r="K95" s="513"/>
      <c r="L95" s="513"/>
      <c r="M95" s="508" t="s">
        <v>202</v>
      </c>
      <c r="N95" s="509" t="s">
        <v>203</v>
      </c>
      <c r="O95" s="510"/>
      <c r="P95" s="510"/>
      <c r="Q95" s="510"/>
      <c r="R95" s="510"/>
      <c r="S95" s="511"/>
      <c r="T95" s="512"/>
      <c r="U95" s="499"/>
      <c r="V95" s="499"/>
      <c r="W95" s="499"/>
      <c r="X95" s="499"/>
      <c r="Y95" s="499"/>
      <c r="Z95" s="499"/>
      <c r="AA95" s="499"/>
      <c r="AB95" s="499"/>
      <c r="AC95" s="499"/>
      <c r="AD95" s="506"/>
      <c r="AE95" s="506"/>
      <c r="AF95" s="506"/>
      <c r="AG95" s="506"/>
      <c r="AH95" s="506"/>
      <c r="AI95" s="506"/>
      <c r="AJ95" s="506"/>
      <c r="AK95" s="507"/>
      <c r="AL95" s="507"/>
      <c r="AM95" s="273"/>
      <c r="AS95" s="501"/>
      <c r="AT95" s="501"/>
      <c r="AU95" s="76"/>
      <c r="AV95" s="501"/>
      <c r="AW95" s="501"/>
      <c r="AX95" s="501"/>
      <c r="AY95" s="501"/>
      <c r="AZ95" s="501"/>
      <c r="BA95" s="501"/>
      <c r="BB95" s="501"/>
      <c r="BC95" s="501"/>
      <c r="BD95" s="502"/>
      <c r="CB95" s="80"/>
      <c r="CC95" s="80"/>
      <c r="CD95" s="80"/>
      <c r="CE95" s="80"/>
      <c r="CF95" s="80"/>
    </row>
    <row r="96" spans="2:84" ht="18" customHeight="1">
      <c r="B96" s="514"/>
      <c r="C96" s="515" t="s">
        <v>204</v>
      </c>
      <c r="D96" s="516"/>
      <c r="E96" s="517"/>
      <c r="F96" s="517"/>
      <c r="G96" s="517"/>
      <c r="H96" s="518"/>
      <c r="I96" s="519" t="e">
        <f>AI91</f>
        <v>#REF!</v>
      </c>
      <c r="J96" s="498"/>
      <c r="K96" s="498"/>
      <c r="L96" s="498"/>
      <c r="M96" s="514"/>
      <c r="N96" s="515" t="s">
        <v>205</v>
      </c>
      <c r="O96" s="516"/>
      <c r="P96" s="517"/>
      <c r="Q96" s="517"/>
      <c r="R96" s="517"/>
      <c r="S96" s="518"/>
      <c r="T96" s="520" t="e">
        <f>AI91</f>
        <v>#REF!</v>
      </c>
      <c r="U96" s="499"/>
      <c r="V96" s="499"/>
      <c r="W96" s="499"/>
      <c r="X96" s="499"/>
      <c r="Y96" s="499"/>
      <c r="Z96" s="499"/>
      <c r="AA96" s="499"/>
      <c r="AB96" s="499"/>
      <c r="AC96" s="499"/>
      <c r="AD96" s="506"/>
      <c r="AE96" s="506"/>
      <c r="AF96" s="506"/>
      <c r="AG96" s="506"/>
      <c r="AH96" s="506"/>
      <c r="AI96" s="506"/>
      <c r="AJ96" s="506"/>
      <c r="AK96" s="507"/>
      <c r="AL96" s="507"/>
      <c r="AM96" s="273"/>
      <c r="AS96" s="501"/>
      <c r="AT96" s="501"/>
      <c r="AU96" s="76"/>
      <c r="AV96" s="501"/>
      <c r="AW96" s="501"/>
      <c r="AX96" s="501"/>
      <c r="AY96" s="501"/>
      <c r="AZ96" s="501"/>
      <c r="BA96" s="501"/>
      <c r="BB96" s="501"/>
      <c r="BC96" s="501"/>
      <c r="BD96" s="502"/>
      <c r="CB96" s="80"/>
      <c r="CC96" s="80"/>
      <c r="CD96" s="80"/>
      <c r="CE96" s="80"/>
      <c r="CF96" s="80"/>
    </row>
    <row r="97" spans="2:84" ht="18" customHeight="1">
      <c r="B97" s="521"/>
      <c r="C97" s="515" t="s">
        <v>206</v>
      </c>
      <c r="D97" s="516"/>
      <c r="E97" s="517"/>
      <c r="F97" s="517"/>
      <c r="G97" s="517"/>
      <c r="H97" s="518"/>
      <c r="I97" s="522" t="e">
        <f>O14</f>
        <v>#REF!</v>
      </c>
      <c r="J97" s="498"/>
      <c r="K97" s="498"/>
      <c r="L97" s="498"/>
      <c r="M97" s="521"/>
      <c r="N97" s="515" t="s">
        <v>206</v>
      </c>
      <c r="O97" s="516"/>
      <c r="P97" s="517"/>
      <c r="Q97" s="517"/>
      <c r="R97" s="517"/>
      <c r="S97" s="518"/>
      <c r="T97" s="522" t="e">
        <f>O14</f>
        <v>#REF!</v>
      </c>
      <c r="U97" s="499"/>
      <c r="V97" s="499"/>
      <c r="W97" s="499"/>
      <c r="X97" s="499"/>
      <c r="Y97" s="499"/>
      <c r="Z97" s="499"/>
      <c r="AA97" s="499"/>
      <c r="AB97" s="499"/>
      <c r="AC97" s="499"/>
      <c r="AD97" s="500"/>
      <c r="AE97" s="500"/>
      <c r="AF97" s="500"/>
      <c r="AG97" s="500"/>
      <c r="AH97" s="500"/>
      <c r="AI97" s="500"/>
      <c r="AJ97" s="500"/>
      <c r="AK97" s="499"/>
      <c r="AL97" s="499"/>
      <c r="AM97" s="273"/>
      <c r="AS97" s="501"/>
      <c r="AT97" s="501"/>
      <c r="AU97" s="76"/>
      <c r="AV97" s="501"/>
      <c r="AW97" s="501"/>
      <c r="AX97" s="501"/>
      <c r="AY97" s="501"/>
      <c r="AZ97" s="501"/>
      <c r="BA97" s="501"/>
      <c r="BB97" s="501"/>
      <c r="BC97" s="501"/>
      <c r="BD97" s="502"/>
      <c r="CB97" s="80"/>
      <c r="CC97" s="80"/>
      <c r="CD97" s="80"/>
      <c r="CE97" s="80"/>
      <c r="CF97" s="80"/>
    </row>
    <row r="98" spans="2:84" ht="18" customHeight="1">
      <c r="B98" s="521"/>
      <c r="C98" s="515" t="s">
        <v>207</v>
      </c>
      <c r="D98" s="516"/>
      <c r="E98" s="517"/>
      <c r="F98" s="517"/>
      <c r="G98" s="517"/>
      <c r="H98" s="518"/>
      <c r="I98" s="522">
        <f>O11</f>
        <v>0</v>
      </c>
      <c r="J98" s="498"/>
      <c r="K98" s="498"/>
      <c r="L98" s="498"/>
      <c r="M98" s="521"/>
      <c r="N98" s="515" t="s">
        <v>207</v>
      </c>
      <c r="O98" s="516"/>
      <c r="P98" s="517"/>
      <c r="Q98" s="517"/>
      <c r="R98" s="517"/>
      <c r="S98" s="518"/>
      <c r="T98" s="519">
        <f>O11</f>
        <v>0</v>
      </c>
      <c r="U98" s="499"/>
      <c r="V98" s="499"/>
      <c r="W98" s="499"/>
      <c r="X98" s="499"/>
      <c r="Y98" s="499"/>
      <c r="Z98" s="499"/>
      <c r="AA98" s="499"/>
      <c r="AB98" s="499"/>
      <c r="AC98" s="499"/>
      <c r="AD98" s="500"/>
      <c r="AE98" s="500"/>
      <c r="AF98" s="500"/>
      <c r="AG98" s="500"/>
      <c r="AH98" s="500"/>
      <c r="AI98" s="500"/>
      <c r="AJ98" s="500"/>
      <c r="AK98" s="499"/>
      <c r="AL98" s="499"/>
      <c r="AM98" s="273"/>
      <c r="AS98" s="501"/>
      <c r="AT98" s="501"/>
      <c r="AU98" s="76"/>
      <c r="AV98" s="501"/>
      <c r="AW98" s="501"/>
      <c r="AX98" s="501"/>
      <c r="AY98" s="501"/>
      <c r="AZ98" s="501"/>
      <c r="BA98" s="501"/>
      <c r="BB98" s="501"/>
      <c r="BC98" s="501"/>
      <c r="BD98" s="502"/>
      <c r="CB98" s="80"/>
      <c r="CC98" s="80"/>
      <c r="CD98" s="80"/>
      <c r="CE98" s="80"/>
      <c r="CF98" s="80"/>
    </row>
    <row r="99" spans="2:84" ht="18" customHeight="1">
      <c r="B99" s="521"/>
      <c r="C99" s="515" t="s">
        <v>208</v>
      </c>
      <c r="D99" s="516"/>
      <c r="E99" s="517"/>
      <c r="F99" s="517"/>
      <c r="G99" s="517"/>
      <c r="H99" s="518"/>
      <c r="I99" s="522">
        <f>AC91</f>
        <v>6562499.9962500008</v>
      </c>
      <c r="J99" s="498"/>
      <c r="K99" s="498"/>
      <c r="L99" s="498"/>
      <c r="M99" s="521"/>
      <c r="N99" s="515" t="s">
        <v>208</v>
      </c>
      <c r="O99" s="516"/>
      <c r="P99" s="517"/>
      <c r="Q99" s="517"/>
      <c r="R99" s="517"/>
      <c r="S99" s="518"/>
      <c r="T99" s="522">
        <f>AC91</f>
        <v>6562499.9962500008</v>
      </c>
      <c r="U99" s="499"/>
      <c r="V99" s="499"/>
      <c r="W99" s="499"/>
      <c r="X99" s="499"/>
      <c r="Y99" s="499"/>
      <c r="Z99" s="499"/>
      <c r="AA99" s="499"/>
      <c r="AB99" s="499"/>
      <c r="AC99" s="499"/>
      <c r="AD99" s="500"/>
      <c r="AE99" s="500"/>
      <c r="AF99" s="500"/>
      <c r="AG99" s="500"/>
      <c r="AH99" s="500"/>
      <c r="AI99" s="500"/>
      <c r="AJ99" s="500"/>
      <c r="AK99" s="499"/>
      <c r="AL99" s="499"/>
      <c r="AM99" s="273"/>
      <c r="AS99" s="501"/>
      <c r="AT99" s="501"/>
      <c r="AU99" s="76"/>
      <c r="AV99" s="501"/>
      <c r="AW99" s="501"/>
      <c r="AX99" s="501"/>
      <c r="AY99" s="501"/>
      <c r="AZ99" s="501"/>
      <c r="BA99" s="501"/>
      <c r="BB99" s="501"/>
      <c r="BC99" s="501"/>
      <c r="BD99" s="502"/>
      <c r="CB99" s="80"/>
      <c r="CC99" s="80"/>
      <c r="CD99" s="80"/>
      <c r="CE99" s="80"/>
      <c r="CF99" s="80"/>
    </row>
    <row r="100" spans="2:84" ht="18" customHeight="1">
      <c r="B100" s="523"/>
      <c r="C100" s="524" t="s">
        <v>209</v>
      </c>
      <c r="D100" s="525"/>
      <c r="E100" s="526"/>
      <c r="F100" s="526"/>
      <c r="G100" s="526"/>
      <c r="H100" s="527"/>
      <c r="I100" s="528" t="e">
        <f>SUM(I96:I99)</f>
        <v>#REF!</v>
      </c>
      <c r="J100" s="498"/>
      <c r="K100" s="498"/>
      <c r="L100" s="498"/>
      <c r="M100" s="523"/>
      <c r="N100" s="524" t="s">
        <v>209</v>
      </c>
      <c r="O100" s="525"/>
      <c r="P100" s="526"/>
      <c r="Q100" s="526"/>
      <c r="R100" s="526"/>
      <c r="S100" s="527"/>
      <c r="T100" s="528" t="e">
        <f>SUM(T96:T99)</f>
        <v>#REF!</v>
      </c>
      <c r="U100" s="273"/>
      <c r="V100" s="273"/>
      <c r="W100" s="273"/>
      <c r="X100" s="273"/>
      <c r="Y100" s="273"/>
      <c r="Z100" s="273"/>
      <c r="AA100" s="273"/>
      <c r="AB100" s="273"/>
      <c r="AC100" s="273"/>
      <c r="AD100" s="500"/>
      <c r="AE100" s="500"/>
      <c r="AF100" s="500"/>
      <c r="AG100" s="500"/>
      <c r="AH100" s="500"/>
      <c r="AI100" s="500"/>
      <c r="AJ100" s="500"/>
      <c r="AK100" s="273"/>
      <c r="AL100" s="273"/>
      <c r="AM100" s="273"/>
      <c r="AS100" s="501"/>
      <c r="AT100" s="501"/>
      <c r="AU100" s="76"/>
      <c r="AV100" s="501"/>
      <c r="AW100" s="501"/>
      <c r="AX100" s="501"/>
      <c r="AY100" s="501"/>
      <c r="AZ100" s="501"/>
      <c r="BA100" s="501"/>
      <c r="BB100" s="501"/>
      <c r="BC100" s="501"/>
      <c r="BD100" s="502"/>
      <c r="CB100" s="80"/>
      <c r="CC100" s="80"/>
      <c r="CD100" s="80"/>
      <c r="CE100" s="80"/>
      <c r="CF100" s="80"/>
    </row>
    <row r="101" spans="2:84" ht="18" customHeight="1">
      <c r="B101" s="529" t="s">
        <v>210</v>
      </c>
      <c r="C101" s="530" t="s">
        <v>211</v>
      </c>
      <c r="D101" s="531"/>
      <c r="E101" s="532"/>
      <c r="F101" s="532"/>
      <c r="G101" s="532"/>
      <c r="H101" s="533"/>
      <c r="I101" s="533"/>
      <c r="J101" s="52"/>
      <c r="K101" s="52"/>
      <c r="L101" s="52"/>
      <c r="M101" s="529" t="s">
        <v>210</v>
      </c>
      <c r="N101" s="530" t="s">
        <v>211</v>
      </c>
      <c r="O101" s="531"/>
      <c r="P101" s="532"/>
      <c r="Q101" s="532"/>
      <c r="R101" s="532"/>
      <c r="S101" s="533"/>
      <c r="T101" s="533"/>
      <c r="U101" s="273"/>
      <c r="V101" s="273"/>
      <c r="W101" s="273"/>
      <c r="X101" s="273"/>
      <c r="Y101" s="273"/>
      <c r="Z101" s="273"/>
      <c r="AA101" s="273"/>
      <c r="AB101" s="273"/>
      <c r="AC101" s="273"/>
      <c r="AD101" s="500"/>
      <c r="AE101" s="500"/>
      <c r="AF101" s="500"/>
      <c r="AG101" s="500"/>
      <c r="AH101" s="500"/>
      <c r="AI101" s="500"/>
      <c r="AJ101" s="500"/>
      <c r="AK101" s="273"/>
      <c r="AL101" s="273"/>
      <c r="AM101" s="273"/>
      <c r="CB101" s="80"/>
      <c r="CC101" s="80"/>
      <c r="CD101" s="80"/>
      <c r="CE101" s="80"/>
      <c r="CF101" s="80"/>
    </row>
    <row r="102" spans="2:84" ht="18" customHeight="1">
      <c r="B102" s="534"/>
      <c r="C102" s="535" t="s">
        <v>212</v>
      </c>
      <c r="D102" s="63"/>
      <c r="E102" s="64"/>
      <c r="F102" s="64"/>
      <c r="G102" s="64"/>
      <c r="H102" s="536"/>
      <c r="I102" s="536">
        <f>(E91+G91+I91)*-1</f>
        <v>318181818</v>
      </c>
      <c r="J102" s="64"/>
      <c r="K102" s="64"/>
      <c r="L102" s="64"/>
      <c r="M102" s="534"/>
      <c r="N102" s="535" t="s">
        <v>212</v>
      </c>
      <c r="O102" s="63"/>
      <c r="P102" s="64"/>
      <c r="Q102" s="64"/>
      <c r="R102" s="64"/>
      <c r="S102" s="536"/>
      <c r="T102" s="536">
        <f>(E91+G91+I91)*-1</f>
        <v>318181818</v>
      </c>
      <c r="U102" s="273"/>
      <c r="V102" s="273"/>
      <c r="W102" s="273"/>
      <c r="X102" s="273"/>
      <c r="Y102" s="273"/>
      <c r="Z102" s="273"/>
      <c r="AA102" s="273"/>
      <c r="AB102" s="273"/>
      <c r="AC102" s="273"/>
      <c r="AD102" s="500"/>
      <c r="AE102" s="500"/>
      <c r="AF102" s="500"/>
      <c r="AG102" s="500"/>
      <c r="AH102" s="500"/>
      <c r="AI102" s="500"/>
      <c r="AJ102" s="500"/>
      <c r="AK102" s="273"/>
      <c r="AL102" s="273"/>
      <c r="AM102" s="273"/>
      <c r="CB102" s="80"/>
      <c r="CC102" s="80"/>
      <c r="CD102" s="80"/>
      <c r="CE102" s="80"/>
      <c r="CF102" s="80"/>
    </row>
    <row r="103" spans="2:84" ht="18" customHeight="1">
      <c r="B103" s="534"/>
      <c r="C103" s="535" t="s">
        <v>213</v>
      </c>
      <c r="D103" s="63"/>
      <c r="E103" s="64"/>
      <c r="F103" s="64"/>
      <c r="G103" s="64"/>
      <c r="H103" s="536"/>
      <c r="I103" s="536">
        <f>(M91)*-1</f>
        <v>0</v>
      </c>
      <c r="J103" s="64"/>
      <c r="K103" s="64"/>
      <c r="L103" s="64"/>
      <c r="M103" s="534"/>
      <c r="N103" s="535" t="s">
        <v>213</v>
      </c>
      <c r="O103" s="63"/>
      <c r="P103" s="64"/>
      <c r="Q103" s="64"/>
      <c r="R103" s="64"/>
      <c r="S103" s="536"/>
      <c r="T103" s="536">
        <f>(M91)*-1</f>
        <v>0</v>
      </c>
      <c r="U103" s="273"/>
      <c r="V103" s="273"/>
      <c r="W103" s="273"/>
      <c r="X103" s="273"/>
      <c r="Y103" s="273"/>
      <c r="Z103" s="273"/>
      <c r="AA103" s="273"/>
      <c r="AB103" s="273"/>
      <c r="AC103" s="273"/>
      <c r="AD103" s="500"/>
      <c r="AE103" s="500"/>
      <c r="AF103" s="500"/>
      <c r="AG103" s="500"/>
      <c r="AH103" s="500"/>
      <c r="AI103" s="500"/>
      <c r="AJ103" s="500"/>
      <c r="AK103" s="273"/>
      <c r="AL103" s="273"/>
      <c r="AM103" s="273"/>
      <c r="CB103" s="80"/>
      <c r="CC103" s="80"/>
      <c r="CD103" s="80"/>
      <c r="CE103" s="80"/>
      <c r="CF103" s="80"/>
    </row>
    <row r="104" spans="2:84" ht="18" customHeight="1">
      <c r="B104" s="534"/>
      <c r="C104" s="535" t="s">
        <v>214</v>
      </c>
      <c r="D104" s="63"/>
      <c r="E104" s="64"/>
      <c r="F104" s="64"/>
      <c r="G104" s="64"/>
      <c r="H104" s="536"/>
      <c r="I104" s="537">
        <f>O91*-1</f>
        <v>30000000</v>
      </c>
      <c r="J104" s="64"/>
      <c r="K104" s="64"/>
      <c r="L104" s="64"/>
      <c r="M104" s="534"/>
      <c r="N104" s="535" t="s">
        <v>214</v>
      </c>
      <c r="O104" s="63"/>
      <c r="P104" s="64"/>
      <c r="Q104" s="64"/>
      <c r="R104" s="64"/>
      <c r="S104" s="536"/>
      <c r="T104" s="537">
        <f>O91*-1</f>
        <v>30000000</v>
      </c>
      <c r="U104" s="273"/>
      <c r="V104" s="273"/>
      <c r="W104" s="273"/>
      <c r="X104" s="273"/>
      <c r="Y104" s="273"/>
      <c r="Z104" s="273"/>
      <c r="AA104" s="273"/>
      <c r="AB104" s="273"/>
      <c r="AC104" s="273"/>
      <c r="AD104" s="500"/>
      <c r="AE104" s="500"/>
      <c r="AF104" s="500"/>
      <c r="AG104" s="500"/>
      <c r="AH104" s="500"/>
      <c r="AI104" s="500"/>
      <c r="AJ104" s="500"/>
      <c r="AK104" s="273"/>
      <c r="AL104" s="273"/>
      <c r="AM104" s="273"/>
      <c r="CB104" s="80"/>
      <c r="CC104" s="80"/>
      <c r="CD104" s="80"/>
      <c r="CE104" s="80"/>
      <c r="CF104" s="80"/>
    </row>
    <row r="105" spans="2:84" ht="18" customHeight="1">
      <c r="B105" s="534"/>
      <c r="C105" s="535" t="s">
        <v>215</v>
      </c>
      <c r="D105" s="63"/>
      <c r="E105" s="64"/>
      <c r="F105" s="64"/>
      <c r="G105" s="64"/>
      <c r="H105" s="536"/>
      <c r="I105" s="537">
        <f>P91*-1</f>
        <v>26249999.985000003</v>
      </c>
      <c r="J105" s="64"/>
      <c r="K105" s="64"/>
      <c r="L105" s="64"/>
      <c r="M105" s="534"/>
      <c r="N105" s="535" t="s">
        <v>216</v>
      </c>
      <c r="O105" s="63"/>
      <c r="P105" s="64"/>
      <c r="Q105" s="64"/>
      <c r="R105" s="64"/>
      <c r="S105" s="536"/>
      <c r="T105" s="537">
        <f>P91*-1</f>
        <v>26249999.985000003</v>
      </c>
      <c r="U105" s="273"/>
      <c r="V105" s="273"/>
      <c r="W105" s="273"/>
      <c r="X105" s="273"/>
      <c r="Y105" s="273"/>
      <c r="Z105" s="273"/>
      <c r="AA105" s="273"/>
      <c r="AB105" s="273"/>
      <c r="AC105" s="273"/>
      <c r="AD105" s="500"/>
      <c r="AE105" s="500"/>
      <c r="AF105" s="500"/>
      <c r="AG105" s="500"/>
      <c r="AH105" s="500"/>
      <c r="AI105" s="500"/>
      <c r="AJ105" s="500"/>
      <c r="AK105" s="273"/>
      <c r="AL105" s="273"/>
      <c r="AM105" s="273"/>
      <c r="CB105" s="80"/>
      <c r="CC105" s="80"/>
      <c r="CD105" s="80"/>
      <c r="CE105" s="80"/>
      <c r="CF105" s="80"/>
    </row>
    <row r="106" spans="2:84" ht="18" customHeight="1">
      <c r="B106" s="534"/>
      <c r="C106" s="535" t="s">
        <v>217</v>
      </c>
      <c r="D106" s="63"/>
      <c r="E106" s="64"/>
      <c r="F106" s="64"/>
      <c r="G106" s="64"/>
      <c r="H106" s="536"/>
      <c r="I106" s="536">
        <f>Q91*-1</f>
        <v>0</v>
      </c>
      <c r="J106" s="52"/>
      <c r="K106" s="52"/>
      <c r="L106" s="52"/>
      <c r="M106" s="534"/>
      <c r="N106" s="535" t="s">
        <v>217</v>
      </c>
      <c r="O106" s="63"/>
      <c r="P106" s="64"/>
      <c r="Q106" s="64"/>
      <c r="R106" s="64"/>
      <c r="S106" s="536"/>
      <c r="T106" s="536">
        <f>Q91*-1</f>
        <v>0</v>
      </c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73"/>
      <c r="AG106" s="273"/>
      <c r="AH106" s="273"/>
      <c r="AI106" s="273"/>
      <c r="AJ106" s="273"/>
      <c r="AK106" s="273"/>
      <c r="AL106" s="273"/>
      <c r="AM106" s="273"/>
      <c r="CB106" s="80"/>
      <c r="CC106" s="80"/>
      <c r="CD106" s="80"/>
      <c r="CE106" s="80"/>
      <c r="CF106" s="80"/>
    </row>
    <row r="107" spans="2:84" ht="18" customHeight="1">
      <c r="B107" s="534"/>
      <c r="C107" s="535" t="s">
        <v>218</v>
      </c>
      <c r="D107" s="63"/>
      <c r="E107" s="64"/>
      <c r="F107" s="64"/>
      <c r="G107" s="64"/>
      <c r="H107" s="536"/>
      <c r="I107" s="537" t="e">
        <f>R91*-1+AH91</f>
        <v>#REF!</v>
      </c>
      <c r="J107" s="52"/>
      <c r="K107" s="52"/>
      <c r="L107" s="52"/>
      <c r="M107" s="534"/>
      <c r="N107" s="535" t="s">
        <v>218</v>
      </c>
      <c r="O107" s="63"/>
      <c r="P107" s="64"/>
      <c r="Q107" s="64"/>
      <c r="R107" s="64"/>
      <c r="S107" s="536"/>
      <c r="T107" s="537" t="e">
        <f>R91*-1+AH91</f>
        <v>#REF!</v>
      </c>
      <c r="U107" s="273"/>
      <c r="V107" s="273"/>
      <c r="W107" s="273"/>
      <c r="X107" s="273"/>
      <c r="Y107" s="273"/>
      <c r="Z107" s="273"/>
      <c r="AA107" s="273"/>
      <c r="AB107" s="273"/>
      <c r="AC107" s="273"/>
      <c r="AD107" s="273"/>
      <c r="AE107" s="273"/>
      <c r="AF107" s="273"/>
      <c r="AG107" s="273"/>
      <c r="AH107" s="273"/>
      <c r="AI107" s="273"/>
      <c r="AJ107" s="273"/>
      <c r="AK107" s="273"/>
      <c r="AL107" s="273"/>
      <c r="AM107" s="273"/>
      <c r="CB107" s="80"/>
      <c r="CC107" s="80"/>
      <c r="CD107" s="80"/>
      <c r="CE107" s="80"/>
      <c r="CF107" s="80"/>
    </row>
    <row r="108" spans="2:84" ht="18" customHeight="1">
      <c r="B108" s="534"/>
      <c r="C108" s="535" t="s">
        <v>219</v>
      </c>
      <c r="D108" s="63"/>
      <c r="E108" s="63"/>
      <c r="F108" s="63"/>
      <c r="G108" s="63"/>
      <c r="H108" s="538"/>
      <c r="I108" s="536">
        <f>V91*-1</f>
        <v>0</v>
      </c>
      <c r="J108" s="52"/>
      <c r="K108" s="52"/>
      <c r="L108" s="52"/>
      <c r="M108" s="534"/>
      <c r="N108" s="535" t="s">
        <v>219</v>
      </c>
      <c r="O108" s="63"/>
      <c r="P108" s="63"/>
      <c r="Q108" s="63"/>
      <c r="R108" s="63"/>
      <c r="S108" s="538"/>
      <c r="T108" s="536">
        <f>V91*-1</f>
        <v>0</v>
      </c>
      <c r="CB108" s="80"/>
      <c r="CC108" s="80"/>
      <c r="CD108" s="80"/>
      <c r="CE108" s="80"/>
      <c r="CF108" s="80"/>
    </row>
    <row r="109" spans="2:84" ht="18" customHeight="1">
      <c r="B109" s="534"/>
      <c r="C109" s="539" t="s">
        <v>220</v>
      </c>
      <c r="D109" s="540"/>
      <c r="E109" s="540"/>
      <c r="F109" s="540"/>
      <c r="G109" s="540"/>
      <c r="H109" s="541"/>
      <c r="I109" s="542" t="e">
        <f>AM91*-1</f>
        <v>#REF!</v>
      </c>
      <c r="J109" s="51"/>
      <c r="K109" s="51"/>
      <c r="L109" s="51"/>
      <c r="M109" s="534"/>
      <c r="N109" s="543" t="s">
        <v>220</v>
      </c>
      <c r="O109" s="63"/>
      <c r="P109" s="63"/>
      <c r="Q109" s="63"/>
      <c r="R109" s="63"/>
      <c r="S109" s="538"/>
      <c r="T109" s="544" t="e">
        <f>(AM91*-1)-(AL91+AN91)</f>
        <v>#REF!</v>
      </c>
      <c r="CB109" s="80"/>
      <c r="CC109" s="80"/>
      <c r="CD109" s="80"/>
      <c r="CE109" s="80"/>
      <c r="CF109" s="80"/>
    </row>
    <row r="110" spans="2:84" ht="18" customHeight="1">
      <c r="B110" s="534"/>
      <c r="C110" s="535" t="s">
        <v>221</v>
      </c>
      <c r="D110" s="63"/>
      <c r="E110" s="63"/>
      <c r="F110" s="63"/>
      <c r="G110" s="63"/>
      <c r="H110" s="538"/>
      <c r="I110" s="536">
        <f>T91*-1</f>
        <v>1103712.6256319333</v>
      </c>
      <c r="J110" s="51"/>
      <c r="K110" s="51"/>
      <c r="L110" s="51"/>
      <c r="M110" s="534"/>
      <c r="N110" s="535" t="s">
        <v>221</v>
      </c>
      <c r="O110" s="63"/>
      <c r="P110" s="63"/>
      <c r="Q110" s="63"/>
      <c r="R110" s="63"/>
      <c r="S110" s="538"/>
      <c r="T110" s="537">
        <f>T91*-1</f>
        <v>1103712.6256319333</v>
      </c>
      <c r="CB110" s="80"/>
      <c r="CC110" s="80"/>
      <c r="CD110" s="80"/>
      <c r="CE110" s="80"/>
      <c r="CF110" s="80"/>
    </row>
    <row r="111" spans="2:84" ht="18" customHeight="1">
      <c r="B111" s="534"/>
      <c r="C111" s="535" t="s">
        <v>222</v>
      </c>
      <c r="D111" s="63"/>
      <c r="E111" s="63"/>
      <c r="F111" s="63"/>
      <c r="G111" s="63"/>
      <c r="H111" s="538"/>
      <c r="I111" s="536">
        <f>U91*-1</f>
        <v>0</v>
      </c>
      <c r="J111" s="51"/>
      <c r="K111" s="51"/>
      <c r="L111" s="51"/>
      <c r="M111" s="534"/>
      <c r="N111" s="535" t="s">
        <v>222</v>
      </c>
      <c r="O111" s="63"/>
      <c r="P111" s="63"/>
      <c r="Q111" s="63"/>
      <c r="R111" s="63"/>
      <c r="S111" s="538"/>
      <c r="T111" s="536">
        <f>U91*-1</f>
        <v>0</v>
      </c>
      <c r="CB111" s="80"/>
      <c r="CC111" s="80"/>
      <c r="CD111" s="80"/>
      <c r="CE111" s="80"/>
      <c r="CF111" s="80"/>
    </row>
    <row r="112" spans="2:84" ht="18" customHeight="1">
      <c r="B112" s="534"/>
      <c r="C112" s="535" t="s">
        <v>223</v>
      </c>
      <c r="D112" s="63"/>
      <c r="E112" s="63"/>
      <c r="F112" s="63"/>
      <c r="G112" s="63"/>
      <c r="H112" s="538"/>
      <c r="I112" s="536" t="e">
        <f>($BL91)-(T110+T111)</f>
        <v>#REF!</v>
      </c>
      <c r="J112" s="51"/>
      <c r="K112" s="51"/>
      <c r="L112" s="51"/>
      <c r="M112" s="534"/>
      <c r="N112" s="535" t="s">
        <v>223</v>
      </c>
      <c r="O112" s="63"/>
      <c r="P112" s="63"/>
      <c r="Q112" s="63"/>
      <c r="R112" s="63"/>
      <c r="S112" s="538"/>
      <c r="T112" s="545" t="e">
        <f>($BL91)-(T110+T111)</f>
        <v>#REF!</v>
      </c>
      <c r="CB112" s="80"/>
      <c r="CC112" s="80"/>
      <c r="CD112" s="80"/>
      <c r="CE112" s="80"/>
      <c r="CF112" s="80"/>
    </row>
    <row r="113" spans="2:84" ht="18" customHeight="1">
      <c r="B113" s="534"/>
      <c r="C113" s="535"/>
      <c r="D113" s="63"/>
      <c r="E113" s="63"/>
      <c r="F113" s="63"/>
      <c r="G113" s="63"/>
      <c r="H113" s="538"/>
      <c r="I113" s="536"/>
      <c r="J113" s="51"/>
      <c r="K113" s="51"/>
      <c r="L113" s="51"/>
      <c r="M113" s="534"/>
      <c r="N113" s="535"/>
      <c r="O113" s="63"/>
      <c r="P113" s="63"/>
      <c r="Q113" s="63"/>
      <c r="R113" s="63"/>
      <c r="S113" s="538"/>
      <c r="T113" s="536"/>
      <c r="CB113" s="80"/>
      <c r="CC113" s="80"/>
      <c r="CD113" s="80"/>
      <c r="CE113" s="80"/>
      <c r="CF113" s="80"/>
    </row>
    <row r="114" spans="2:84" ht="18" customHeight="1">
      <c r="B114" s="523"/>
      <c r="C114" s="524" t="s">
        <v>224</v>
      </c>
      <c r="D114" s="525"/>
      <c r="E114" s="525"/>
      <c r="F114" s="525"/>
      <c r="G114" s="525"/>
      <c r="H114" s="546"/>
      <c r="I114" s="527" t="e">
        <f>SUM(I102:I112)</f>
        <v>#REF!</v>
      </c>
      <c r="J114" s="51"/>
      <c r="K114" s="51"/>
      <c r="L114" s="51"/>
      <c r="M114" s="523"/>
      <c r="N114" s="524" t="s">
        <v>224</v>
      </c>
      <c r="O114" s="525"/>
      <c r="P114" s="525"/>
      <c r="Q114" s="525"/>
      <c r="R114" s="525"/>
      <c r="S114" s="546"/>
      <c r="T114" s="527" t="e">
        <f>SUM(T102:T112)</f>
        <v>#REF!</v>
      </c>
      <c r="CB114" s="80"/>
      <c r="CC114" s="80"/>
      <c r="CD114" s="80"/>
      <c r="CE114" s="80"/>
      <c r="CF114" s="80"/>
    </row>
    <row r="115" spans="2:84" ht="18" customHeight="1">
      <c r="B115" s="547" t="s">
        <v>225</v>
      </c>
      <c r="C115" s="524" t="s">
        <v>226</v>
      </c>
      <c r="D115" s="525"/>
      <c r="E115" s="525"/>
      <c r="F115" s="525"/>
      <c r="G115" s="525"/>
      <c r="H115" s="546"/>
      <c r="I115" s="527" t="e">
        <f>I100-I114</f>
        <v>#REF!</v>
      </c>
      <c r="J115" s="51"/>
      <c r="K115" s="51"/>
      <c r="L115" s="51"/>
      <c r="M115" s="547" t="s">
        <v>225</v>
      </c>
      <c r="N115" s="524" t="s">
        <v>226</v>
      </c>
      <c r="O115" s="525"/>
      <c r="P115" s="525"/>
      <c r="Q115" s="525"/>
      <c r="R115" s="525"/>
      <c r="S115" s="546"/>
      <c r="T115" s="527" t="e">
        <f>T100-T114</f>
        <v>#REF!</v>
      </c>
      <c r="U115" s="273" t="e">
        <f>T115-O9-R11</f>
        <v>#REF!</v>
      </c>
      <c r="CB115" s="80"/>
      <c r="CC115" s="80"/>
      <c r="CD115" s="80"/>
      <c r="CE115" s="80"/>
      <c r="CF115" s="80"/>
    </row>
    <row r="116" spans="2:84" ht="18" customHeight="1">
      <c r="J116" s="51"/>
      <c r="K116" s="51"/>
      <c r="L116" s="51"/>
      <c r="T116" s="273"/>
      <c r="CB116" s="80"/>
      <c r="CC116" s="80"/>
      <c r="CD116" s="80"/>
      <c r="CE116" s="80"/>
      <c r="CF116" s="80"/>
    </row>
  </sheetData>
  <mergeCells count="74">
    <mergeCell ref="BJ19:BJ20"/>
    <mergeCell ref="C94:H94"/>
    <mergeCell ref="N94:S94"/>
    <mergeCell ref="AV19:AW19"/>
    <mergeCell ref="AX19:AY19"/>
    <mergeCell ref="AZ19:BA19"/>
    <mergeCell ref="BD19:BD20"/>
    <mergeCell ref="BF19:BF20"/>
    <mergeCell ref="BI19:BI20"/>
    <mergeCell ref="N19:N20"/>
    <mergeCell ref="R19:R20"/>
    <mergeCell ref="S19:S20"/>
    <mergeCell ref="X19:X20"/>
    <mergeCell ref="Y19:Y20"/>
    <mergeCell ref="Z19:Z20"/>
    <mergeCell ref="AA19:AA20"/>
    <mergeCell ref="AV18:BC18"/>
    <mergeCell ref="BD18:BG18"/>
    <mergeCell ref="BH18:BJ18"/>
    <mergeCell ref="E19:E20"/>
    <mergeCell ref="F19:F20"/>
    <mergeCell ref="G19:G20"/>
    <mergeCell ref="H19:H20"/>
    <mergeCell ref="I19:I20"/>
    <mergeCell ref="J19:J20"/>
    <mergeCell ref="M19:M20"/>
    <mergeCell ref="Z18:AB18"/>
    <mergeCell ref="AG18:AG20"/>
    <mergeCell ref="AH18:AH20"/>
    <mergeCell ref="AI18:AI20"/>
    <mergeCell ref="AJ18:AJ20"/>
    <mergeCell ref="AK18:AK20"/>
    <mergeCell ref="AS17:AS20"/>
    <mergeCell ref="E18:F18"/>
    <mergeCell ref="G18:H18"/>
    <mergeCell ref="I18:J18"/>
    <mergeCell ref="K18:L18"/>
    <mergeCell ref="M18:N18"/>
    <mergeCell ref="O18:O20"/>
    <mergeCell ref="P18:P20"/>
    <mergeCell ref="Q18:Q20"/>
    <mergeCell ref="R18:S18"/>
    <mergeCell ref="AF17:AF20"/>
    <mergeCell ref="AG17:AK17"/>
    <mergeCell ref="AL17:AO17"/>
    <mergeCell ref="AP17:AP20"/>
    <mergeCell ref="AQ17:AQ20"/>
    <mergeCell ref="AR17:AR20"/>
    <mergeCell ref="AL18:AL20"/>
    <mergeCell ref="AM18:AM20"/>
    <mergeCell ref="AN18:AN20"/>
    <mergeCell ref="S13:U14"/>
    <mergeCell ref="E17:V17"/>
    <mergeCell ref="W17:W20"/>
    <mergeCell ref="X17:AB17"/>
    <mergeCell ref="AD17:AD20"/>
    <mergeCell ref="AE17:AE20"/>
    <mergeCell ref="T18:T20"/>
    <mergeCell ref="U18:U20"/>
    <mergeCell ref="V18:V20"/>
    <mergeCell ref="X18:Y18"/>
    <mergeCell ref="AB19:AB20"/>
    <mergeCell ref="X5:AB5"/>
    <mergeCell ref="AD5:AM5"/>
    <mergeCell ref="S6:U6"/>
    <mergeCell ref="X6:Z6"/>
    <mergeCell ref="AD6:AF6"/>
    <mergeCell ref="AI6:AL6"/>
    <mergeCell ref="S5:W5"/>
    <mergeCell ref="B4:G4"/>
    <mergeCell ref="E5:G5"/>
    <mergeCell ref="H5:J5"/>
    <mergeCell ref="M5:O5"/>
    <mergeCell ref="P5:R5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4"/>
  <sheetViews>
    <sheetView topLeftCell="A28" zoomScale="70" zoomScaleNormal="70" workbookViewId="0">
      <selection activeCell="B34" sqref="B34:D59"/>
    </sheetView>
  </sheetViews>
  <sheetFormatPr defaultRowHeight="15"/>
  <cols>
    <col min="1" max="1" width="4.28515625" customWidth="1"/>
    <col min="2" max="2" width="29.5703125" customWidth="1"/>
    <col min="3" max="3" width="8.42578125" customWidth="1"/>
    <col min="4" max="4" width="13.140625" customWidth="1"/>
    <col min="5" max="5" width="4.28515625" customWidth="1"/>
    <col min="6" max="6" width="29.7109375" customWidth="1"/>
    <col min="7" max="7" width="8.42578125" customWidth="1"/>
    <col min="8" max="8" width="13.140625" customWidth="1"/>
    <col min="9" max="9" width="4.28515625" customWidth="1"/>
    <col min="10" max="10" width="29.5703125" customWidth="1"/>
    <col min="11" max="11" width="8.42578125" customWidth="1"/>
    <col min="12" max="12" width="13.140625" customWidth="1"/>
    <col min="13" max="13" width="4.28515625" customWidth="1"/>
    <col min="14" max="14" width="29.5703125" customWidth="1"/>
    <col min="15" max="15" width="8.42578125" customWidth="1"/>
    <col min="16" max="16" width="13.140625" customWidth="1"/>
    <col min="17" max="17" width="4.28515625" customWidth="1"/>
    <col min="18" max="18" width="29.5703125" customWidth="1"/>
    <col min="19" max="19" width="8.42578125" customWidth="1"/>
    <col min="20" max="20" width="13.140625" customWidth="1"/>
  </cols>
  <sheetData>
    <row r="2" spans="2:12">
      <c r="B2" t="s">
        <v>0</v>
      </c>
    </row>
    <row r="3" spans="2:12" ht="15.75" thickBot="1"/>
    <row r="4" spans="2:12" ht="15.75" thickBot="1">
      <c r="B4" s="1512" t="s">
        <v>1</v>
      </c>
      <c r="C4" s="1513"/>
      <c r="D4" s="1514"/>
      <c r="F4" s="1512" t="s">
        <v>2</v>
      </c>
      <c r="G4" s="1513"/>
      <c r="H4" s="1514"/>
      <c r="K4" t="s">
        <v>52</v>
      </c>
    </row>
    <row r="5" spans="2:12">
      <c r="B5" s="1" t="s">
        <v>3</v>
      </c>
      <c r="C5" s="2"/>
      <c r="D5" s="3" t="s">
        <v>4</v>
      </c>
      <c r="F5" s="1" t="s">
        <v>5</v>
      </c>
      <c r="G5" s="2"/>
      <c r="H5" s="3" t="s">
        <v>4</v>
      </c>
      <c r="K5" t="s">
        <v>13</v>
      </c>
      <c r="L5" t="s">
        <v>51</v>
      </c>
    </row>
    <row r="6" spans="2:12">
      <c r="B6" s="1" t="s">
        <v>6</v>
      </c>
      <c r="C6" s="2"/>
      <c r="D6" s="4">
        <v>193500000</v>
      </c>
      <c r="F6" s="1" t="s">
        <v>6</v>
      </c>
      <c r="G6" s="2"/>
      <c r="H6" s="4">
        <v>185000000</v>
      </c>
      <c r="K6" t="s">
        <v>14</v>
      </c>
      <c r="L6" t="s">
        <v>15</v>
      </c>
    </row>
    <row r="7" spans="2:12">
      <c r="B7" s="1" t="s">
        <v>7</v>
      </c>
      <c r="C7" s="2"/>
      <c r="D7" s="5">
        <v>60</v>
      </c>
      <c r="F7" s="1" t="s">
        <v>7</v>
      </c>
      <c r="G7" s="2"/>
      <c r="H7" s="5">
        <v>60</v>
      </c>
      <c r="K7" t="s">
        <v>17</v>
      </c>
      <c r="L7" t="s">
        <v>18</v>
      </c>
    </row>
    <row r="8" spans="2:12">
      <c r="B8" s="1" t="s">
        <v>8</v>
      </c>
      <c r="C8" s="2" t="s">
        <v>9</v>
      </c>
      <c r="D8" s="6">
        <v>0.126</v>
      </c>
      <c r="F8" s="1" t="s">
        <v>8</v>
      </c>
      <c r="G8" s="2" t="s">
        <v>9</v>
      </c>
      <c r="H8" s="6">
        <v>0.12</v>
      </c>
      <c r="K8" t="s">
        <v>20</v>
      </c>
      <c r="L8" t="s">
        <v>21</v>
      </c>
    </row>
    <row r="9" spans="2:12">
      <c r="B9" s="7"/>
      <c r="C9" s="8" t="s">
        <v>10</v>
      </c>
      <c r="D9" s="9">
        <v>6.7799999999999999E-2</v>
      </c>
      <c r="F9" s="7"/>
      <c r="G9" s="8" t="s">
        <v>10</v>
      </c>
      <c r="H9" s="9">
        <v>6.4299999999999996E-2</v>
      </c>
      <c r="K9" t="s">
        <v>53</v>
      </c>
      <c r="L9" t="s">
        <v>54</v>
      </c>
    </row>
    <row r="10" spans="2:12">
      <c r="B10" s="1" t="s">
        <v>11</v>
      </c>
      <c r="C10" s="10">
        <v>0.2</v>
      </c>
      <c r="D10" s="11">
        <f>C10*D6</f>
        <v>38700000</v>
      </c>
      <c r="F10" s="1" t="s">
        <v>11</v>
      </c>
      <c r="G10" s="10">
        <v>0.2</v>
      </c>
      <c r="H10" s="11">
        <f>G10*H6</f>
        <v>37000000</v>
      </c>
    </row>
    <row r="11" spans="2:12">
      <c r="B11" s="1" t="s">
        <v>12</v>
      </c>
      <c r="C11" s="2"/>
      <c r="D11" s="4">
        <f>D6-D10</f>
        <v>154800000</v>
      </c>
      <c r="F11" s="1" t="s">
        <v>12</v>
      </c>
      <c r="G11" s="2"/>
      <c r="H11" s="4">
        <f>H6-H10</f>
        <v>148000000</v>
      </c>
    </row>
    <row r="12" spans="2:12">
      <c r="B12" s="1" t="s">
        <v>46</v>
      </c>
      <c r="C12" s="2"/>
      <c r="D12" s="4">
        <v>18421200</v>
      </c>
      <c r="F12" s="1" t="s">
        <v>46</v>
      </c>
      <c r="G12" s="2"/>
      <c r="H12" s="4">
        <v>17612000</v>
      </c>
    </row>
    <row r="13" spans="2:12">
      <c r="B13" s="1" t="s">
        <v>16</v>
      </c>
      <c r="C13" s="2"/>
      <c r="D13" s="4">
        <f>ROUNDUP((((((D12+D11)*D9)*D7/12)+D12+D11)/D7),-2)</f>
        <v>3865800</v>
      </c>
      <c r="F13" s="1" t="s">
        <v>16</v>
      </c>
      <c r="G13" s="2"/>
      <c r="H13" s="4">
        <f>ROUNDUP((((((H11+H12)*H9)*H7/12)+H11+H12)/H7),-2)</f>
        <v>3647700</v>
      </c>
    </row>
    <row r="14" spans="2:12">
      <c r="B14" s="1" t="s">
        <v>19</v>
      </c>
      <c r="C14" s="12">
        <v>0.12239999999999999</v>
      </c>
      <c r="D14" s="4">
        <f>D6*C14</f>
        <v>23684400</v>
      </c>
      <c r="F14" s="1" t="s">
        <v>19</v>
      </c>
      <c r="G14" s="12">
        <v>0.12239999999999999</v>
      </c>
      <c r="H14" s="4">
        <f>H6*G14</f>
        <v>22644000</v>
      </c>
    </row>
    <row r="15" spans="2:12">
      <c r="B15" s="1" t="s">
        <v>22</v>
      </c>
      <c r="C15" s="2"/>
      <c r="D15" s="4"/>
      <c r="F15" s="1" t="s">
        <v>22</v>
      </c>
      <c r="G15" s="2"/>
      <c r="H15" s="4"/>
    </row>
    <row r="16" spans="2:12">
      <c r="B16" s="1509" t="s">
        <v>23</v>
      </c>
      <c r="C16" s="1510"/>
      <c r="D16" s="1511"/>
      <c r="F16" s="1509" t="s">
        <v>23</v>
      </c>
      <c r="G16" s="1510"/>
      <c r="H16" s="1511"/>
    </row>
    <row r="17" spans="2:10">
      <c r="B17" s="13" t="s">
        <v>24</v>
      </c>
      <c r="C17" s="14"/>
      <c r="D17" s="15">
        <f>((D11+D12)*D9)*D7/12</f>
        <v>58721986.79999999</v>
      </c>
      <c r="F17" s="13" t="s">
        <v>24</v>
      </c>
      <c r="G17" s="14"/>
      <c r="H17" s="15">
        <f>((H11+H12)*H9)*H7/12</f>
        <v>53244258</v>
      </c>
    </row>
    <row r="18" spans="2:10">
      <c r="B18" s="13" t="s">
        <v>25</v>
      </c>
      <c r="C18" s="16"/>
      <c r="D18" s="4">
        <v>2300000</v>
      </c>
      <c r="F18" s="13" t="s">
        <v>25</v>
      </c>
      <c r="G18" s="16"/>
      <c r="H18" s="4">
        <v>2300000</v>
      </c>
    </row>
    <row r="19" spans="2:10">
      <c r="B19" s="13" t="s">
        <v>26</v>
      </c>
      <c r="C19" s="17">
        <v>0.25</v>
      </c>
      <c r="D19" s="11">
        <f>C19*D14</f>
        <v>5921100</v>
      </c>
      <c r="F19" s="13" t="s">
        <v>26</v>
      </c>
      <c r="G19" s="17">
        <v>0.25</v>
      </c>
      <c r="H19" s="4">
        <f>G19*H14</f>
        <v>5661000</v>
      </c>
    </row>
    <row r="20" spans="2:10">
      <c r="B20" s="18" t="s">
        <v>27</v>
      </c>
      <c r="C20" s="19"/>
      <c r="D20" s="20">
        <f>SUM(D17:D19)</f>
        <v>66943086.79999999</v>
      </c>
      <c r="F20" s="13" t="s">
        <v>28</v>
      </c>
      <c r="G20" s="17"/>
      <c r="H20" s="4">
        <f>(H30*2%)*98%</f>
        <v>3508400</v>
      </c>
    </row>
    <row r="21" spans="2:10">
      <c r="B21" s="1509" t="s">
        <v>29</v>
      </c>
      <c r="C21" s="1510"/>
      <c r="D21" s="1511"/>
      <c r="F21" s="13" t="s">
        <v>49</v>
      </c>
      <c r="G21" s="17"/>
      <c r="H21" s="11">
        <v>5000000</v>
      </c>
    </row>
    <row r="22" spans="2:10">
      <c r="B22" s="13" t="s">
        <v>30</v>
      </c>
      <c r="C22" s="17">
        <v>-0.15</v>
      </c>
      <c r="D22" s="4">
        <f>D14*C22</f>
        <v>-3552660</v>
      </c>
      <c r="F22" s="18" t="s">
        <v>27</v>
      </c>
      <c r="G22" s="19"/>
      <c r="H22" s="20">
        <f>SUM(H17:H21)</f>
        <v>69713658</v>
      </c>
    </row>
    <row r="23" spans="2:10">
      <c r="B23" s="21" t="s">
        <v>31</v>
      </c>
      <c r="C23" s="22">
        <v>5.5100000000000003E-2</v>
      </c>
      <c r="D23" s="11">
        <f>-(D11*C23)*D7/12</f>
        <v>-42647400</v>
      </c>
      <c r="F23" s="1509" t="s">
        <v>29</v>
      </c>
      <c r="G23" s="1510"/>
      <c r="H23" s="1511"/>
    </row>
    <row r="24" spans="2:10">
      <c r="B24" s="23" t="s">
        <v>27</v>
      </c>
      <c r="C24" s="24"/>
      <c r="D24" s="11">
        <f>SUM(D22:D23)</f>
        <v>-46200060</v>
      </c>
      <c r="F24" s="25" t="s">
        <v>32</v>
      </c>
      <c r="G24" s="14"/>
      <c r="H24" s="15">
        <v>-550000</v>
      </c>
    </row>
    <row r="25" spans="2:10" ht="15.75" thickBot="1">
      <c r="B25" s="26" t="s">
        <v>33</v>
      </c>
      <c r="C25" s="27"/>
      <c r="D25" s="28">
        <f>D20+D24</f>
        <v>20743026.79999999</v>
      </c>
      <c r="F25" s="13" t="s">
        <v>30</v>
      </c>
      <c r="G25" s="17">
        <v>-0.25</v>
      </c>
      <c r="H25" s="4">
        <f>H14*G25</f>
        <v>-5661000</v>
      </c>
    </row>
    <row r="26" spans="2:10">
      <c r="B26" s="29" t="s">
        <v>50</v>
      </c>
      <c r="C26" s="29"/>
      <c r="D26" s="30"/>
      <c r="F26" s="21" t="s">
        <v>31</v>
      </c>
      <c r="G26" s="22">
        <v>5.5100000000000003E-2</v>
      </c>
      <c r="H26" s="11">
        <f>-(H11*G26)*H7/12</f>
        <v>-40774000</v>
      </c>
    </row>
    <row r="27" spans="2:10">
      <c r="F27" s="23" t="s">
        <v>27</v>
      </c>
      <c r="G27" s="24"/>
      <c r="H27" s="11">
        <f>SUM(H24:H26)</f>
        <v>-46985000</v>
      </c>
    </row>
    <row r="28" spans="2:10" ht="15.75" thickBot="1">
      <c r="F28" s="26" t="s">
        <v>33</v>
      </c>
      <c r="G28" s="27"/>
      <c r="H28" s="28">
        <f>H22+H27</f>
        <v>22728658</v>
      </c>
    </row>
    <row r="29" spans="2:10">
      <c r="F29" s="29" t="s">
        <v>50</v>
      </c>
      <c r="G29" s="29"/>
      <c r="H29" s="30"/>
    </row>
    <row r="30" spans="2:10">
      <c r="F30" s="29" t="s">
        <v>34</v>
      </c>
      <c r="G30" s="29"/>
      <c r="H30" s="31">
        <v>179000000</v>
      </c>
      <c r="J30" s="43"/>
    </row>
    <row r="32" spans="2:10">
      <c r="B32" t="s">
        <v>35</v>
      </c>
    </row>
    <row r="33" spans="2:20" ht="15.75" thickBot="1"/>
    <row r="34" spans="2:20" ht="15.75" thickBot="1">
      <c r="B34" s="1512" t="s">
        <v>57</v>
      </c>
      <c r="C34" s="1513"/>
      <c r="D34" s="1514"/>
      <c r="F34" s="1512" t="s">
        <v>37</v>
      </c>
      <c r="G34" s="1513"/>
      <c r="H34" s="1514"/>
      <c r="J34" s="1512" t="s">
        <v>37</v>
      </c>
      <c r="K34" s="1513"/>
      <c r="L34" s="1514"/>
      <c r="N34" s="1512" t="s">
        <v>36</v>
      </c>
      <c r="O34" s="1513"/>
      <c r="P34" s="1514"/>
      <c r="R34" s="1512" t="s">
        <v>36</v>
      </c>
      <c r="S34" s="1513"/>
      <c r="T34" s="1514"/>
    </row>
    <row r="35" spans="2:20">
      <c r="B35" s="1" t="s">
        <v>38</v>
      </c>
      <c r="C35" s="2"/>
      <c r="D35" s="3" t="s">
        <v>4</v>
      </c>
      <c r="F35" s="1" t="s">
        <v>5</v>
      </c>
      <c r="G35" s="2"/>
      <c r="H35" s="3" t="s">
        <v>4</v>
      </c>
      <c r="J35" s="1" t="s">
        <v>39</v>
      </c>
      <c r="K35" s="2"/>
      <c r="L35" s="3" t="s">
        <v>4</v>
      </c>
      <c r="N35" s="1" t="s">
        <v>40</v>
      </c>
      <c r="O35" s="2"/>
      <c r="P35" s="3" t="s">
        <v>4</v>
      </c>
      <c r="R35" s="1" t="s">
        <v>41</v>
      </c>
      <c r="S35" s="2"/>
      <c r="T35" s="3" t="s">
        <v>4</v>
      </c>
    </row>
    <row r="36" spans="2:20">
      <c r="B36" s="1" t="s">
        <v>6</v>
      </c>
      <c r="C36" s="2"/>
      <c r="D36" s="4">
        <v>190400000</v>
      </c>
      <c r="F36" s="1" t="s">
        <v>42</v>
      </c>
      <c r="G36" s="2"/>
      <c r="H36" s="32">
        <v>197500000</v>
      </c>
      <c r="J36" s="1" t="s">
        <v>6</v>
      </c>
      <c r="K36" s="2"/>
      <c r="L36" s="32">
        <v>171500000</v>
      </c>
      <c r="N36" s="1" t="s">
        <v>6</v>
      </c>
      <c r="O36" s="2"/>
      <c r="P36" s="4">
        <v>122550000</v>
      </c>
      <c r="R36" s="1" t="s">
        <v>6</v>
      </c>
      <c r="S36" s="2"/>
      <c r="T36" s="4">
        <v>116950000</v>
      </c>
    </row>
    <row r="37" spans="2:20" ht="17.25">
      <c r="B37" s="1" t="s">
        <v>7</v>
      </c>
      <c r="C37" s="2"/>
      <c r="D37" s="5">
        <v>60</v>
      </c>
      <c r="F37" s="1" t="s">
        <v>43</v>
      </c>
      <c r="G37" s="2"/>
      <c r="H37" s="33">
        <v>25000000</v>
      </c>
      <c r="J37" s="1" t="s">
        <v>43</v>
      </c>
      <c r="K37" s="2"/>
      <c r="L37" s="33">
        <v>25000000</v>
      </c>
      <c r="N37" s="1" t="s">
        <v>7</v>
      </c>
      <c r="O37" s="2"/>
      <c r="P37" s="5">
        <v>60</v>
      </c>
      <c r="R37" s="1" t="s">
        <v>7</v>
      </c>
      <c r="S37" s="2"/>
      <c r="T37" s="5">
        <v>60</v>
      </c>
    </row>
    <row r="38" spans="2:20">
      <c r="B38" s="1" t="s">
        <v>8</v>
      </c>
      <c r="C38" s="2" t="s">
        <v>9</v>
      </c>
      <c r="D38" s="6">
        <v>0.115</v>
      </c>
      <c r="F38" s="1" t="s">
        <v>44</v>
      </c>
      <c r="G38" s="2"/>
      <c r="H38" s="4">
        <f>H36-H37</f>
        <v>172500000</v>
      </c>
      <c r="J38" s="1" t="s">
        <v>6</v>
      </c>
      <c r="K38" s="2"/>
      <c r="L38" s="4">
        <f>L36-L37</f>
        <v>146500000</v>
      </c>
      <c r="N38" s="1" t="s">
        <v>8</v>
      </c>
      <c r="O38" s="2" t="s">
        <v>9</v>
      </c>
      <c r="P38" s="6">
        <v>0.121</v>
      </c>
      <c r="R38" s="1" t="s">
        <v>8</v>
      </c>
      <c r="S38" s="2" t="s">
        <v>9</v>
      </c>
      <c r="T38" s="6">
        <v>0.121</v>
      </c>
    </row>
    <row r="39" spans="2:20">
      <c r="B39" s="7"/>
      <c r="C39" s="8" t="s">
        <v>10</v>
      </c>
      <c r="D39" s="9">
        <v>6.1499999999999999E-2</v>
      </c>
      <c r="F39" s="1" t="s">
        <v>7</v>
      </c>
      <c r="G39" s="2"/>
      <c r="H39" s="5">
        <v>60</v>
      </c>
      <c r="J39" s="1" t="s">
        <v>7</v>
      </c>
      <c r="K39" s="2"/>
      <c r="L39" s="5">
        <v>60</v>
      </c>
      <c r="N39" s="7"/>
      <c r="O39" s="8" t="s">
        <v>10</v>
      </c>
      <c r="P39" s="9">
        <v>6.4899999999999999E-2</v>
      </c>
      <c r="R39" s="7"/>
      <c r="S39" s="8" t="s">
        <v>10</v>
      </c>
      <c r="T39" s="9">
        <v>6.4899999999999999E-2</v>
      </c>
    </row>
    <row r="40" spans="2:20">
      <c r="B40" s="1" t="s">
        <v>45</v>
      </c>
      <c r="C40" s="10">
        <v>0.2</v>
      </c>
      <c r="D40" s="11">
        <f>C40*D36</f>
        <v>38080000</v>
      </c>
      <c r="F40" s="1" t="s">
        <v>8</v>
      </c>
      <c r="G40" s="2" t="s">
        <v>9</v>
      </c>
      <c r="H40" s="6">
        <v>0.115</v>
      </c>
      <c r="J40" s="1" t="s">
        <v>8</v>
      </c>
      <c r="K40" s="2" t="s">
        <v>9</v>
      </c>
      <c r="L40" s="6">
        <v>0.115</v>
      </c>
      <c r="N40" s="1" t="s">
        <v>45</v>
      </c>
      <c r="O40" s="10">
        <v>0.2</v>
      </c>
      <c r="P40" s="11">
        <f>O40*P36</f>
        <v>24510000</v>
      </c>
      <c r="R40" s="1" t="s">
        <v>45</v>
      </c>
      <c r="S40" s="10">
        <v>0.2</v>
      </c>
      <c r="T40" s="11">
        <f>S40*T36</f>
        <v>23390000</v>
      </c>
    </row>
    <row r="41" spans="2:20">
      <c r="B41" s="1" t="s">
        <v>12</v>
      </c>
      <c r="C41" s="2"/>
      <c r="D41" s="4">
        <f>D36-D40</f>
        <v>152320000</v>
      </c>
      <c r="F41" s="7"/>
      <c r="G41" s="8" t="s">
        <v>10</v>
      </c>
      <c r="H41" s="9">
        <v>6.1499999999999999E-2</v>
      </c>
      <c r="J41" s="7"/>
      <c r="K41" s="8" t="s">
        <v>10</v>
      </c>
      <c r="L41" s="9">
        <v>6.1499999999999999E-2</v>
      </c>
      <c r="N41" s="1" t="s">
        <v>12</v>
      </c>
      <c r="O41" s="2"/>
      <c r="P41" s="4">
        <f>P36-P40</f>
        <v>98040000</v>
      </c>
      <c r="R41" s="1" t="s">
        <v>12</v>
      </c>
      <c r="S41" s="2"/>
      <c r="T41" s="4">
        <f>T36-T40</f>
        <v>93560000</v>
      </c>
    </row>
    <row r="42" spans="2:20">
      <c r="B42" s="1" t="s">
        <v>46</v>
      </c>
      <c r="C42" s="12"/>
      <c r="D42" s="44"/>
      <c r="F42" s="1" t="s">
        <v>45</v>
      </c>
      <c r="G42" s="10">
        <v>0.2</v>
      </c>
      <c r="H42" s="11">
        <f>G42*H38</f>
        <v>34500000</v>
      </c>
      <c r="J42" s="1" t="s">
        <v>45</v>
      </c>
      <c r="K42" s="10">
        <v>0.2</v>
      </c>
      <c r="L42" s="11">
        <f>K42*L38</f>
        <v>29300000</v>
      </c>
      <c r="N42" s="1" t="s">
        <v>46</v>
      </c>
      <c r="O42" s="34"/>
      <c r="P42" s="4">
        <v>15058219</v>
      </c>
      <c r="R42" s="1" t="s">
        <v>46</v>
      </c>
      <c r="S42" s="34"/>
      <c r="T42" s="44">
        <v>14396718.75</v>
      </c>
    </row>
    <row r="43" spans="2:20">
      <c r="B43" s="1" t="s">
        <v>16</v>
      </c>
      <c r="C43" s="2"/>
      <c r="D43" s="4">
        <f>ROUNDUP((((((D41+D42)*D39)*D37/12)+(D41+D42))/D37),-2)</f>
        <v>3319400</v>
      </c>
      <c r="F43" s="1" t="s">
        <v>12</v>
      </c>
      <c r="G43" s="2"/>
      <c r="H43" s="4">
        <f>H38-H42</f>
        <v>138000000</v>
      </c>
      <c r="J43" s="1" t="s">
        <v>12</v>
      </c>
      <c r="K43" s="2"/>
      <c r="L43" s="4">
        <f>L38-L42</f>
        <v>117200000</v>
      </c>
      <c r="N43" s="1" t="s">
        <v>16</v>
      </c>
      <c r="O43" s="2"/>
      <c r="P43" s="4">
        <f>ROUNDUP((((((P41+P42)*P39)*P37/12)+(P41+P42))/P37),-2)</f>
        <v>2496700</v>
      </c>
      <c r="R43" s="1" t="s">
        <v>16</v>
      </c>
      <c r="S43" s="2"/>
      <c r="T43" s="4">
        <f>ROUNDUP((((((T41+T42)*T39)*T37/12)+(T41+T42))/T37),-2)</f>
        <v>2383200</v>
      </c>
    </row>
    <row r="44" spans="2:20">
      <c r="B44" s="1" t="s">
        <v>18</v>
      </c>
      <c r="C44" s="35"/>
      <c r="D44" s="4">
        <v>19959679</v>
      </c>
      <c r="F44" s="1" t="s">
        <v>46</v>
      </c>
      <c r="G44" s="34"/>
      <c r="H44" s="4">
        <v>15687825</v>
      </c>
      <c r="J44" s="1" t="s">
        <v>46</v>
      </c>
      <c r="K44" s="34"/>
      <c r="L44" s="4">
        <v>17887313</v>
      </c>
      <c r="N44" s="1" t="s">
        <v>18</v>
      </c>
      <c r="O44" s="35"/>
      <c r="P44" s="4">
        <v>19799344</v>
      </c>
      <c r="R44" s="1" t="s">
        <v>18</v>
      </c>
      <c r="S44" s="35"/>
      <c r="T44" s="4">
        <v>18927844</v>
      </c>
    </row>
    <row r="45" spans="2:20">
      <c r="B45" s="1" t="s">
        <v>47</v>
      </c>
      <c r="C45" s="2"/>
      <c r="D45" s="4"/>
      <c r="F45" s="1" t="s">
        <v>16</v>
      </c>
      <c r="G45" s="2"/>
      <c r="H45" s="4">
        <f>ROUNDUP((((((H43+H44)*H41)*H39/12)+(H43+H44))/H39),-2)</f>
        <v>3349200</v>
      </c>
      <c r="J45" s="1" t="s">
        <v>16</v>
      </c>
      <c r="K45" s="2"/>
      <c r="L45" s="4">
        <f>ROUNDUP((((((L43+L44)*L41)*L39/12)+(L43+L44))/L39),-2)</f>
        <v>2943800</v>
      </c>
      <c r="N45" s="1" t="s">
        <v>47</v>
      </c>
      <c r="O45" s="2"/>
      <c r="P45" s="4"/>
      <c r="R45" s="1" t="s">
        <v>47</v>
      </c>
      <c r="S45" s="2"/>
      <c r="T45" s="4"/>
    </row>
    <row r="46" spans="2:20">
      <c r="B46" s="1509" t="s">
        <v>23</v>
      </c>
      <c r="C46" s="1510"/>
      <c r="D46" s="1511"/>
      <c r="F46" s="1" t="s">
        <v>18</v>
      </c>
      <c r="G46" s="12"/>
      <c r="H46" s="4">
        <v>20628825</v>
      </c>
      <c r="J46" s="1" t="s">
        <v>18</v>
      </c>
      <c r="K46" s="35"/>
      <c r="L46" s="4">
        <v>22105513</v>
      </c>
      <c r="N46" s="1509" t="s">
        <v>23</v>
      </c>
      <c r="O46" s="1510"/>
      <c r="P46" s="1511"/>
      <c r="R46" s="1509" t="s">
        <v>23</v>
      </c>
      <c r="S46" s="1510"/>
      <c r="T46" s="1511"/>
    </row>
    <row r="47" spans="2:20">
      <c r="B47" s="13" t="s">
        <v>24</v>
      </c>
      <c r="C47" s="14"/>
      <c r="D47" s="15">
        <f>((D41+D42)*D39)*D37/12</f>
        <v>46838400</v>
      </c>
      <c r="F47" s="1" t="s">
        <v>47</v>
      </c>
      <c r="G47" s="2"/>
      <c r="H47" s="4"/>
      <c r="J47" s="1" t="s">
        <v>47</v>
      </c>
      <c r="K47" s="2"/>
      <c r="L47" s="4"/>
      <c r="N47" s="13" t="s">
        <v>24</v>
      </c>
      <c r="O47" s="14"/>
      <c r="P47" s="15">
        <f>((P41+P42)*P39)*P37/12</f>
        <v>36700372.065499999</v>
      </c>
      <c r="R47" s="13" t="s">
        <v>24</v>
      </c>
      <c r="S47" s="14"/>
      <c r="T47" s="15">
        <f>((T41+T42)*T39)*T37/12</f>
        <v>35031955.234375</v>
      </c>
    </row>
    <row r="48" spans="2:20">
      <c r="B48" s="13" t="s">
        <v>25</v>
      </c>
      <c r="C48" s="16"/>
      <c r="D48" s="4">
        <v>500000</v>
      </c>
      <c r="F48" s="36" t="s">
        <v>23</v>
      </c>
      <c r="G48" s="37"/>
      <c r="H48" s="38"/>
      <c r="J48" s="36" t="s">
        <v>23</v>
      </c>
      <c r="K48" s="37"/>
      <c r="L48" s="38"/>
      <c r="N48" s="13" t="s">
        <v>25</v>
      </c>
      <c r="O48" s="16"/>
      <c r="P48" s="4">
        <v>700000</v>
      </c>
      <c r="R48" s="13" t="s">
        <v>25</v>
      </c>
      <c r="S48" s="16"/>
      <c r="T48" s="4">
        <v>700000</v>
      </c>
    </row>
    <row r="49" spans="2:20">
      <c r="B49" s="13" t="s">
        <v>26</v>
      </c>
      <c r="C49" s="42">
        <v>0.32500000000000001</v>
      </c>
      <c r="D49" s="11">
        <f>D44*C49</f>
        <v>6486895.6749999998</v>
      </c>
      <c r="F49" s="13" t="s">
        <v>24</v>
      </c>
      <c r="G49" s="14"/>
      <c r="H49" s="15">
        <f>((H43+H44)*H41)*H39/12</f>
        <v>47259006.1875</v>
      </c>
      <c r="J49" s="13" t="s">
        <v>24</v>
      </c>
      <c r="K49" s="14"/>
      <c r="L49" s="15">
        <f>((L43+L44)*L41)*L39/12</f>
        <v>41539348.747499995</v>
      </c>
      <c r="N49" s="13" t="s">
        <v>26</v>
      </c>
      <c r="O49" s="42">
        <v>0.32500000000000001</v>
      </c>
      <c r="P49" s="11">
        <f>O49*P44</f>
        <v>6434786.7999999998</v>
      </c>
      <c r="R49" s="13" t="s">
        <v>26</v>
      </c>
      <c r="S49" s="42">
        <v>0.32500000000000001</v>
      </c>
      <c r="T49" s="11">
        <f>S49*T44</f>
        <v>6151549.2999999998</v>
      </c>
    </row>
    <row r="50" spans="2:20">
      <c r="B50" s="18" t="s">
        <v>27</v>
      </c>
      <c r="C50" s="19"/>
      <c r="D50" s="20">
        <f>SUM(D47:D49)</f>
        <v>53825295.674999997</v>
      </c>
      <c r="F50" s="13" t="s">
        <v>25</v>
      </c>
      <c r="G50" s="16"/>
      <c r="H50" s="4">
        <v>700000</v>
      </c>
      <c r="J50" s="13" t="s">
        <v>25</v>
      </c>
      <c r="K50" s="16"/>
      <c r="L50" s="4">
        <v>700000</v>
      </c>
      <c r="N50" s="18" t="s">
        <v>27</v>
      </c>
      <c r="O50" s="19"/>
      <c r="P50" s="20">
        <f>SUM(P47:P49)</f>
        <v>43835158.865499996</v>
      </c>
      <c r="R50" s="18" t="s">
        <v>27</v>
      </c>
      <c r="S50" s="19"/>
      <c r="T50" s="20">
        <f>SUM(T47:T49)</f>
        <v>41883504.534374997</v>
      </c>
    </row>
    <row r="51" spans="2:20">
      <c r="B51" s="1509" t="s">
        <v>29</v>
      </c>
      <c r="C51" s="1510"/>
      <c r="D51" s="1511"/>
      <c r="F51" s="13" t="s">
        <v>26</v>
      </c>
      <c r="G51" s="42">
        <v>0.32500000000000001</v>
      </c>
      <c r="H51" s="4">
        <f>G51*H46</f>
        <v>6704368.125</v>
      </c>
      <c r="J51" s="13" t="s">
        <v>26</v>
      </c>
      <c r="K51" s="42">
        <v>0.32500000000000001</v>
      </c>
      <c r="L51" s="4">
        <f>K51*L46</f>
        <v>7184291.7250000006</v>
      </c>
      <c r="N51" s="1509" t="s">
        <v>29</v>
      </c>
      <c r="O51" s="1510"/>
      <c r="P51" s="1511"/>
      <c r="R51" s="1509" t="s">
        <v>29</v>
      </c>
      <c r="S51" s="1510"/>
      <c r="T51" s="1511"/>
    </row>
    <row r="52" spans="2:20">
      <c r="B52" s="13" t="s">
        <v>56</v>
      </c>
      <c r="C52" s="42">
        <v>-0.17499999999999999</v>
      </c>
      <c r="D52" s="4">
        <f>D44*C52</f>
        <v>-3492943.8249999997</v>
      </c>
      <c r="F52" s="13" t="s">
        <v>28</v>
      </c>
      <c r="G52" s="17"/>
      <c r="H52" s="4">
        <f>(H64*2%)*98%</f>
        <v>3488800</v>
      </c>
      <c r="J52" s="13" t="s">
        <v>28</v>
      </c>
      <c r="K52" s="17"/>
      <c r="L52" s="4">
        <f>(L64*2%)*98%</f>
        <v>2910600</v>
      </c>
      <c r="N52" s="13" t="s">
        <v>56</v>
      </c>
      <c r="O52" s="49">
        <v>-0.16750000000000001</v>
      </c>
      <c r="P52" s="4">
        <f>P44*O52</f>
        <v>-3316390.12</v>
      </c>
      <c r="R52" s="13" t="s">
        <v>56</v>
      </c>
      <c r="S52" s="42">
        <v>-0.13</v>
      </c>
      <c r="T52" s="4">
        <f>T44*S52</f>
        <v>-2460619.7200000002</v>
      </c>
    </row>
    <row r="53" spans="2:20">
      <c r="B53" s="21" t="s">
        <v>48</v>
      </c>
      <c r="C53" s="22">
        <v>5.21E-2</v>
      </c>
      <c r="D53" s="11">
        <f>-((D41+D42)*C53)*D37/12</f>
        <v>-39679360</v>
      </c>
      <c r="F53" s="13" t="s">
        <v>49</v>
      </c>
      <c r="G53" s="17"/>
      <c r="H53" s="11">
        <v>5000000</v>
      </c>
      <c r="J53" s="13" t="s">
        <v>49</v>
      </c>
      <c r="K53" s="17"/>
      <c r="L53" s="11">
        <v>5000000</v>
      </c>
      <c r="N53" s="21" t="s">
        <v>48</v>
      </c>
      <c r="O53" s="22">
        <v>5.21E-2</v>
      </c>
      <c r="P53" s="11">
        <f>-((P41+P42)*O53)*P37/12</f>
        <v>-29462086.0495</v>
      </c>
      <c r="R53" s="21" t="s">
        <v>48</v>
      </c>
      <c r="S53" s="22">
        <v>5.21E-2</v>
      </c>
      <c r="T53" s="11">
        <f>-(T41*S53)*T37/12</f>
        <v>-24372380</v>
      </c>
    </row>
    <row r="54" spans="2:20">
      <c r="B54" s="23" t="s">
        <v>27</v>
      </c>
      <c r="C54" s="24"/>
      <c r="D54" s="11">
        <f>SUM(D52:D53)</f>
        <v>-43172303.825000003</v>
      </c>
      <c r="F54" s="18" t="s">
        <v>27</v>
      </c>
      <c r="G54" s="19"/>
      <c r="H54" s="20">
        <f>SUM(H49:H53)</f>
        <v>63152174.3125</v>
      </c>
      <c r="J54" s="18" t="s">
        <v>27</v>
      </c>
      <c r="K54" s="19"/>
      <c r="L54" s="20">
        <f>SUM(L49:L53)</f>
        <v>57334240.472499996</v>
      </c>
      <c r="N54" s="23" t="s">
        <v>27</v>
      </c>
      <c r="O54" s="24"/>
      <c r="P54" s="11">
        <f>SUM(P52:P53)</f>
        <v>-32778476.169500001</v>
      </c>
      <c r="R54" s="23" t="s">
        <v>27</v>
      </c>
      <c r="S54" s="24"/>
      <c r="T54" s="11">
        <f>SUM(T52:T53)</f>
        <v>-26832999.719999999</v>
      </c>
    </row>
    <row r="55" spans="2:20" ht="15.75" thickBot="1">
      <c r="B55" s="26" t="s">
        <v>33</v>
      </c>
      <c r="C55" s="27"/>
      <c r="D55" s="28">
        <f>D50+D54</f>
        <v>10652991.849999994</v>
      </c>
      <c r="F55" s="36" t="s">
        <v>29</v>
      </c>
      <c r="G55" s="37"/>
      <c r="H55" s="38"/>
      <c r="J55" s="36" t="s">
        <v>29</v>
      </c>
      <c r="K55" s="37"/>
      <c r="L55" s="38"/>
      <c r="N55" s="26" t="s">
        <v>33</v>
      </c>
      <c r="O55" s="27"/>
      <c r="P55" s="28">
        <f>P50+P54</f>
        <v>11056682.695999995</v>
      </c>
      <c r="R55" s="26" t="s">
        <v>33</v>
      </c>
      <c r="S55" s="27"/>
      <c r="T55" s="28">
        <f>T50+T54</f>
        <v>15050504.814374998</v>
      </c>
    </row>
    <row r="56" spans="2:20">
      <c r="B56" s="47"/>
      <c r="C56" s="2"/>
      <c r="D56" s="48"/>
      <c r="F56" s="13" t="s">
        <v>56</v>
      </c>
      <c r="G56" s="49">
        <v>-0.20250000000000001</v>
      </c>
      <c r="H56" s="4">
        <f>H46*G56</f>
        <v>-4177337.0625000005</v>
      </c>
      <c r="J56" s="13" t="s">
        <v>56</v>
      </c>
      <c r="K56" s="42">
        <v>-0.255</v>
      </c>
      <c r="L56" s="4">
        <f>L46*K56</f>
        <v>-5636905.8150000004</v>
      </c>
      <c r="N56" s="47"/>
      <c r="O56" s="2"/>
      <c r="P56" s="48"/>
      <c r="R56" s="47"/>
      <c r="S56" s="2"/>
      <c r="T56" s="48"/>
    </row>
    <row r="57" spans="2:20" ht="15.75" thickBot="1">
      <c r="C57" s="29"/>
      <c r="D57" s="30"/>
      <c r="F57" s="21" t="s">
        <v>48</v>
      </c>
      <c r="G57" s="22">
        <v>5.21E-2</v>
      </c>
      <c r="H57" s="11">
        <f>-((H43+H44)*G57)*H39/12</f>
        <v>-40035678.412500001</v>
      </c>
      <c r="J57" s="21" t="s">
        <v>48</v>
      </c>
      <c r="K57" s="22">
        <v>5.21E-2</v>
      </c>
      <c r="L57" s="11">
        <f>-((L43+L44)*K57)*L39/12</f>
        <v>-35190245.036499999</v>
      </c>
      <c r="O57" s="2"/>
      <c r="P57" s="2"/>
      <c r="S57" s="2"/>
      <c r="T57" s="2"/>
    </row>
    <row r="58" spans="2:20" ht="15.75" thickBot="1">
      <c r="B58" s="45" t="s">
        <v>55</v>
      </c>
      <c r="C58" s="39"/>
      <c r="D58" s="46">
        <f>D44+D52</f>
        <v>16466735.175000001</v>
      </c>
      <c r="F58" s="23" t="s">
        <v>27</v>
      </c>
      <c r="G58" s="24"/>
      <c r="H58" s="11">
        <f>SUM(H56:H57)</f>
        <v>-44213015.475000001</v>
      </c>
      <c r="J58" s="23" t="s">
        <v>27</v>
      </c>
      <c r="K58" s="24"/>
      <c r="L58" s="11">
        <f>SUM(L56:L57)</f>
        <v>-40827150.851499997</v>
      </c>
      <c r="N58" s="45" t="s">
        <v>55</v>
      </c>
      <c r="O58" s="39"/>
      <c r="P58" s="46">
        <f>P44+P52</f>
        <v>16482953.879999999</v>
      </c>
      <c r="R58" s="45" t="s">
        <v>55</v>
      </c>
      <c r="S58" s="39"/>
      <c r="T58" s="46">
        <f>T44+T52</f>
        <v>16467224.279999999</v>
      </c>
    </row>
    <row r="59" spans="2:20" ht="15.75" thickBot="1">
      <c r="B59" s="29" t="s">
        <v>50</v>
      </c>
      <c r="F59" s="26" t="s">
        <v>33</v>
      </c>
      <c r="G59" s="27"/>
      <c r="H59" s="28">
        <f>H54+H58</f>
        <v>18939158.837499999</v>
      </c>
      <c r="J59" s="26" t="s">
        <v>33</v>
      </c>
      <c r="K59" s="27"/>
      <c r="L59" s="28">
        <f>L54+L58</f>
        <v>16507089.620999999</v>
      </c>
      <c r="N59" s="29" t="s">
        <v>50</v>
      </c>
      <c r="R59" s="29" t="s">
        <v>50</v>
      </c>
      <c r="T59" s="43"/>
    </row>
    <row r="60" spans="2:20">
      <c r="D60" s="43"/>
      <c r="F60" s="47"/>
      <c r="G60" s="2"/>
      <c r="H60" s="48"/>
      <c r="J60" s="47"/>
      <c r="K60" s="2"/>
      <c r="L60" s="48"/>
      <c r="P60" s="43"/>
    </row>
    <row r="61" spans="2:20" ht="15.75" thickBot="1">
      <c r="P61" s="43"/>
    </row>
    <row r="62" spans="2:20" ht="15.75" thickBot="1">
      <c r="F62" s="45" t="s">
        <v>55</v>
      </c>
      <c r="G62" s="39"/>
      <c r="H62" s="46">
        <f>H46+H56</f>
        <v>16451487.9375</v>
      </c>
      <c r="J62" s="45" t="s">
        <v>55</v>
      </c>
      <c r="K62" s="39"/>
      <c r="L62" s="46">
        <f>L46+L56</f>
        <v>16468607.184999999</v>
      </c>
    </row>
    <row r="63" spans="2:20">
      <c r="F63" s="29" t="s">
        <v>50</v>
      </c>
      <c r="J63" s="29" t="s">
        <v>50</v>
      </c>
      <c r="K63" s="29"/>
      <c r="L63" s="2"/>
    </row>
    <row r="64" spans="2:20">
      <c r="F64" s="40" t="s">
        <v>34</v>
      </c>
      <c r="H64" s="41">
        <v>178000000</v>
      </c>
      <c r="J64" s="40" t="s">
        <v>34</v>
      </c>
      <c r="K64" s="41"/>
      <c r="L64" s="41">
        <v>148500000</v>
      </c>
    </row>
  </sheetData>
  <mergeCells count="17">
    <mergeCell ref="F23:H23"/>
    <mergeCell ref="B4:D4"/>
    <mergeCell ref="F4:H4"/>
    <mergeCell ref="B16:D16"/>
    <mergeCell ref="F16:H16"/>
    <mergeCell ref="B21:D21"/>
    <mergeCell ref="B51:D51"/>
    <mergeCell ref="N51:P51"/>
    <mergeCell ref="R51:T51"/>
    <mergeCell ref="B34:D34"/>
    <mergeCell ref="F34:H34"/>
    <mergeCell ref="J34:L34"/>
    <mergeCell ref="N34:P34"/>
    <mergeCell ref="R34:T34"/>
    <mergeCell ref="B46:D46"/>
    <mergeCell ref="N46:P46"/>
    <mergeCell ref="R46:T46"/>
  </mergeCells>
  <phoneticPr fontId="69"/>
  <pageMargins left="0.25" right="0.25" top="0.75" bottom="0.75" header="0.3" footer="0.3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E6" sqref="E6"/>
    </sheetView>
  </sheetViews>
  <sheetFormatPr defaultColWidth="9.140625" defaultRowHeight="12.75"/>
  <cols>
    <col min="1" max="1" width="6" style="579" customWidth="1"/>
    <col min="2" max="2" width="24.5703125" style="579" customWidth="1"/>
    <col min="3" max="3" width="17.42578125" style="631" hidden="1" customWidth="1"/>
    <col min="4" max="4" width="18.42578125" style="631" hidden="1" customWidth="1"/>
    <col min="5" max="5" width="18.28515625" style="631" customWidth="1"/>
    <col min="6" max="6" width="17.7109375" style="631" hidden="1" customWidth="1"/>
    <col min="7" max="7" width="16.7109375" style="631" hidden="1" customWidth="1"/>
    <col min="8" max="8" width="16.5703125" style="579" hidden="1" customWidth="1"/>
    <col min="9" max="9" width="15.28515625" style="579" customWidth="1"/>
    <col min="10" max="11" width="0" style="579" hidden="1" customWidth="1"/>
    <col min="12" max="12" width="15.140625" style="579" hidden="1" customWidth="1"/>
    <col min="13" max="13" width="18.140625" style="579" customWidth="1"/>
    <col min="14" max="14" width="18.5703125" style="579" customWidth="1"/>
    <col min="15" max="15" width="14" style="579" bestFit="1" customWidth="1"/>
    <col min="16" max="16384" width="9.140625" style="579"/>
  </cols>
  <sheetData>
    <row r="1" spans="1:15">
      <c r="A1" s="575"/>
      <c r="B1" s="576" t="s">
        <v>237</v>
      </c>
      <c r="C1" s="577">
        <f>+C4/C2</f>
        <v>2.2988057246067433E-2</v>
      </c>
      <c r="D1" s="577" t="e">
        <f>+D4/D2</f>
        <v>#REF!</v>
      </c>
      <c r="E1" s="578"/>
      <c r="F1" s="578"/>
      <c r="G1" s="578"/>
      <c r="H1" s="578"/>
      <c r="I1" s="578"/>
      <c r="J1" s="578"/>
      <c r="K1" s="578"/>
      <c r="L1" s="578"/>
    </row>
    <row r="2" spans="1:15">
      <c r="A2" s="580" t="s">
        <v>238</v>
      </c>
      <c r="B2" s="581" t="s">
        <v>239</v>
      </c>
      <c r="C2" s="582">
        <f>PV(C3/12,C5,-C4,-C6,C7)</f>
        <v>16913999988.690451</v>
      </c>
      <c r="D2" s="583">
        <f>[7]Sheet1!$L$31</f>
        <v>0</v>
      </c>
      <c r="E2" s="583" t="e">
        <f>Calculation!#REF!+Calculation!#REF!-Calculation!#REF!</f>
        <v>#REF!</v>
      </c>
      <c r="F2" s="583" t="e">
        <f>E2</f>
        <v>#REF!</v>
      </c>
      <c r="G2" s="583">
        <v>0</v>
      </c>
      <c r="H2" s="583">
        <v>318181818</v>
      </c>
      <c r="I2" s="583" t="e">
        <f>E2</f>
        <v>#REF!</v>
      </c>
      <c r="J2" s="583">
        <v>0</v>
      </c>
      <c r="K2" s="583">
        <v>318181818</v>
      </c>
      <c r="L2" s="583">
        <f>H2</f>
        <v>318181818</v>
      </c>
    </row>
    <row r="3" spans="1:15">
      <c r="A3" s="580" t="s">
        <v>240</v>
      </c>
      <c r="B3" s="581" t="s">
        <v>241</v>
      </c>
      <c r="C3" s="584">
        <v>0.1788543168</v>
      </c>
      <c r="D3" s="585" t="e">
        <f>RATE(D5,-D4,D2,-D6,D7)*12</f>
        <v>#REF!</v>
      </c>
      <c r="E3" s="584">
        <f>Calculation!D13</f>
        <v>0.12759999999999999</v>
      </c>
      <c r="F3" s="584">
        <f>E3</f>
        <v>0.12759999999999999</v>
      </c>
      <c r="G3" s="586"/>
      <c r="H3" s="584">
        <v>0.14000000000000001</v>
      </c>
      <c r="I3" s="584">
        <f>Calculation!D14</f>
        <v>8.48E-2</v>
      </c>
      <c r="J3" s="586"/>
      <c r="K3" s="584">
        <v>0.14000000000000001</v>
      </c>
      <c r="L3" s="584">
        <v>8.2400000000000001E-2</v>
      </c>
      <c r="M3" s="599"/>
      <c r="N3" s="599"/>
    </row>
    <row r="4" spans="1:15">
      <c r="A4" s="580" t="s">
        <v>242</v>
      </c>
      <c r="B4" s="581" t="s">
        <v>243</v>
      </c>
      <c r="C4" s="583">
        <v>388820000</v>
      </c>
      <c r="D4" s="583" t="e">
        <f>E4</f>
        <v>#REF!</v>
      </c>
      <c r="E4" s="587" t="e">
        <f>PMT(E3/12,E5,-E2,E6,E7)</f>
        <v>#REF!</v>
      </c>
      <c r="F4" s="588" t="e">
        <f>E4</f>
        <v>#REF!</v>
      </c>
      <c r="G4" s="589"/>
      <c r="H4" s="587">
        <f>(PMT(H3/12,H5,-H2,H6,H7))*1.1</f>
        <v>9362154.1714214813</v>
      </c>
      <c r="I4" s="587" t="e">
        <f>PMT(I3/12,I5,-I2,I6,I7)</f>
        <v>#REF!</v>
      </c>
      <c r="J4" s="589"/>
      <c r="K4" s="587">
        <f>PMT(K3/12,K5,-K2,K6,K7)</f>
        <v>8511049.2467468008</v>
      </c>
      <c r="L4" s="587">
        <f>PMT(L3/12,L5,-L2,L6,L7)</f>
        <v>7424971.3117593247</v>
      </c>
      <c r="M4" s="590" t="s">
        <v>264</v>
      </c>
      <c r="N4" s="590" t="e">
        <f>I4*I5-I2</f>
        <v>#REF!</v>
      </c>
      <c r="O4" s="590"/>
    </row>
    <row r="5" spans="1:15">
      <c r="A5" s="580" t="s">
        <v>244</v>
      </c>
      <c r="B5" s="581" t="s">
        <v>245</v>
      </c>
      <c r="C5" s="583">
        <v>36</v>
      </c>
      <c r="D5" s="583">
        <v>36</v>
      </c>
      <c r="E5" s="583" t="e">
        <f>Calculation!#REF!</f>
        <v>#REF!</v>
      </c>
      <c r="F5" s="591"/>
      <c r="G5" s="583"/>
      <c r="H5" s="583">
        <v>36</v>
      </c>
      <c r="I5" s="583" t="e">
        <f>E5</f>
        <v>#REF!</v>
      </c>
      <c r="J5" s="583"/>
      <c r="K5" s="583">
        <v>36</v>
      </c>
      <c r="L5" s="583">
        <v>36</v>
      </c>
      <c r="M5" s="636"/>
      <c r="N5" s="590"/>
      <c r="O5" s="636"/>
    </row>
    <row r="6" spans="1:15">
      <c r="A6" s="580" t="s">
        <v>246</v>
      </c>
      <c r="B6" s="581" t="s">
        <v>247</v>
      </c>
      <c r="C6" s="583">
        <v>10461800000</v>
      </c>
      <c r="D6" s="583">
        <f>E6</f>
        <v>56778621.2064</v>
      </c>
      <c r="E6" s="583">
        <f>Calculation!D21</f>
        <v>56778621.2064</v>
      </c>
      <c r="F6" s="583">
        <f>E6</f>
        <v>56778621.2064</v>
      </c>
      <c r="G6" s="582">
        <f>FV(G3/12,G5,G4,-G2,G7)</f>
        <v>0</v>
      </c>
      <c r="H6" s="583">
        <v>105000000</v>
      </c>
      <c r="I6" s="583">
        <v>0</v>
      </c>
      <c r="J6" s="582">
        <f>FV(J3/12,J5,J4,-J2,J7)</f>
        <v>0</v>
      </c>
      <c r="K6" s="583">
        <v>105000000</v>
      </c>
      <c r="L6" s="583">
        <v>105000000</v>
      </c>
    </row>
    <row r="7" spans="1:15">
      <c r="A7" s="580" t="s">
        <v>248</v>
      </c>
      <c r="B7" s="592" t="s">
        <v>249</v>
      </c>
      <c r="C7" s="583">
        <v>0</v>
      </c>
      <c r="D7" s="583">
        <v>0</v>
      </c>
      <c r="E7" s="583">
        <v>0</v>
      </c>
      <c r="F7" s="583">
        <v>0</v>
      </c>
      <c r="G7" s="583">
        <v>0</v>
      </c>
      <c r="H7" s="583">
        <v>0</v>
      </c>
      <c r="I7" s="583">
        <v>0</v>
      </c>
      <c r="J7" s="583">
        <v>0</v>
      </c>
      <c r="K7" s="583">
        <v>0</v>
      </c>
      <c r="L7" s="583">
        <v>0</v>
      </c>
    </row>
    <row r="8" spans="1:15">
      <c r="A8" s="580" t="s">
        <v>250</v>
      </c>
      <c r="B8" s="593" t="s">
        <v>251</v>
      </c>
      <c r="C8" s="594">
        <v>43097</v>
      </c>
      <c r="D8" s="594"/>
      <c r="E8" s="594"/>
      <c r="F8" s="594"/>
      <c r="G8" s="594"/>
      <c r="H8" s="594"/>
      <c r="I8" s="594"/>
      <c r="J8" s="594"/>
      <c r="K8" s="594"/>
      <c r="L8" s="594"/>
    </row>
    <row r="9" spans="1:15" s="595" customFormat="1">
      <c r="B9" s="596"/>
      <c r="C9" s="597"/>
      <c r="D9" s="597"/>
      <c r="E9" s="597"/>
      <c r="F9" s="597"/>
      <c r="G9" s="597"/>
    </row>
    <row r="10" spans="1:15" s="599" customFormat="1" hidden="1">
      <c r="A10" s="598" t="s">
        <v>252</v>
      </c>
      <c r="B10" s="598" t="s">
        <v>250</v>
      </c>
      <c r="C10" s="598" t="s">
        <v>253</v>
      </c>
      <c r="D10" s="598" t="s">
        <v>254</v>
      </c>
      <c r="E10" s="598" t="s">
        <v>255</v>
      </c>
      <c r="F10" s="598" t="s">
        <v>256</v>
      </c>
      <c r="G10" s="598" t="s">
        <v>257</v>
      </c>
    </row>
    <row r="11" spans="1:15" hidden="1">
      <c r="A11" s="598"/>
      <c r="B11" s="600"/>
      <c r="C11" s="601">
        <f>PV(C3/12,C5,-C4,-C6,C7)</f>
        <v>16913999988.690451</v>
      </c>
      <c r="D11" s="602"/>
      <c r="E11" s="602"/>
      <c r="F11" s="602"/>
      <c r="G11" s="602"/>
    </row>
    <row r="12" spans="1:15" s="608" customFormat="1" hidden="1">
      <c r="A12" s="603">
        <f t="shared" ref="A12:A47" si="0">IF(A11&lt;$C$5,A11+1,"")</f>
        <v>1</v>
      </c>
      <c r="B12" s="604">
        <f t="shared" ref="B12:B47" si="1">IF(A12="","",EDATE($C$8,A12))</f>
        <v>43128</v>
      </c>
      <c r="C12" s="605">
        <f t="shared" ref="C12:C47" si="2">IF(A12="","",ROUND(PV($C$3/12,$C$5-A12,-$C$4,-$C$6,$C$7),0))</f>
        <v>16777275148</v>
      </c>
      <c r="D12" s="606">
        <f>IF(A12="","",+C12/$C$11)</f>
        <v>0.99191646915088849</v>
      </c>
      <c r="E12" s="607">
        <f t="shared" ref="E12:E47" si="3">IF(A12="","",+C11-C12)</f>
        <v>136724840.69045067</v>
      </c>
      <c r="F12" s="605">
        <f t="shared" ref="F12:F47" si="4">IF(A12="","",G12-E12)</f>
        <v>252095159.30954933</v>
      </c>
      <c r="G12" s="605">
        <f t="shared" ref="G12:G47" si="5">IF(A12="","",ROUND($C$4,0))</f>
        <v>388820000</v>
      </c>
    </row>
    <row r="13" spans="1:15" s="608" customFormat="1" hidden="1">
      <c r="A13" s="603">
        <f t="shared" si="0"/>
        <v>2</v>
      </c>
      <c r="B13" s="604">
        <f t="shared" si="1"/>
        <v>43159</v>
      </c>
      <c r="C13" s="605">
        <f t="shared" si="2"/>
        <v>16638512488</v>
      </c>
      <c r="D13" s="606">
        <f t="shared" ref="D13:D47" si="6">IF(A13="","",+C13/$C$11)</f>
        <v>0.98371245708438837</v>
      </c>
      <c r="E13" s="605">
        <f t="shared" si="3"/>
        <v>138762660</v>
      </c>
      <c r="F13" s="605">
        <f t="shared" si="4"/>
        <v>250057340</v>
      </c>
      <c r="G13" s="605">
        <f t="shared" si="5"/>
        <v>388820000</v>
      </c>
    </row>
    <row r="14" spans="1:15" s="613" customFormat="1" hidden="1">
      <c r="A14" s="609">
        <f t="shared" si="0"/>
        <v>3</v>
      </c>
      <c r="B14" s="610">
        <f t="shared" si="1"/>
        <v>43187</v>
      </c>
      <c r="C14" s="611">
        <f t="shared" si="2"/>
        <v>16497681637</v>
      </c>
      <c r="D14" s="612">
        <f t="shared" si="6"/>
        <v>0.97538616814657553</v>
      </c>
      <c r="E14" s="611">
        <f t="shared" si="3"/>
        <v>140830851</v>
      </c>
      <c r="F14" s="611">
        <f t="shared" si="4"/>
        <v>247989149</v>
      </c>
      <c r="G14" s="611">
        <f t="shared" si="5"/>
        <v>388820000</v>
      </c>
    </row>
    <row r="15" spans="1:15" s="608" customFormat="1" hidden="1">
      <c r="A15" s="603">
        <f t="shared" si="0"/>
        <v>4</v>
      </c>
      <c r="B15" s="604">
        <f t="shared" si="1"/>
        <v>43218</v>
      </c>
      <c r="C15" s="605">
        <f t="shared" si="2"/>
        <v>16354751769</v>
      </c>
      <c r="D15" s="606">
        <f t="shared" si="6"/>
        <v>0.96693577982355494</v>
      </c>
      <c r="E15" s="605">
        <f t="shared" si="3"/>
        <v>142929868</v>
      </c>
      <c r="F15" s="605">
        <f t="shared" si="4"/>
        <v>245890132</v>
      </c>
      <c r="G15" s="605">
        <f t="shared" si="5"/>
        <v>388820000</v>
      </c>
    </row>
    <row r="16" spans="1:15" s="618" customFormat="1" hidden="1">
      <c r="A16" s="614">
        <f t="shared" si="0"/>
        <v>5</v>
      </c>
      <c r="B16" s="615">
        <f t="shared" si="1"/>
        <v>43248</v>
      </c>
      <c r="C16" s="616">
        <f t="shared" si="2"/>
        <v>16209691598</v>
      </c>
      <c r="D16" s="617">
        <f t="shared" si="6"/>
        <v>0.95835944240502624</v>
      </c>
      <c r="E16" s="616">
        <f t="shared" si="3"/>
        <v>145060171</v>
      </c>
      <c r="F16" s="616">
        <f t="shared" si="4"/>
        <v>243759829</v>
      </c>
      <c r="G16" s="616">
        <f t="shared" si="5"/>
        <v>388820000</v>
      </c>
    </row>
    <row r="17" spans="1:7" s="618" customFormat="1" hidden="1">
      <c r="A17" s="614">
        <f t="shared" si="0"/>
        <v>6</v>
      </c>
      <c r="B17" s="615">
        <f t="shared" si="1"/>
        <v>43279</v>
      </c>
      <c r="C17" s="616">
        <f t="shared" si="2"/>
        <v>16062469374</v>
      </c>
      <c r="D17" s="617">
        <f t="shared" si="6"/>
        <v>0.9496552787477931</v>
      </c>
      <c r="E17" s="616">
        <f t="shared" si="3"/>
        <v>147222224</v>
      </c>
      <c r="F17" s="616">
        <f t="shared" si="4"/>
        <v>241597776</v>
      </c>
      <c r="G17" s="616">
        <f t="shared" si="5"/>
        <v>388820000</v>
      </c>
    </row>
    <row r="18" spans="1:7" s="618" customFormat="1" hidden="1">
      <c r="A18" s="614">
        <f t="shared" si="0"/>
        <v>7</v>
      </c>
      <c r="B18" s="615">
        <f t="shared" si="1"/>
        <v>43309</v>
      </c>
      <c r="C18" s="616">
        <f t="shared" si="2"/>
        <v>15913052873</v>
      </c>
      <c r="D18" s="617">
        <f t="shared" si="6"/>
        <v>0.94082138368453738</v>
      </c>
      <c r="E18" s="616">
        <f t="shared" si="3"/>
        <v>149416501</v>
      </c>
      <c r="F18" s="616">
        <f t="shared" si="4"/>
        <v>239403499</v>
      </c>
      <c r="G18" s="616">
        <f t="shared" si="5"/>
        <v>388820000</v>
      </c>
    </row>
    <row r="19" spans="1:7" s="618" customFormat="1" hidden="1">
      <c r="A19" s="614">
        <f t="shared" si="0"/>
        <v>8</v>
      </c>
      <c r="B19" s="615">
        <f t="shared" si="1"/>
        <v>43340</v>
      </c>
      <c r="C19" s="616">
        <f t="shared" si="2"/>
        <v>15761409390</v>
      </c>
      <c r="D19" s="617">
        <f t="shared" si="6"/>
        <v>0.93185582360996033</v>
      </c>
      <c r="E19" s="616">
        <f t="shared" si="3"/>
        <v>151643483</v>
      </c>
      <c r="F19" s="616">
        <f t="shared" si="4"/>
        <v>237176517</v>
      </c>
      <c r="G19" s="616">
        <f t="shared" si="5"/>
        <v>388820000</v>
      </c>
    </row>
    <row r="20" spans="1:7" s="623" customFormat="1" hidden="1">
      <c r="A20" s="619">
        <f t="shared" si="0"/>
        <v>9</v>
      </c>
      <c r="B20" s="620">
        <f t="shared" si="1"/>
        <v>43371</v>
      </c>
      <c r="C20" s="621">
        <f t="shared" si="2"/>
        <v>15607505732</v>
      </c>
      <c r="D20" s="622">
        <f t="shared" si="6"/>
        <v>0.9227566360669246</v>
      </c>
      <c r="E20" s="621">
        <f t="shared" si="3"/>
        <v>153903658</v>
      </c>
      <c r="F20" s="621">
        <f t="shared" si="4"/>
        <v>234916342</v>
      </c>
      <c r="G20" s="621">
        <f t="shared" si="5"/>
        <v>388820000</v>
      </c>
    </row>
    <row r="21" spans="1:7" s="623" customFormat="1" hidden="1">
      <c r="A21" s="619">
        <f t="shared" si="0"/>
        <v>10</v>
      </c>
      <c r="B21" s="620">
        <f t="shared" si="1"/>
        <v>43401</v>
      </c>
      <c r="C21" s="621">
        <f t="shared" si="2"/>
        <v>15451308213</v>
      </c>
      <c r="D21" s="622">
        <f t="shared" si="6"/>
        <v>0.91352182945084071</v>
      </c>
      <c r="E21" s="621">
        <f t="shared" si="3"/>
        <v>156197519</v>
      </c>
      <c r="F21" s="621">
        <f t="shared" si="4"/>
        <v>232622481</v>
      </c>
      <c r="G21" s="621">
        <f t="shared" si="5"/>
        <v>388820000</v>
      </c>
    </row>
    <row r="22" spans="1:7" s="623" customFormat="1" hidden="1">
      <c r="A22" s="619">
        <f t="shared" si="0"/>
        <v>11</v>
      </c>
      <c r="B22" s="620">
        <f t="shared" si="1"/>
        <v>43432</v>
      </c>
      <c r="C22" s="621">
        <f t="shared" si="2"/>
        <v>15292782645</v>
      </c>
      <c r="D22" s="622">
        <f t="shared" si="6"/>
        <v>0.90414938247756427</v>
      </c>
      <c r="E22" s="621">
        <f t="shared" si="3"/>
        <v>158525568</v>
      </c>
      <c r="F22" s="621">
        <f t="shared" si="4"/>
        <v>230294432</v>
      </c>
      <c r="G22" s="621">
        <f t="shared" si="5"/>
        <v>388820000</v>
      </c>
    </row>
    <row r="23" spans="1:7" s="623" customFormat="1" hidden="1">
      <c r="A23" s="619">
        <f t="shared" si="0"/>
        <v>12</v>
      </c>
      <c r="B23" s="620">
        <f t="shared" si="1"/>
        <v>43462</v>
      </c>
      <c r="C23" s="621">
        <f t="shared" si="2"/>
        <v>15131894327</v>
      </c>
      <c r="D23" s="622">
        <f t="shared" si="6"/>
        <v>0.89463724353304619</v>
      </c>
      <c r="E23" s="621">
        <f t="shared" si="3"/>
        <v>160888318</v>
      </c>
      <c r="F23" s="621">
        <f t="shared" si="4"/>
        <v>227931682</v>
      </c>
      <c r="G23" s="621">
        <f t="shared" si="5"/>
        <v>388820000</v>
      </c>
    </row>
    <row r="24" spans="1:7" s="623" customFormat="1" hidden="1">
      <c r="A24" s="619">
        <f t="shared" si="0"/>
        <v>13</v>
      </c>
      <c r="B24" s="620">
        <f t="shared" si="1"/>
        <v>43493</v>
      </c>
      <c r="C24" s="621">
        <f t="shared" si="2"/>
        <v>14968608046</v>
      </c>
      <c r="D24" s="622">
        <f t="shared" si="6"/>
        <v>0.88498333073245616</v>
      </c>
      <c r="E24" s="621">
        <f t="shared" si="3"/>
        <v>163286281</v>
      </c>
      <c r="F24" s="621">
        <f t="shared" si="4"/>
        <v>225533719</v>
      </c>
      <c r="G24" s="621">
        <f t="shared" si="5"/>
        <v>388820000</v>
      </c>
    </row>
    <row r="25" spans="1:7" s="623" customFormat="1" hidden="1">
      <c r="A25" s="619">
        <f t="shared" si="0"/>
        <v>14</v>
      </c>
      <c r="B25" s="620">
        <f t="shared" si="1"/>
        <v>43524</v>
      </c>
      <c r="C25" s="621">
        <f t="shared" si="2"/>
        <v>14802888060</v>
      </c>
      <c r="D25" s="622">
        <f t="shared" si="6"/>
        <v>0.87518553091509721</v>
      </c>
      <c r="E25" s="621">
        <f t="shared" si="3"/>
        <v>165719986</v>
      </c>
      <c r="F25" s="621">
        <f t="shared" si="4"/>
        <v>223100014</v>
      </c>
      <c r="G25" s="621">
        <f t="shared" si="5"/>
        <v>388820000</v>
      </c>
    </row>
    <row r="26" spans="1:7" s="623" customFormat="1" hidden="1">
      <c r="A26" s="619">
        <f t="shared" si="0"/>
        <v>15</v>
      </c>
      <c r="B26" s="620">
        <f t="shared" si="1"/>
        <v>43552</v>
      </c>
      <c r="C26" s="621">
        <f t="shared" si="2"/>
        <v>14634698095</v>
      </c>
      <c r="D26" s="622">
        <f t="shared" si="6"/>
        <v>0.86524169946703877</v>
      </c>
      <c r="E26" s="621">
        <f t="shared" si="3"/>
        <v>168189965</v>
      </c>
      <c r="F26" s="621">
        <f t="shared" si="4"/>
        <v>220630035</v>
      </c>
      <c r="G26" s="621">
        <f t="shared" si="5"/>
        <v>388820000</v>
      </c>
    </row>
    <row r="27" spans="1:7" s="623" customFormat="1" hidden="1">
      <c r="A27" s="619">
        <f t="shared" si="0"/>
        <v>16</v>
      </c>
      <c r="B27" s="620">
        <f t="shared" si="1"/>
        <v>43583</v>
      </c>
      <c r="C27" s="621">
        <f t="shared" si="2"/>
        <v>14464001340</v>
      </c>
      <c r="D27" s="622">
        <f t="shared" si="6"/>
        <v>0.85514966002550297</v>
      </c>
      <c r="E27" s="621">
        <f t="shared" si="3"/>
        <v>170696755</v>
      </c>
      <c r="F27" s="621">
        <f t="shared" si="4"/>
        <v>218123245</v>
      </c>
      <c r="G27" s="621">
        <f t="shared" si="5"/>
        <v>388820000</v>
      </c>
    </row>
    <row r="28" spans="1:7" s="623" customFormat="1" hidden="1">
      <c r="A28" s="619">
        <f t="shared" si="0"/>
        <v>17</v>
      </c>
      <c r="B28" s="620">
        <f t="shared" si="1"/>
        <v>43613</v>
      </c>
      <c r="C28" s="621">
        <f t="shared" si="2"/>
        <v>14290760429</v>
      </c>
      <c r="D28" s="622">
        <f t="shared" si="6"/>
        <v>0.84490720341465764</v>
      </c>
      <c r="E28" s="621">
        <f t="shared" si="3"/>
        <v>173240911</v>
      </c>
      <c r="F28" s="621">
        <f t="shared" si="4"/>
        <v>215579089</v>
      </c>
      <c r="G28" s="621">
        <f t="shared" si="5"/>
        <v>388820000</v>
      </c>
    </row>
    <row r="29" spans="1:7" s="623" customFormat="1" hidden="1">
      <c r="A29" s="619">
        <f t="shared" si="0"/>
        <v>18</v>
      </c>
      <c r="B29" s="620">
        <f t="shared" si="1"/>
        <v>43644</v>
      </c>
      <c r="C29" s="621">
        <f t="shared" si="2"/>
        <v>14114937446</v>
      </c>
      <c r="D29" s="622">
        <f t="shared" si="6"/>
        <v>0.83451208794122944</v>
      </c>
      <c r="E29" s="621">
        <f t="shared" si="3"/>
        <v>175822983</v>
      </c>
      <c r="F29" s="621">
        <f t="shared" si="4"/>
        <v>212997017</v>
      </c>
      <c r="G29" s="621">
        <f t="shared" si="5"/>
        <v>388820000</v>
      </c>
    </row>
    <row r="30" spans="1:7" s="623" customFormat="1" hidden="1">
      <c r="A30" s="619">
        <f t="shared" si="0"/>
        <v>19</v>
      </c>
      <c r="B30" s="620">
        <f t="shared" si="1"/>
        <v>43674</v>
      </c>
      <c r="C30" s="621">
        <f t="shared" si="2"/>
        <v>13936493903</v>
      </c>
      <c r="D30" s="622">
        <f t="shared" si="6"/>
        <v>0.8239620380938063</v>
      </c>
      <c r="E30" s="621">
        <f t="shared" si="3"/>
        <v>178443543</v>
      </c>
      <c r="F30" s="621">
        <f t="shared" si="4"/>
        <v>210376457</v>
      </c>
      <c r="G30" s="621">
        <f t="shared" si="5"/>
        <v>388820000</v>
      </c>
    </row>
    <row r="31" spans="1:7" s="623" customFormat="1" hidden="1">
      <c r="A31" s="619">
        <f t="shared" si="0"/>
        <v>20</v>
      </c>
      <c r="B31" s="620">
        <f t="shared" si="1"/>
        <v>43705</v>
      </c>
      <c r="C31" s="621">
        <f t="shared" si="2"/>
        <v>13755390745</v>
      </c>
      <c r="D31" s="622">
        <f t="shared" si="6"/>
        <v>0.81325474483845006</v>
      </c>
      <c r="E31" s="621">
        <f t="shared" si="3"/>
        <v>181103158</v>
      </c>
      <c r="F31" s="621">
        <f t="shared" si="4"/>
        <v>207716842</v>
      </c>
      <c r="G31" s="621">
        <f t="shared" si="5"/>
        <v>388820000</v>
      </c>
    </row>
    <row r="32" spans="1:7" s="623" customFormat="1" hidden="1">
      <c r="A32" s="619">
        <f t="shared" si="0"/>
        <v>21</v>
      </c>
      <c r="B32" s="620">
        <f t="shared" si="1"/>
        <v>43736</v>
      </c>
      <c r="C32" s="621">
        <f t="shared" si="2"/>
        <v>13571588329</v>
      </c>
      <c r="D32" s="622">
        <f t="shared" si="6"/>
        <v>0.80238786437712217</v>
      </c>
      <c r="E32" s="621">
        <f t="shared" si="3"/>
        <v>183802416</v>
      </c>
      <c r="F32" s="621">
        <f t="shared" si="4"/>
        <v>205017584</v>
      </c>
      <c r="G32" s="621">
        <f t="shared" si="5"/>
        <v>388820000</v>
      </c>
    </row>
    <row r="33" spans="1:7" s="623" customFormat="1" hidden="1">
      <c r="A33" s="619">
        <f t="shared" si="0"/>
        <v>22</v>
      </c>
      <c r="B33" s="620">
        <f t="shared" si="1"/>
        <v>43766</v>
      </c>
      <c r="C33" s="621">
        <f t="shared" si="2"/>
        <v>13385046426</v>
      </c>
      <c r="D33" s="622">
        <f t="shared" si="6"/>
        <v>0.79135901826592847</v>
      </c>
      <c r="E33" s="621">
        <f t="shared" si="3"/>
        <v>186541903</v>
      </c>
      <c r="F33" s="621">
        <f t="shared" si="4"/>
        <v>202278097</v>
      </c>
      <c r="G33" s="621">
        <f t="shared" si="5"/>
        <v>388820000</v>
      </c>
    </row>
    <row r="34" spans="1:7" s="623" customFormat="1" hidden="1">
      <c r="A34" s="619">
        <f t="shared" si="0"/>
        <v>23</v>
      </c>
      <c r="B34" s="620">
        <f t="shared" si="1"/>
        <v>43797</v>
      </c>
      <c r="C34" s="621">
        <f t="shared" si="2"/>
        <v>13195724203</v>
      </c>
      <c r="D34" s="622">
        <f t="shared" si="6"/>
        <v>0.78016579235091188</v>
      </c>
      <c r="E34" s="621">
        <f t="shared" si="3"/>
        <v>189322223</v>
      </c>
      <c r="F34" s="621">
        <f t="shared" si="4"/>
        <v>199497777</v>
      </c>
      <c r="G34" s="621">
        <f t="shared" si="5"/>
        <v>388820000</v>
      </c>
    </row>
    <row r="35" spans="1:7" hidden="1">
      <c r="A35" s="598">
        <f t="shared" si="0"/>
        <v>24</v>
      </c>
      <c r="B35" s="624">
        <f t="shared" si="1"/>
        <v>43827</v>
      </c>
      <c r="C35" s="602">
        <f t="shared" si="2"/>
        <v>13003580223</v>
      </c>
      <c r="D35" s="625">
        <f t="shared" si="6"/>
        <v>0.76880573676805286</v>
      </c>
      <c r="E35" s="602">
        <f t="shared" si="3"/>
        <v>192143980</v>
      </c>
      <c r="F35" s="602">
        <f t="shared" si="4"/>
        <v>196676020</v>
      </c>
      <c r="G35" s="602">
        <f t="shared" si="5"/>
        <v>388820000</v>
      </c>
    </row>
    <row r="36" spans="1:7" hidden="1">
      <c r="A36" s="598">
        <f t="shared" si="0"/>
        <v>25</v>
      </c>
      <c r="B36" s="624">
        <f t="shared" si="1"/>
        <v>43858</v>
      </c>
      <c r="C36" s="602">
        <f t="shared" si="2"/>
        <v>12808572428</v>
      </c>
      <c r="D36" s="625">
        <f t="shared" si="6"/>
        <v>0.75727636493818462</v>
      </c>
      <c r="E36" s="602">
        <f t="shared" si="3"/>
        <v>195007795</v>
      </c>
      <c r="F36" s="602">
        <f t="shared" si="4"/>
        <v>193812205</v>
      </c>
      <c r="G36" s="602">
        <f t="shared" si="5"/>
        <v>388820000</v>
      </c>
    </row>
    <row r="37" spans="1:7" hidden="1">
      <c r="A37" s="598">
        <f t="shared" si="0"/>
        <v>26</v>
      </c>
      <c r="B37" s="624">
        <f t="shared" si="1"/>
        <v>43889</v>
      </c>
      <c r="C37" s="602">
        <f t="shared" si="2"/>
        <v>12610658134</v>
      </c>
      <c r="D37" s="625">
        <f t="shared" si="6"/>
        <v>0.74557515327137991</v>
      </c>
      <c r="E37" s="602">
        <f t="shared" si="3"/>
        <v>197914294</v>
      </c>
      <c r="F37" s="602">
        <f t="shared" si="4"/>
        <v>190905706</v>
      </c>
      <c r="G37" s="602">
        <f t="shared" si="5"/>
        <v>388820000</v>
      </c>
    </row>
    <row r="38" spans="1:7" hidden="1">
      <c r="A38" s="598">
        <f t="shared" si="0"/>
        <v>27</v>
      </c>
      <c r="B38" s="624">
        <f t="shared" si="1"/>
        <v>43918</v>
      </c>
      <c r="C38" s="602">
        <f t="shared" si="2"/>
        <v>12409794021</v>
      </c>
      <c r="D38" s="625">
        <f t="shared" si="6"/>
        <v>0.73369954057572495</v>
      </c>
      <c r="E38" s="602">
        <f t="shared" si="3"/>
        <v>200864113</v>
      </c>
      <c r="F38" s="602">
        <f t="shared" si="4"/>
        <v>187955887</v>
      </c>
      <c r="G38" s="602">
        <f t="shared" si="5"/>
        <v>388820000</v>
      </c>
    </row>
    <row r="39" spans="1:7" hidden="1">
      <c r="A39" s="598">
        <f t="shared" si="0"/>
        <v>28</v>
      </c>
      <c r="B39" s="624">
        <f t="shared" si="1"/>
        <v>43949</v>
      </c>
      <c r="C39" s="602">
        <f t="shared" si="2"/>
        <v>12205936124</v>
      </c>
      <c r="D39" s="625">
        <f t="shared" si="6"/>
        <v>0.72164692752521586</v>
      </c>
      <c r="E39" s="602">
        <f t="shared" si="3"/>
        <v>203857897</v>
      </c>
      <c r="F39" s="602">
        <f t="shared" si="4"/>
        <v>184962103</v>
      </c>
      <c r="G39" s="602">
        <f t="shared" si="5"/>
        <v>388820000</v>
      </c>
    </row>
    <row r="40" spans="1:7" hidden="1">
      <c r="A40" s="598">
        <f t="shared" si="0"/>
        <v>29</v>
      </c>
      <c r="B40" s="624">
        <f t="shared" si="1"/>
        <v>43979</v>
      </c>
      <c r="C40" s="602">
        <f t="shared" si="2"/>
        <v>11999039821</v>
      </c>
      <c r="D40" s="625">
        <f t="shared" si="6"/>
        <v>0.7094146759502874</v>
      </c>
      <c r="E40" s="602">
        <f t="shared" si="3"/>
        <v>206896303</v>
      </c>
      <c r="F40" s="602">
        <f t="shared" si="4"/>
        <v>181923697</v>
      </c>
      <c r="G40" s="602">
        <f t="shared" si="5"/>
        <v>388820000</v>
      </c>
    </row>
    <row r="41" spans="1:7" hidden="1">
      <c r="A41" s="598">
        <f t="shared" si="0"/>
        <v>30</v>
      </c>
      <c r="B41" s="624">
        <f t="shared" si="1"/>
        <v>44010</v>
      </c>
      <c r="C41" s="602">
        <f t="shared" si="2"/>
        <v>11789059827</v>
      </c>
      <c r="D41" s="625">
        <f t="shared" si="6"/>
        <v>0.69700010848307659</v>
      </c>
      <c r="E41" s="602">
        <f t="shared" si="3"/>
        <v>209979994</v>
      </c>
      <c r="F41" s="602">
        <f t="shared" si="4"/>
        <v>178840006</v>
      </c>
      <c r="G41" s="602">
        <f t="shared" si="5"/>
        <v>388820000</v>
      </c>
    </row>
    <row r="42" spans="1:7" hidden="1">
      <c r="A42" s="598">
        <f t="shared" si="0"/>
        <v>31</v>
      </c>
      <c r="B42" s="624">
        <f t="shared" si="1"/>
        <v>44040</v>
      </c>
      <c r="C42" s="602">
        <f t="shared" si="2"/>
        <v>11575950180</v>
      </c>
      <c r="D42" s="625">
        <f t="shared" si="6"/>
        <v>0.68440050772970684</v>
      </c>
      <c r="E42" s="602">
        <f t="shared" si="3"/>
        <v>213109647</v>
      </c>
      <c r="F42" s="602">
        <f t="shared" si="4"/>
        <v>175710353</v>
      </c>
      <c r="G42" s="602">
        <f t="shared" si="5"/>
        <v>388820000</v>
      </c>
    </row>
    <row r="43" spans="1:7" hidden="1">
      <c r="A43" s="598">
        <f t="shared" si="0"/>
        <v>32</v>
      </c>
      <c r="B43" s="624">
        <f t="shared" si="1"/>
        <v>44071</v>
      </c>
      <c r="C43" s="602">
        <f t="shared" si="2"/>
        <v>11359664235</v>
      </c>
      <c r="D43" s="625">
        <f t="shared" si="6"/>
        <v>0.67161311591555173</v>
      </c>
      <c r="E43" s="602">
        <f t="shared" si="3"/>
        <v>216285945</v>
      </c>
      <c r="F43" s="602">
        <f t="shared" si="4"/>
        <v>172534055</v>
      </c>
      <c r="G43" s="602">
        <f t="shared" si="5"/>
        <v>388820000</v>
      </c>
    </row>
    <row r="44" spans="1:7" hidden="1">
      <c r="A44" s="598">
        <f t="shared" si="0"/>
        <v>33</v>
      </c>
      <c r="B44" s="624">
        <f t="shared" si="1"/>
        <v>44102</v>
      </c>
      <c r="C44" s="602">
        <f t="shared" si="2"/>
        <v>11140154650</v>
      </c>
      <c r="D44" s="625">
        <f t="shared" si="6"/>
        <v>0.65863513405751839</v>
      </c>
      <c r="E44" s="602">
        <f t="shared" si="3"/>
        <v>219509585</v>
      </c>
      <c r="F44" s="602">
        <f t="shared" si="4"/>
        <v>169310415</v>
      </c>
      <c r="G44" s="602">
        <f t="shared" si="5"/>
        <v>388820000</v>
      </c>
    </row>
    <row r="45" spans="1:7" hidden="1">
      <c r="A45" s="598">
        <f t="shared" si="0"/>
        <v>34</v>
      </c>
      <c r="B45" s="624">
        <f t="shared" si="1"/>
        <v>44132</v>
      </c>
      <c r="C45" s="602">
        <f t="shared" si="2"/>
        <v>10917373380</v>
      </c>
      <c r="D45" s="625">
        <f t="shared" si="6"/>
        <v>0.64546372160931209</v>
      </c>
      <c r="E45" s="602">
        <f t="shared" si="3"/>
        <v>222781270</v>
      </c>
      <c r="F45" s="602">
        <f t="shared" si="4"/>
        <v>166038730</v>
      </c>
      <c r="G45" s="602">
        <f t="shared" si="5"/>
        <v>388820000</v>
      </c>
    </row>
    <row r="46" spans="1:7" hidden="1">
      <c r="A46" s="598">
        <f t="shared" si="0"/>
        <v>35</v>
      </c>
      <c r="B46" s="624">
        <f t="shared" si="1"/>
        <v>44163</v>
      </c>
      <c r="C46" s="602">
        <f t="shared" si="2"/>
        <v>10691271659</v>
      </c>
      <c r="D46" s="625">
        <f t="shared" si="6"/>
        <v>0.63209599539722838</v>
      </c>
      <c r="E46" s="602">
        <f t="shared" si="3"/>
        <v>226101721</v>
      </c>
      <c r="F46" s="602">
        <f t="shared" si="4"/>
        <v>162718279</v>
      </c>
      <c r="G46" s="602">
        <f t="shared" si="5"/>
        <v>388820000</v>
      </c>
    </row>
    <row r="47" spans="1:7" hidden="1">
      <c r="A47" s="598">
        <f t="shared" si="0"/>
        <v>36</v>
      </c>
      <c r="B47" s="624">
        <f t="shared" si="1"/>
        <v>44193</v>
      </c>
      <c r="C47" s="602">
        <f t="shared" si="2"/>
        <v>10461800000</v>
      </c>
      <c r="D47" s="625">
        <f t="shared" si="6"/>
        <v>0.61852902962015399</v>
      </c>
      <c r="E47" s="602">
        <f t="shared" si="3"/>
        <v>229471659</v>
      </c>
      <c r="F47" s="602">
        <f t="shared" si="4"/>
        <v>159348341</v>
      </c>
      <c r="G47" s="602">
        <f t="shared" si="5"/>
        <v>388820000</v>
      </c>
    </row>
    <row r="48" spans="1:7" s="595" customFormat="1" ht="13.5" hidden="1" thickBot="1">
      <c r="A48" s="626" t="s">
        <v>258</v>
      </c>
      <c r="B48" s="626" t="s">
        <v>258</v>
      </c>
      <c r="C48" s="627" t="s">
        <v>258</v>
      </c>
      <c r="D48" s="628" t="s">
        <v>258</v>
      </c>
      <c r="E48" s="629">
        <f>SUM(E12:E47)</f>
        <v>6452199988.6904507</v>
      </c>
      <c r="F48" s="630">
        <f>SUM(F12:F47)</f>
        <v>7545320011.3095493</v>
      </c>
      <c r="G48" s="630">
        <f>SUM(G12:G47)</f>
        <v>13997520000</v>
      </c>
    </row>
    <row r="49" spans="2:13" hidden="1"/>
    <row r="50" spans="2:13">
      <c r="D50" s="579"/>
      <c r="E50" s="579"/>
      <c r="F50" s="579"/>
    </row>
    <row r="51" spans="2:13">
      <c r="B51" s="579" t="s">
        <v>259</v>
      </c>
      <c r="D51" s="579"/>
      <c r="E51" s="590" t="e">
        <f>E4</f>
        <v>#REF!</v>
      </c>
      <c r="F51" s="579"/>
      <c r="H51" s="590">
        <f>H4</f>
        <v>9362154.1714214813</v>
      </c>
      <c r="I51" s="590"/>
    </row>
    <row r="52" spans="2:13">
      <c r="B52" s="579" t="s">
        <v>261</v>
      </c>
      <c r="D52" s="579"/>
      <c r="E52" s="632">
        <f>-Calculation!D50/36</f>
        <v>0</v>
      </c>
      <c r="F52" s="579"/>
      <c r="I52" s="632"/>
      <c r="M52" s="632"/>
    </row>
    <row r="53" spans="2:13">
      <c r="B53" s="579" t="s">
        <v>263</v>
      </c>
      <c r="D53" s="579"/>
      <c r="E53" s="632">
        <v>0</v>
      </c>
      <c r="F53" s="579"/>
      <c r="I53" s="632"/>
      <c r="M53" s="632"/>
    </row>
    <row r="54" spans="2:13" ht="15">
      <c r="B54" s="633" t="s">
        <v>262</v>
      </c>
      <c r="C54" s="634"/>
      <c r="D54" s="633"/>
      <c r="E54" s="635">
        <f>-Calculation!D47/36</f>
        <v>35694.444444444445</v>
      </c>
      <c r="F54" s="579"/>
      <c r="I54" s="635"/>
      <c r="M54" s="637"/>
    </row>
    <row r="55" spans="2:13">
      <c r="B55" s="579" t="s">
        <v>77</v>
      </c>
      <c r="D55" s="579"/>
      <c r="E55" s="590" t="e">
        <f>SUM(E51:E54)</f>
        <v>#REF!</v>
      </c>
      <c r="F55" s="579"/>
      <c r="I55" s="632"/>
      <c r="M55" s="632"/>
    </row>
    <row r="56" spans="2:13">
      <c r="D56" s="579"/>
      <c r="E56" s="579"/>
      <c r="F56" s="579"/>
    </row>
    <row r="57" spans="2:13">
      <c r="D57" s="579"/>
      <c r="E57" s="579"/>
      <c r="F57" s="579"/>
    </row>
    <row r="58" spans="2:13">
      <c r="D58" s="579"/>
      <c r="E58" s="579"/>
      <c r="F58" s="579"/>
    </row>
    <row r="59" spans="2:13">
      <c r="D59" s="579"/>
      <c r="E59" s="579"/>
      <c r="F59" s="579"/>
    </row>
    <row r="60" spans="2:13">
      <c r="D60" s="579"/>
      <c r="E60" s="579"/>
      <c r="F60" s="579"/>
    </row>
    <row r="61" spans="2:13">
      <c r="D61" s="579"/>
      <c r="E61" s="579"/>
      <c r="F61" s="579"/>
    </row>
    <row r="62" spans="2:13">
      <c r="D62" s="579"/>
      <c r="E62" s="579"/>
      <c r="F62" s="579"/>
    </row>
    <row r="63" spans="2:13">
      <c r="D63" s="579"/>
      <c r="E63" s="579"/>
      <c r="F63" s="579"/>
    </row>
    <row r="64" spans="2:13">
      <c r="D64" s="579"/>
      <c r="E64" s="579"/>
      <c r="F64" s="579"/>
    </row>
    <row r="65" spans="4:6">
      <c r="D65" s="579"/>
      <c r="E65" s="579"/>
      <c r="F65" s="579"/>
    </row>
    <row r="66" spans="4:6">
      <c r="D66" s="579"/>
      <c r="E66" s="579"/>
      <c r="F66" s="579"/>
    </row>
    <row r="67" spans="4:6">
      <c r="D67" s="579"/>
      <c r="E67" s="579"/>
      <c r="F67" s="579"/>
    </row>
  </sheetData>
  <phoneticPr fontId="6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M168"/>
  <sheetViews>
    <sheetView topLeftCell="A90" zoomScale="80" zoomScaleNormal="80" workbookViewId="0">
      <selection activeCell="J101" sqref="J101"/>
    </sheetView>
  </sheetViews>
  <sheetFormatPr defaultColWidth="9.140625" defaultRowHeight="10.5"/>
  <cols>
    <col min="1" max="1" width="4.28515625" style="675" customWidth="1"/>
    <col min="2" max="2" width="13.85546875" style="675" customWidth="1"/>
    <col min="3" max="3" width="16.5703125" style="675" customWidth="1"/>
    <col min="4" max="19" width="17.7109375" style="675" customWidth="1"/>
    <col min="20" max="20" width="17" style="675" customWidth="1"/>
    <col min="21" max="22" width="15" style="675" customWidth="1"/>
    <col min="23" max="23" width="14.28515625" style="675" customWidth="1"/>
    <col min="24" max="24" width="14.85546875" style="675" customWidth="1"/>
    <col min="25" max="25" width="17.140625" style="675" customWidth="1"/>
    <col min="26" max="26" width="13.5703125" style="675" customWidth="1"/>
    <col min="27" max="28" width="14.85546875" style="675" customWidth="1"/>
    <col min="29" max="29" width="18.85546875" style="675" customWidth="1"/>
    <col min="30" max="30" width="19.42578125" style="675" customWidth="1"/>
    <col min="31" max="31" width="16.140625" style="675" customWidth="1"/>
    <col min="32" max="32" width="14.5703125" style="675" customWidth="1"/>
    <col min="33" max="35" width="16" style="675" customWidth="1"/>
    <col min="36" max="36" width="19.7109375" style="675" customWidth="1"/>
    <col min="37" max="37" width="16.5703125" style="675" customWidth="1"/>
    <col min="38" max="38" width="19.140625" style="675" customWidth="1"/>
    <col min="39" max="41" width="16.5703125" style="675" customWidth="1"/>
    <col min="42" max="42" width="15.7109375" style="675" customWidth="1"/>
    <col min="43" max="43" width="19.42578125" style="675" customWidth="1"/>
    <col min="44" max="44" width="14.85546875" style="1010" bestFit="1" customWidth="1"/>
    <col min="45" max="45" width="13.7109375" style="1010" bestFit="1" customWidth="1"/>
    <col min="46" max="48" width="13.140625" style="1010" customWidth="1"/>
    <col min="49" max="49" width="16.42578125" style="1010" customWidth="1"/>
    <col min="50" max="50" width="13.140625" style="1010" customWidth="1"/>
    <col min="51" max="51" width="15.28515625" style="1010" customWidth="1"/>
    <col min="52" max="52" width="14" style="1010" bestFit="1" customWidth="1"/>
    <col min="53" max="53" width="17.140625" style="1042" customWidth="1"/>
    <col min="54" max="59" width="16.5703125" style="675" customWidth="1"/>
    <col min="60" max="61" width="16.5703125" style="1043" customWidth="1"/>
    <col min="62" max="65" width="16.5703125" style="675" customWidth="1"/>
    <col min="66" max="222" width="9.140625" style="675"/>
    <col min="223" max="223" width="4.28515625" style="675" customWidth="1"/>
    <col min="224" max="224" width="10.140625" style="675" customWidth="1"/>
    <col min="225" max="225" width="8.85546875" style="675" customWidth="1"/>
    <col min="226" max="226" width="11.140625" style="675" customWidth="1"/>
    <col min="227" max="227" width="15" style="675" bestFit="1" customWidth="1"/>
    <col min="228" max="228" width="13.5703125" style="675" customWidth="1"/>
    <col min="229" max="229" width="11.42578125" style="675" bestFit="1" customWidth="1"/>
    <col min="230" max="230" width="11.28515625" style="675" customWidth="1"/>
    <col min="231" max="231" width="15.28515625" style="675" bestFit="1" customWidth="1"/>
    <col min="232" max="234" width="11.85546875" style="675" customWidth="1"/>
    <col min="235" max="235" width="19.140625" style="675" customWidth="1"/>
    <col min="236" max="236" width="15" style="675" customWidth="1"/>
    <col min="237" max="237" width="15.28515625" style="675" customWidth="1"/>
    <col min="238" max="240" width="18.85546875" style="675" customWidth="1"/>
    <col min="241" max="241" width="12.7109375" style="675" customWidth="1"/>
    <col min="242" max="242" width="13.7109375" style="675" customWidth="1"/>
    <col min="243" max="243" width="16.140625" style="675" customWidth="1"/>
    <col min="244" max="244" width="17" style="675" customWidth="1"/>
    <col min="245" max="245" width="15" style="675" customWidth="1"/>
    <col min="246" max="246" width="14.28515625" style="675" customWidth="1"/>
    <col min="247" max="247" width="14.85546875" style="675" customWidth="1"/>
    <col min="248" max="248" width="17.140625" style="675" customWidth="1"/>
    <col min="249" max="249" width="13.5703125" style="675" customWidth="1"/>
    <col min="250" max="251" width="14.85546875" style="675" customWidth="1"/>
    <col min="252" max="252" width="18.85546875" style="675" customWidth="1"/>
    <col min="253" max="253" width="19.42578125" style="675" customWidth="1"/>
    <col min="254" max="254" width="16.140625" style="675" customWidth="1"/>
    <col min="255" max="255" width="14.5703125" style="675" customWidth="1"/>
    <col min="256" max="256" width="20.28515625" style="675" customWidth="1"/>
    <col min="257" max="257" width="13.85546875" style="675" customWidth="1"/>
    <col min="258" max="258" width="19.140625" style="675" customWidth="1"/>
    <col min="259" max="259" width="19.7109375" style="675" customWidth="1"/>
    <col min="260" max="260" width="16.5703125" style="675" customWidth="1"/>
    <col min="261" max="261" width="19.140625" style="675" customWidth="1"/>
    <col min="262" max="264" width="16.5703125" style="675" customWidth="1"/>
    <col min="265" max="265" width="15.7109375" style="675" customWidth="1"/>
    <col min="266" max="266" width="19.42578125" style="675" customWidth="1"/>
    <col min="267" max="267" width="14.85546875" style="675" bestFit="1" customWidth="1"/>
    <col min="268" max="268" width="13.7109375" style="675" bestFit="1" customWidth="1"/>
    <col min="269" max="269" width="13" style="675" customWidth="1"/>
    <col min="270" max="270" width="18.42578125" style="675" customWidth="1"/>
    <col min="271" max="273" width="13.140625" style="675" customWidth="1"/>
    <col min="274" max="274" width="16.42578125" style="675" customWidth="1"/>
    <col min="275" max="275" width="13.140625" style="675" customWidth="1"/>
    <col min="276" max="276" width="15.28515625" style="675" customWidth="1"/>
    <col min="277" max="277" width="14" style="675" bestFit="1" customWidth="1"/>
    <col min="278" max="278" width="17.140625" style="675" customWidth="1"/>
    <col min="279" max="300" width="16.5703125" style="675" customWidth="1"/>
    <col min="301" max="301" width="20.140625" style="675" customWidth="1"/>
    <col min="302" max="302" width="13.28515625" style="675" customWidth="1"/>
    <col min="303" max="303" width="14.85546875" style="675" customWidth="1"/>
    <col min="304" max="304" width="13.85546875" style="675" customWidth="1"/>
    <col min="305" max="305" width="13.5703125" style="675" customWidth="1"/>
    <col min="306" max="306" width="13" style="675" customWidth="1"/>
    <col min="307" max="307" width="13.5703125" style="675" customWidth="1"/>
    <col min="308" max="308" width="7.7109375" style="675" bestFit="1" customWidth="1"/>
    <col min="309" max="478" width="9.140625" style="675"/>
    <col min="479" max="479" width="4.28515625" style="675" customWidth="1"/>
    <col min="480" max="480" width="10.140625" style="675" customWidth="1"/>
    <col min="481" max="481" width="8.85546875" style="675" customWidth="1"/>
    <col min="482" max="482" width="11.140625" style="675" customWidth="1"/>
    <col min="483" max="483" width="15" style="675" bestFit="1" customWidth="1"/>
    <col min="484" max="484" width="13.5703125" style="675" customWidth="1"/>
    <col min="485" max="485" width="11.42578125" style="675" bestFit="1" customWidth="1"/>
    <col min="486" max="486" width="11.28515625" style="675" customWidth="1"/>
    <col min="487" max="487" width="15.28515625" style="675" bestFit="1" customWidth="1"/>
    <col min="488" max="490" width="11.85546875" style="675" customWidth="1"/>
    <col min="491" max="491" width="19.140625" style="675" customWidth="1"/>
    <col min="492" max="492" width="15" style="675" customWidth="1"/>
    <col min="493" max="493" width="15.28515625" style="675" customWidth="1"/>
    <col min="494" max="496" width="18.85546875" style="675" customWidth="1"/>
    <col min="497" max="497" width="12.7109375" style="675" customWidth="1"/>
    <col min="498" max="498" width="13.7109375" style="675" customWidth="1"/>
    <col min="499" max="499" width="16.140625" style="675" customWidth="1"/>
    <col min="500" max="500" width="17" style="675" customWidth="1"/>
    <col min="501" max="501" width="15" style="675" customWidth="1"/>
    <col min="502" max="502" width="14.28515625" style="675" customWidth="1"/>
    <col min="503" max="503" width="14.85546875" style="675" customWidth="1"/>
    <col min="504" max="504" width="17.140625" style="675" customWidth="1"/>
    <col min="505" max="505" width="13.5703125" style="675" customWidth="1"/>
    <col min="506" max="507" width="14.85546875" style="675" customWidth="1"/>
    <col min="508" max="508" width="18.85546875" style="675" customWidth="1"/>
    <col min="509" max="509" width="19.42578125" style="675" customWidth="1"/>
    <col min="510" max="510" width="16.140625" style="675" customWidth="1"/>
    <col min="511" max="511" width="14.5703125" style="675" customWidth="1"/>
    <col min="512" max="512" width="20.28515625" style="675" customWidth="1"/>
    <col min="513" max="513" width="13.85546875" style="675" customWidth="1"/>
    <col min="514" max="514" width="19.140625" style="675" customWidth="1"/>
    <col min="515" max="515" width="19.7109375" style="675" customWidth="1"/>
    <col min="516" max="516" width="16.5703125" style="675" customWidth="1"/>
    <col min="517" max="517" width="19.140625" style="675" customWidth="1"/>
    <col min="518" max="520" width="16.5703125" style="675" customWidth="1"/>
    <col min="521" max="521" width="15.7109375" style="675" customWidth="1"/>
    <col min="522" max="522" width="19.42578125" style="675" customWidth="1"/>
    <col min="523" max="523" width="14.85546875" style="675" bestFit="1" customWidth="1"/>
    <col min="524" max="524" width="13.7109375" style="675" bestFit="1" customWidth="1"/>
    <col min="525" max="525" width="13" style="675" customWidth="1"/>
    <col min="526" max="526" width="18.42578125" style="675" customWidth="1"/>
    <col min="527" max="529" width="13.140625" style="675" customWidth="1"/>
    <col min="530" max="530" width="16.42578125" style="675" customWidth="1"/>
    <col min="531" max="531" width="13.140625" style="675" customWidth="1"/>
    <col min="532" max="532" width="15.28515625" style="675" customWidth="1"/>
    <col min="533" max="533" width="14" style="675" bestFit="1" customWidth="1"/>
    <col min="534" max="534" width="17.140625" style="675" customWidth="1"/>
    <col min="535" max="556" width="16.5703125" style="675" customWidth="1"/>
    <col min="557" max="557" width="20.140625" style="675" customWidth="1"/>
    <col min="558" max="558" width="13.28515625" style="675" customWidth="1"/>
    <col min="559" max="559" width="14.85546875" style="675" customWidth="1"/>
    <col min="560" max="560" width="13.85546875" style="675" customWidth="1"/>
    <col min="561" max="561" width="13.5703125" style="675" customWidth="1"/>
    <col min="562" max="562" width="13" style="675" customWidth="1"/>
    <col min="563" max="563" width="13.5703125" style="675" customWidth="1"/>
    <col min="564" max="564" width="7.7109375" style="675" bestFit="1" customWidth="1"/>
    <col min="565" max="734" width="9.140625" style="675"/>
    <col min="735" max="735" width="4.28515625" style="675" customWidth="1"/>
    <col min="736" max="736" width="10.140625" style="675" customWidth="1"/>
    <col min="737" max="737" width="8.85546875" style="675" customWidth="1"/>
    <col min="738" max="738" width="11.140625" style="675" customWidth="1"/>
    <col min="739" max="739" width="15" style="675" bestFit="1" customWidth="1"/>
    <col min="740" max="740" width="13.5703125" style="675" customWidth="1"/>
    <col min="741" max="741" width="11.42578125" style="675" bestFit="1" customWidth="1"/>
    <col min="742" max="742" width="11.28515625" style="675" customWidth="1"/>
    <col min="743" max="743" width="15.28515625" style="675" bestFit="1" customWidth="1"/>
    <col min="744" max="746" width="11.85546875" style="675" customWidth="1"/>
    <col min="747" max="747" width="19.140625" style="675" customWidth="1"/>
    <col min="748" max="748" width="15" style="675" customWidth="1"/>
    <col min="749" max="749" width="15.28515625" style="675" customWidth="1"/>
    <col min="750" max="752" width="18.85546875" style="675" customWidth="1"/>
    <col min="753" max="753" width="12.7109375" style="675" customWidth="1"/>
    <col min="754" max="754" width="13.7109375" style="675" customWidth="1"/>
    <col min="755" max="755" width="16.140625" style="675" customWidth="1"/>
    <col min="756" max="756" width="17" style="675" customWidth="1"/>
    <col min="757" max="757" width="15" style="675" customWidth="1"/>
    <col min="758" max="758" width="14.28515625" style="675" customWidth="1"/>
    <col min="759" max="759" width="14.85546875" style="675" customWidth="1"/>
    <col min="760" max="760" width="17.140625" style="675" customWidth="1"/>
    <col min="761" max="761" width="13.5703125" style="675" customWidth="1"/>
    <col min="762" max="763" width="14.85546875" style="675" customWidth="1"/>
    <col min="764" max="764" width="18.85546875" style="675" customWidth="1"/>
    <col min="765" max="765" width="19.42578125" style="675" customWidth="1"/>
    <col min="766" max="766" width="16.140625" style="675" customWidth="1"/>
    <col min="767" max="767" width="14.5703125" style="675" customWidth="1"/>
    <col min="768" max="768" width="20.28515625" style="675" customWidth="1"/>
    <col min="769" max="769" width="13.85546875" style="675" customWidth="1"/>
    <col min="770" max="770" width="19.140625" style="675" customWidth="1"/>
    <col min="771" max="771" width="19.7109375" style="675" customWidth="1"/>
    <col min="772" max="772" width="16.5703125" style="675" customWidth="1"/>
    <col min="773" max="773" width="19.140625" style="675" customWidth="1"/>
    <col min="774" max="776" width="16.5703125" style="675" customWidth="1"/>
    <col min="777" max="777" width="15.7109375" style="675" customWidth="1"/>
    <col min="778" max="778" width="19.42578125" style="675" customWidth="1"/>
    <col min="779" max="779" width="14.85546875" style="675" bestFit="1" customWidth="1"/>
    <col min="780" max="780" width="13.7109375" style="675" bestFit="1" customWidth="1"/>
    <col min="781" max="781" width="13" style="675" customWidth="1"/>
    <col min="782" max="782" width="18.42578125" style="675" customWidth="1"/>
    <col min="783" max="785" width="13.140625" style="675" customWidth="1"/>
    <col min="786" max="786" width="16.42578125" style="675" customWidth="1"/>
    <col min="787" max="787" width="13.140625" style="675" customWidth="1"/>
    <col min="788" max="788" width="15.28515625" style="675" customWidth="1"/>
    <col min="789" max="789" width="14" style="675" bestFit="1" customWidth="1"/>
    <col min="790" max="790" width="17.140625" style="675" customWidth="1"/>
    <col min="791" max="812" width="16.5703125" style="675" customWidth="1"/>
    <col min="813" max="813" width="20.140625" style="675" customWidth="1"/>
    <col min="814" max="814" width="13.28515625" style="675" customWidth="1"/>
    <col min="815" max="815" width="14.85546875" style="675" customWidth="1"/>
    <col min="816" max="816" width="13.85546875" style="675" customWidth="1"/>
    <col min="817" max="817" width="13.5703125" style="675" customWidth="1"/>
    <col min="818" max="818" width="13" style="675" customWidth="1"/>
    <col min="819" max="819" width="13.5703125" style="675" customWidth="1"/>
    <col min="820" max="820" width="7.7109375" style="675" bestFit="1" customWidth="1"/>
    <col min="821" max="990" width="9.140625" style="675"/>
    <col min="991" max="991" width="4.28515625" style="675" customWidth="1"/>
    <col min="992" max="992" width="10.140625" style="675" customWidth="1"/>
    <col min="993" max="993" width="8.85546875" style="675" customWidth="1"/>
    <col min="994" max="994" width="11.140625" style="675" customWidth="1"/>
    <col min="995" max="995" width="15" style="675" bestFit="1" customWidth="1"/>
    <col min="996" max="996" width="13.5703125" style="675" customWidth="1"/>
    <col min="997" max="997" width="11.42578125" style="675" bestFit="1" customWidth="1"/>
    <col min="998" max="998" width="11.28515625" style="675" customWidth="1"/>
    <col min="999" max="999" width="15.28515625" style="675" bestFit="1" customWidth="1"/>
    <col min="1000" max="1002" width="11.85546875" style="675" customWidth="1"/>
    <col min="1003" max="1003" width="19.140625" style="675" customWidth="1"/>
    <col min="1004" max="1004" width="15" style="675" customWidth="1"/>
    <col min="1005" max="1005" width="15.28515625" style="675" customWidth="1"/>
    <col min="1006" max="1008" width="18.85546875" style="675" customWidth="1"/>
    <col min="1009" max="1009" width="12.7109375" style="675" customWidth="1"/>
    <col min="1010" max="1010" width="13.7109375" style="675" customWidth="1"/>
    <col min="1011" max="1011" width="16.140625" style="675" customWidth="1"/>
    <col min="1012" max="1012" width="17" style="675" customWidth="1"/>
    <col min="1013" max="1013" width="15" style="675" customWidth="1"/>
    <col min="1014" max="1014" width="14.28515625" style="675" customWidth="1"/>
    <col min="1015" max="1015" width="14.85546875" style="675" customWidth="1"/>
    <col min="1016" max="1016" width="17.140625" style="675" customWidth="1"/>
    <col min="1017" max="1017" width="13.5703125" style="675" customWidth="1"/>
    <col min="1018" max="1019" width="14.85546875" style="675" customWidth="1"/>
    <col min="1020" max="1020" width="18.85546875" style="675" customWidth="1"/>
    <col min="1021" max="1021" width="19.42578125" style="675" customWidth="1"/>
    <col min="1022" max="1022" width="16.140625" style="675" customWidth="1"/>
    <col min="1023" max="1023" width="14.5703125" style="675" customWidth="1"/>
    <col min="1024" max="1024" width="20.28515625" style="675" customWidth="1"/>
    <col min="1025" max="1025" width="13.85546875" style="675" customWidth="1"/>
    <col min="1026" max="1026" width="19.140625" style="675" customWidth="1"/>
    <col min="1027" max="1027" width="19.7109375" style="675" customWidth="1"/>
    <col min="1028" max="1028" width="16.5703125" style="675" customWidth="1"/>
    <col min="1029" max="1029" width="19.140625" style="675" customWidth="1"/>
    <col min="1030" max="1032" width="16.5703125" style="675" customWidth="1"/>
    <col min="1033" max="1033" width="15.7109375" style="675" customWidth="1"/>
    <col min="1034" max="1034" width="19.42578125" style="675" customWidth="1"/>
    <col min="1035" max="1035" width="14.85546875" style="675" bestFit="1" customWidth="1"/>
    <col min="1036" max="1036" width="13.7109375" style="675" bestFit="1" customWidth="1"/>
    <col min="1037" max="1037" width="13" style="675" customWidth="1"/>
    <col min="1038" max="1038" width="18.42578125" style="675" customWidth="1"/>
    <col min="1039" max="1041" width="13.140625" style="675" customWidth="1"/>
    <col min="1042" max="1042" width="16.42578125" style="675" customWidth="1"/>
    <col min="1043" max="1043" width="13.140625" style="675" customWidth="1"/>
    <col min="1044" max="1044" width="15.28515625" style="675" customWidth="1"/>
    <col min="1045" max="1045" width="14" style="675" bestFit="1" customWidth="1"/>
    <col min="1046" max="1046" width="17.140625" style="675" customWidth="1"/>
    <col min="1047" max="1068" width="16.5703125" style="675" customWidth="1"/>
    <col min="1069" max="1069" width="20.140625" style="675" customWidth="1"/>
    <col min="1070" max="1070" width="13.28515625" style="675" customWidth="1"/>
    <col min="1071" max="1071" width="14.85546875" style="675" customWidth="1"/>
    <col min="1072" max="1072" width="13.85546875" style="675" customWidth="1"/>
    <col min="1073" max="1073" width="13.5703125" style="675" customWidth="1"/>
    <col min="1074" max="1074" width="13" style="675" customWidth="1"/>
    <col min="1075" max="1075" width="13.5703125" style="675" customWidth="1"/>
    <col min="1076" max="1076" width="7.7109375" style="675" bestFit="1" customWidth="1"/>
    <col min="1077" max="1246" width="9.140625" style="675"/>
    <col min="1247" max="1247" width="4.28515625" style="675" customWidth="1"/>
    <col min="1248" max="1248" width="10.140625" style="675" customWidth="1"/>
    <col min="1249" max="1249" width="8.85546875" style="675" customWidth="1"/>
    <col min="1250" max="1250" width="11.140625" style="675" customWidth="1"/>
    <col min="1251" max="1251" width="15" style="675" bestFit="1" customWidth="1"/>
    <col min="1252" max="1252" width="13.5703125" style="675" customWidth="1"/>
    <col min="1253" max="1253" width="11.42578125" style="675" bestFit="1" customWidth="1"/>
    <col min="1254" max="1254" width="11.28515625" style="675" customWidth="1"/>
    <col min="1255" max="1255" width="15.28515625" style="675" bestFit="1" customWidth="1"/>
    <col min="1256" max="1258" width="11.85546875" style="675" customWidth="1"/>
    <col min="1259" max="1259" width="19.140625" style="675" customWidth="1"/>
    <col min="1260" max="1260" width="15" style="675" customWidth="1"/>
    <col min="1261" max="1261" width="15.28515625" style="675" customWidth="1"/>
    <col min="1262" max="1264" width="18.85546875" style="675" customWidth="1"/>
    <col min="1265" max="1265" width="12.7109375" style="675" customWidth="1"/>
    <col min="1266" max="1266" width="13.7109375" style="675" customWidth="1"/>
    <col min="1267" max="1267" width="16.140625" style="675" customWidth="1"/>
    <col min="1268" max="1268" width="17" style="675" customWidth="1"/>
    <col min="1269" max="1269" width="15" style="675" customWidth="1"/>
    <col min="1270" max="1270" width="14.28515625" style="675" customWidth="1"/>
    <col min="1271" max="1271" width="14.85546875" style="675" customWidth="1"/>
    <col min="1272" max="1272" width="17.140625" style="675" customWidth="1"/>
    <col min="1273" max="1273" width="13.5703125" style="675" customWidth="1"/>
    <col min="1274" max="1275" width="14.85546875" style="675" customWidth="1"/>
    <col min="1276" max="1276" width="18.85546875" style="675" customWidth="1"/>
    <col min="1277" max="1277" width="19.42578125" style="675" customWidth="1"/>
    <col min="1278" max="1278" width="16.140625" style="675" customWidth="1"/>
    <col min="1279" max="1279" width="14.5703125" style="675" customWidth="1"/>
    <col min="1280" max="1280" width="20.28515625" style="675" customWidth="1"/>
    <col min="1281" max="1281" width="13.85546875" style="675" customWidth="1"/>
    <col min="1282" max="1282" width="19.140625" style="675" customWidth="1"/>
    <col min="1283" max="1283" width="19.7109375" style="675" customWidth="1"/>
    <col min="1284" max="1284" width="16.5703125" style="675" customWidth="1"/>
    <col min="1285" max="1285" width="19.140625" style="675" customWidth="1"/>
    <col min="1286" max="1288" width="16.5703125" style="675" customWidth="1"/>
    <col min="1289" max="1289" width="15.7109375" style="675" customWidth="1"/>
    <col min="1290" max="1290" width="19.42578125" style="675" customWidth="1"/>
    <col min="1291" max="1291" width="14.85546875" style="675" bestFit="1" customWidth="1"/>
    <col min="1292" max="1292" width="13.7109375" style="675" bestFit="1" customWidth="1"/>
    <col min="1293" max="1293" width="13" style="675" customWidth="1"/>
    <col min="1294" max="1294" width="18.42578125" style="675" customWidth="1"/>
    <col min="1295" max="1297" width="13.140625" style="675" customWidth="1"/>
    <col min="1298" max="1298" width="16.42578125" style="675" customWidth="1"/>
    <col min="1299" max="1299" width="13.140625" style="675" customWidth="1"/>
    <col min="1300" max="1300" width="15.28515625" style="675" customWidth="1"/>
    <col min="1301" max="1301" width="14" style="675" bestFit="1" customWidth="1"/>
    <col min="1302" max="1302" width="17.140625" style="675" customWidth="1"/>
    <col min="1303" max="1324" width="16.5703125" style="675" customWidth="1"/>
    <col min="1325" max="1325" width="20.140625" style="675" customWidth="1"/>
    <col min="1326" max="1326" width="13.28515625" style="675" customWidth="1"/>
    <col min="1327" max="1327" width="14.85546875" style="675" customWidth="1"/>
    <col min="1328" max="1328" width="13.85546875" style="675" customWidth="1"/>
    <col min="1329" max="1329" width="13.5703125" style="675" customWidth="1"/>
    <col min="1330" max="1330" width="13" style="675" customWidth="1"/>
    <col min="1331" max="1331" width="13.5703125" style="675" customWidth="1"/>
    <col min="1332" max="1332" width="7.7109375" style="675" bestFit="1" customWidth="1"/>
    <col min="1333" max="1502" width="9.140625" style="675"/>
    <col min="1503" max="1503" width="4.28515625" style="675" customWidth="1"/>
    <col min="1504" max="1504" width="10.140625" style="675" customWidth="1"/>
    <col min="1505" max="1505" width="8.85546875" style="675" customWidth="1"/>
    <col min="1506" max="1506" width="11.140625" style="675" customWidth="1"/>
    <col min="1507" max="1507" width="15" style="675" bestFit="1" customWidth="1"/>
    <col min="1508" max="1508" width="13.5703125" style="675" customWidth="1"/>
    <col min="1509" max="1509" width="11.42578125" style="675" bestFit="1" customWidth="1"/>
    <col min="1510" max="1510" width="11.28515625" style="675" customWidth="1"/>
    <col min="1511" max="1511" width="15.28515625" style="675" bestFit="1" customWidth="1"/>
    <col min="1512" max="1514" width="11.85546875" style="675" customWidth="1"/>
    <col min="1515" max="1515" width="19.140625" style="675" customWidth="1"/>
    <col min="1516" max="1516" width="15" style="675" customWidth="1"/>
    <col min="1517" max="1517" width="15.28515625" style="675" customWidth="1"/>
    <col min="1518" max="1520" width="18.85546875" style="675" customWidth="1"/>
    <col min="1521" max="1521" width="12.7109375" style="675" customWidth="1"/>
    <col min="1522" max="1522" width="13.7109375" style="675" customWidth="1"/>
    <col min="1523" max="1523" width="16.140625" style="675" customWidth="1"/>
    <col min="1524" max="1524" width="17" style="675" customWidth="1"/>
    <col min="1525" max="1525" width="15" style="675" customWidth="1"/>
    <col min="1526" max="1526" width="14.28515625" style="675" customWidth="1"/>
    <col min="1527" max="1527" width="14.85546875" style="675" customWidth="1"/>
    <col min="1528" max="1528" width="17.140625" style="675" customWidth="1"/>
    <col min="1529" max="1529" width="13.5703125" style="675" customWidth="1"/>
    <col min="1530" max="1531" width="14.85546875" style="675" customWidth="1"/>
    <col min="1532" max="1532" width="18.85546875" style="675" customWidth="1"/>
    <col min="1533" max="1533" width="19.42578125" style="675" customWidth="1"/>
    <col min="1534" max="1534" width="16.140625" style="675" customWidth="1"/>
    <col min="1535" max="1535" width="14.5703125" style="675" customWidth="1"/>
    <col min="1536" max="1536" width="20.28515625" style="675" customWidth="1"/>
    <col min="1537" max="1537" width="13.85546875" style="675" customWidth="1"/>
    <col min="1538" max="1538" width="19.140625" style="675" customWidth="1"/>
    <col min="1539" max="1539" width="19.7109375" style="675" customWidth="1"/>
    <col min="1540" max="1540" width="16.5703125" style="675" customWidth="1"/>
    <col min="1541" max="1541" width="19.140625" style="675" customWidth="1"/>
    <col min="1542" max="1544" width="16.5703125" style="675" customWidth="1"/>
    <col min="1545" max="1545" width="15.7109375" style="675" customWidth="1"/>
    <col min="1546" max="1546" width="19.42578125" style="675" customWidth="1"/>
    <col min="1547" max="1547" width="14.85546875" style="675" bestFit="1" customWidth="1"/>
    <col min="1548" max="1548" width="13.7109375" style="675" bestFit="1" customWidth="1"/>
    <col min="1549" max="1549" width="13" style="675" customWidth="1"/>
    <col min="1550" max="1550" width="18.42578125" style="675" customWidth="1"/>
    <col min="1551" max="1553" width="13.140625" style="675" customWidth="1"/>
    <col min="1554" max="1554" width="16.42578125" style="675" customWidth="1"/>
    <col min="1555" max="1555" width="13.140625" style="675" customWidth="1"/>
    <col min="1556" max="1556" width="15.28515625" style="675" customWidth="1"/>
    <col min="1557" max="1557" width="14" style="675" bestFit="1" customWidth="1"/>
    <col min="1558" max="1558" width="17.140625" style="675" customWidth="1"/>
    <col min="1559" max="1580" width="16.5703125" style="675" customWidth="1"/>
    <col min="1581" max="1581" width="20.140625" style="675" customWidth="1"/>
    <col min="1582" max="1582" width="13.28515625" style="675" customWidth="1"/>
    <col min="1583" max="1583" width="14.85546875" style="675" customWidth="1"/>
    <col min="1584" max="1584" width="13.85546875" style="675" customWidth="1"/>
    <col min="1585" max="1585" width="13.5703125" style="675" customWidth="1"/>
    <col min="1586" max="1586" width="13" style="675" customWidth="1"/>
    <col min="1587" max="1587" width="13.5703125" style="675" customWidth="1"/>
    <col min="1588" max="1588" width="7.7109375" style="675" bestFit="1" customWidth="1"/>
    <col min="1589" max="1758" width="9.140625" style="675"/>
    <col min="1759" max="1759" width="4.28515625" style="675" customWidth="1"/>
    <col min="1760" max="1760" width="10.140625" style="675" customWidth="1"/>
    <col min="1761" max="1761" width="8.85546875" style="675" customWidth="1"/>
    <col min="1762" max="1762" width="11.140625" style="675" customWidth="1"/>
    <col min="1763" max="1763" width="15" style="675" bestFit="1" customWidth="1"/>
    <col min="1764" max="1764" width="13.5703125" style="675" customWidth="1"/>
    <col min="1765" max="1765" width="11.42578125" style="675" bestFit="1" customWidth="1"/>
    <col min="1766" max="1766" width="11.28515625" style="675" customWidth="1"/>
    <col min="1767" max="1767" width="15.28515625" style="675" bestFit="1" customWidth="1"/>
    <col min="1768" max="1770" width="11.85546875" style="675" customWidth="1"/>
    <col min="1771" max="1771" width="19.140625" style="675" customWidth="1"/>
    <col min="1772" max="1772" width="15" style="675" customWidth="1"/>
    <col min="1773" max="1773" width="15.28515625" style="675" customWidth="1"/>
    <col min="1774" max="1776" width="18.85546875" style="675" customWidth="1"/>
    <col min="1777" max="1777" width="12.7109375" style="675" customWidth="1"/>
    <col min="1778" max="1778" width="13.7109375" style="675" customWidth="1"/>
    <col min="1779" max="1779" width="16.140625" style="675" customWidth="1"/>
    <col min="1780" max="1780" width="17" style="675" customWidth="1"/>
    <col min="1781" max="1781" width="15" style="675" customWidth="1"/>
    <col min="1782" max="1782" width="14.28515625" style="675" customWidth="1"/>
    <col min="1783" max="1783" width="14.85546875" style="675" customWidth="1"/>
    <col min="1784" max="1784" width="17.140625" style="675" customWidth="1"/>
    <col min="1785" max="1785" width="13.5703125" style="675" customWidth="1"/>
    <col min="1786" max="1787" width="14.85546875" style="675" customWidth="1"/>
    <col min="1788" max="1788" width="18.85546875" style="675" customWidth="1"/>
    <col min="1789" max="1789" width="19.42578125" style="675" customWidth="1"/>
    <col min="1790" max="1790" width="16.140625" style="675" customWidth="1"/>
    <col min="1791" max="1791" width="14.5703125" style="675" customWidth="1"/>
    <col min="1792" max="1792" width="20.28515625" style="675" customWidth="1"/>
    <col min="1793" max="1793" width="13.85546875" style="675" customWidth="1"/>
    <col min="1794" max="1794" width="19.140625" style="675" customWidth="1"/>
    <col min="1795" max="1795" width="19.7109375" style="675" customWidth="1"/>
    <col min="1796" max="1796" width="16.5703125" style="675" customWidth="1"/>
    <col min="1797" max="1797" width="19.140625" style="675" customWidth="1"/>
    <col min="1798" max="1800" width="16.5703125" style="675" customWidth="1"/>
    <col min="1801" max="1801" width="15.7109375" style="675" customWidth="1"/>
    <col min="1802" max="1802" width="19.42578125" style="675" customWidth="1"/>
    <col min="1803" max="1803" width="14.85546875" style="675" bestFit="1" customWidth="1"/>
    <col min="1804" max="1804" width="13.7109375" style="675" bestFit="1" customWidth="1"/>
    <col min="1805" max="1805" width="13" style="675" customWidth="1"/>
    <col min="1806" max="1806" width="18.42578125" style="675" customWidth="1"/>
    <col min="1807" max="1809" width="13.140625" style="675" customWidth="1"/>
    <col min="1810" max="1810" width="16.42578125" style="675" customWidth="1"/>
    <col min="1811" max="1811" width="13.140625" style="675" customWidth="1"/>
    <col min="1812" max="1812" width="15.28515625" style="675" customWidth="1"/>
    <col min="1813" max="1813" width="14" style="675" bestFit="1" customWidth="1"/>
    <col min="1814" max="1814" width="17.140625" style="675" customWidth="1"/>
    <col min="1815" max="1836" width="16.5703125" style="675" customWidth="1"/>
    <col min="1837" max="1837" width="20.140625" style="675" customWidth="1"/>
    <col min="1838" max="1838" width="13.28515625" style="675" customWidth="1"/>
    <col min="1839" max="1839" width="14.85546875" style="675" customWidth="1"/>
    <col min="1840" max="1840" width="13.85546875" style="675" customWidth="1"/>
    <col min="1841" max="1841" width="13.5703125" style="675" customWidth="1"/>
    <col min="1842" max="1842" width="13" style="675" customWidth="1"/>
    <col min="1843" max="1843" width="13.5703125" style="675" customWidth="1"/>
    <col min="1844" max="1844" width="7.7109375" style="675" bestFit="1" customWidth="1"/>
    <col min="1845" max="2014" width="9.140625" style="675"/>
    <col min="2015" max="2015" width="4.28515625" style="675" customWidth="1"/>
    <col min="2016" max="2016" width="10.140625" style="675" customWidth="1"/>
    <col min="2017" max="2017" width="8.85546875" style="675" customWidth="1"/>
    <col min="2018" max="2018" width="11.140625" style="675" customWidth="1"/>
    <col min="2019" max="2019" width="15" style="675" bestFit="1" customWidth="1"/>
    <col min="2020" max="2020" width="13.5703125" style="675" customWidth="1"/>
    <col min="2021" max="2021" width="11.42578125" style="675" bestFit="1" customWidth="1"/>
    <col min="2022" max="2022" width="11.28515625" style="675" customWidth="1"/>
    <col min="2023" max="2023" width="15.28515625" style="675" bestFit="1" customWidth="1"/>
    <col min="2024" max="2026" width="11.85546875" style="675" customWidth="1"/>
    <col min="2027" max="2027" width="19.140625" style="675" customWidth="1"/>
    <col min="2028" max="2028" width="15" style="675" customWidth="1"/>
    <col min="2029" max="2029" width="15.28515625" style="675" customWidth="1"/>
    <col min="2030" max="2032" width="18.85546875" style="675" customWidth="1"/>
    <col min="2033" max="2033" width="12.7109375" style="675" customWidth="1"/>
    <col min="2034" max="2034" width="13.7109375" style="675" customWidth="1"/>
    <col min="2035" max="2035" width="16.140625" style="675" customWidth="1"/>
    <col min="2036" max="2036" width="17" style="675" customWidth="1"/>
    <col min="2037" max="2037" width="15" style="675" customWidth="1"/>
    <col min="2038" max="2038" width="14.28515625" style="675" customWidth="1"/>
    <col min="2039" max="2039" width="14.85546875" style="675" customWidth="1"/>
    <col min="2040" max="2040" width="17.140625" style="675" customWidth="1"/>
    <col min="2041" max="2041" width="13.5703125" style="675" customWidth="1"/>
    <col min="2042" max="2043" width="14.85546875" style="675" customWidth="1"/>
    <col min="2044" max="2044" width="18.85546875" style="675" customWidth="1"/>
    <col min="2045" max="2045" width="19.42578125" style="675" customWidth="1"/>
    <col min="2046" max="2046" width="16.140625" style="675" customWidth="1"/>
    <col min="2047" max="2047" width="14.5703125" style="675" customWidth="1"/>
    <col min="2048" max="2048" width="20.28515625" style="675" customWidth="1"/>
    <col min="2049" max="2049" width="13.85546875" style="675" customWidth="1"/>
    <col min="2050" max="2050" width="19.140625" style="675" customWidth="1"/>
    <col min="2051" max="2051" width="19.7109375" style="675" customWidth="1"/>
    <col min="2052" max="2052" width="16.5703125" style="675" customWidth="1"/>
    <col min="2053" max="2053" width="19.140625" style="675" customWidth="1"/>
    <col min="2054" max="2056" width="16.5703125" style="675" customWidth="1"/>
    <col min="2057" max="2057" width="15.7109375" style="675" customWidth="1"/>
    <col min="2058" max="2058" width="19.42578125" style="675" customWidth="1"/>
    <col min="2059" max="2059" width="14.85546875" style="675" bestFit="1" customWidth="1"/>
    <col min="2060" max="2060" width="13.7109375" style="675" bestFit="1" customWidth="1"/>
    <col min="2061" max="2061" width="13" style="675" customWidth="1"/>
    <col min="2062" max="2062" width="18.42578125" style="675" customWidth="1"/>
    <col min="2063" max="2065" width="13.140625" style="675" customWidth="1"/>
    <col min="2066" max="2066" width="16.42578125" style="675" customWidth="1"/>
    <col min="2067" max="2067" width="13.140625" style="675" customWidth="1"/>
    <col min="2068" max="2068" width="15.28515625" style="675" customWidth="1"/>
    <col min="2069" max="2069" width="14" style="675" bestFit="1" customWidth="1"/>
    <col min="2070" max="2070" width="17.140625" style="675" customWidth="1"/>
    <col min="2071" max="2092" width="16.5703125" style="675" customWidth="1"/>
    <col min="2093" max="2093" width="20.140625" style="675" customWidth="1"/>
    <col min="2094" max="2094" width="13.28515625" style="675" customWidth="1"/>
    <col min="2095" max="2095" width="14.85546875" style="675" customWidth="1"/>
    <col min="2096" max="2096" width="13.85546875" style="675" customWidth="1"/>
    <col min="2097" max="2097" width="13.5703125" style="675" customWidth="1"/>
    <col min="2098" max="2098" width="13" style="675" customWidth="1"/>
    <col min="2099" max="2099" width="13.5703125" style="675" customWidth="1"/>
    <col min="2100" max="2100" width="7.7109375" style="675" bestFit="1" customWidth="1"/>
    <col min="2101" max="2270" width="9.140625" style="675"/>
    <col min="2271" max="2271" width="4.28515625" style="675" customWidth="1"/>
    <col min="2272" max="2272" width="10.140625" style="675" customWidth="1"/>
    <col min="2273" max="2273" width="8.85546875" style="675" customWidth="1"/>
    <col min="2274" max="2274" width="11.140625" style="675" customWidth="1"/>
    <col min="2275" max="2275" width="15" style="675" bestFit="1" customWidth="1"/>
    <col min="2276" max="2276" width="13.5703125" style="675" customWidth="1"/>
    <col min="2277" max="2277" width="11.42578125" style="675" bestFit="1" customWidth="1"/>
    <col min="2278" max="2278" width="11.28515625" style="675" customWidth="1"/>
    <col min="2279" max="2279" width="15.28515625" style="675" bestFit="1" customWidth="1"/>
    <col min="2280" max="2282" width="11.85546875" style="675" customWidth="1"/>
    <col min="2283" max="2283" width="19.140625" style="675" customWidth="1"/>
    <col min="2284" max="2284" width="15" style="675" customWidth="1"/>
    <col min="2285" max="2285" width="15.28515625" style="675" customWidth="1"/>
    <col min="2286" max="2288" width="18.85546875" style="675" customWidth="1"/>
    <col min="2289" max="2289" width="12.7109375" style="675" customWidth="1"/>
    <col min="2290" max="2290" width="13.7109375" style="675" customWidth="1"/>
    <col min="2291" max="2291" width="16.140625" style="675" customWidth="1"/>
    <col min="2292" max="2292" width="17" style="675" customWidth="1"/>
    <col min="2293" max="2293" width="15" style="675" customWidth="1"/>
    <col min="2294" max="2294" width="14.28515625" style="675" customWidth="1"/>
    <col min="2295" max="2295" width="14.85546875" style="675" customWidth="1"/>
    <col min="2296" max="2296" width="17.140625" style="675" customWidth="1"/>
    <col min="2297" max="2297" width="13.5703125" style="675" customWidth="1"/>
    <col min="2298" max="2299" width="14.85546875" style="675" customWidth="1"/>
    <col min="2300" max="2300" width="18.85546875" style="675" customWidth="1"/>
    <col min="2301" max="2301" width="19.42578125" style="675" customWidth="1"/>
    <col min="2302" max="2302" width="16.140625" style="675" customWidth="1"/>
    <col min="2303" max="2303" width="14.5703125" style="675" customWidth="1"/>
    <col min="2304" max="2304" width="20.28515625" style="675" customWidth="1"/>
    <col min="2305" max="2305" width="13.85546875" style="675" customWidth="1"/>
    <col min="2306" max="2306" width="19.140625" style="675" customWidth="1"/>
    <col min="2307" max="2307" width="19.7109375" style="675" customWidth="1"/>
    <col min="2308" max="2308" width="16.5703125" style="675" customWidth="1"/>
    <col min="2309" max="2309" width="19.140625" style="675" customWidth="1"/>
    <col min="2310" max="2312" width="16.5703125" style="675" customWidth="1"/>
    <col min="2313" max="2313" width="15.7109375" style="675" customWidth="1"/>
    <col min="2314" max="2314" width="19.42578125" style="675" customWidth="1"/>
    <col min="2315" max="2315" width="14.85546875" style="675" bestFit="1" customWidth="1"/>
    <col min="2316" max="2316" width="13.7109375" style="675" bestFit="1" customWidth="1"/>
    <col min="2317" max="2317" width="13" style="675" customWidth="1"/>
    <col min="2318" max="2318" width="18.42578125" style="675" customWidth="1"/>
    <col min="2319" max="2321" width="13.140625" style="675" customWidth="1"/>
    <col min="2322" max="2322" width="16.42578125" style="675" customWidth="1"/>
    <col min="2323" max="2323" width="13.140625" style="675" customWidth="1"/>
    <col min="2324" max="2324" width="15.28515625" style="675" customWidth="1"/>
    <col min="2325" max="2325" width="14" style="675" bestFit="1" customWidth="1"/>
    <col min="2326" max="2326" width="17.140625" style="675" customWidth="1"/>
    <col min="2327" max="2348" width="16.5703125" style="675" customWidth="1"/>
    <col min="2349" max="2349" width="20.140625" style="675" customWidth="1"/>
    <col min="2350" max="2350" width="13.28515625" style="675" customWidth="1"/>
    <col min="2351" max="2351" width="14.85546875" style="675" customWidth="1"/>
    <col min="2352" max="2352" width="13.85546875" style="675" customWidth="1"/>
    <col min="2353" max="2353" width="13.5703125" style="675" customWidth="1"/>
    <col min="2354" max="2354" width="13" style="675" customWidth="1"/>
    <col min="2355" max="2355" width="13.5703125" style="675" customWidth="1"/>
    <col min="2356" max="2356" width="7.7109375" style="675" bestFit="1" customWidth="1"/>
    <col min="2357" max="2526" width="9.140625" style="675"/>
    <col min="2527" max="2527" width="4.28515625" style="675" customWidth="1"/>
    <col min="2528" max="2528" width="10.140625" style="675" customWidth="1"/>
    <col min="2529" max="2529" width="8.85546875" style="675" customWidth="1"/>
    <col min="2530" max="2530" width="11.140625" style="675" customWidth="1"/>
    <col min="2531" max="2531" width="15" style="675" bestFit="1" customWidth="1"/>
    <col min="2532" max="2532" width="13.5703125" style="675" customWidth="1"/>
    <col min="2533" max="2533" width="11.42578125" style="675" bestFit="1" customWidth="1"/>
    <col min="2534" max="2534" width="11.28515625" style="675" customWidth="1"/>
    <col min="2535" max="2535" width="15.28515625" style="675" bestFit="1" customWidth="1"/>
    <col min="2536" max="2538" width="11.85546875" style="675" customWidth="1"/>
    <col min="2539" max="2539" width="19.140625" style="675" customWidth="1"/>
    <col min="2540" max="2540" width="15" style="675" customWidth="1"/>
    <col min="2541" max="2541" width="15.28515625" style="675" customWidth="1"/>
    <col min="2542" max="2544" width="18.85546875" style="675" customWidth="1"/>
    <col min="2545" max="2545" width="12.7109375" style="675" customWidth="1"/>
    <col min="2546" max="2546" width="13.7109375" style="675" customWidth="1"/>
    <col min="2547" max="2547" width="16.140625" style="675" customWidth="1"/>
    <col min="2548" max="2548" width="17" style="675" customWidth="1"/>
    <col min="2549" max="2549" width="15" style="675" customWidth="1"/>
    <col min="2550" max="2550" width="14.28515625" style="675" customWidth="1"/>
    <col min="2551" max="2551" width="14.85546875" style="675" customWidth="1"/>
    <col min="2552" max="2552" width="17.140625" style="675" customWidth="1"/>
    <col min="2553" max="2553" width="13.5703125" style="675" customWidth="1"/>
    <col min="2554" max="2555" width="14.85546875" style="675" customWidth="1"/>
    <col min="2556" max="2556" width="18.85546875" style="675" customWidth="1"/>
    <col min="2557" max="2557" width="19.42578125" style="675" customWidth="1"/>
    <col min="2558" max="2558" width="16.140625" style="675" customWidth="1"/>
    <col min="2559" max="2559" width="14.5703125" style="675" customWidth="1"/>
    <col min="2560" max="2560" width="20.28515625" style="675" customWidth="1"/>
    <col min="2561" max="2561" width="13.85546875" style="675" customWidth="1"/>
    <col min="2562" max="2562" width="19.140625" style="675" customWidth="1"/>
    <col min="2563" max="2563" width="19.7109375" style="675" customWidth="1"/>
    <col min="2564" max="2564" width="16.5703125" style="675" customWidth="1"/>
    <col min="2565" max="2565" width="19.140625" style="675" customWidth="1"/>
    <col min="2566" max="2568" width="16.5703125" style="675" customWidth="1"/>
    <col min="2569" max="2569" width="15.7109375" style="675" customWidth="1"/>
    <col min="2570" max="2570" width="19.42578125" style="675" customWidth="1"/>
    <col min="2571" max="2571" width="14.85546875" style="675" bestFit="1" customWidth="1"/>
    <col min="2572" max="2572" width="13.7109375" style="675" bestFit="1" customWidth="1"/>
    <col min="2573" max="2573" width="13" style="675" customWidth="1"/>
    <col min="2574" max="2574" width="18.42578125" style="675" customWidth="1"/>
    <col min="2575" max="2577" width="13.140625" style="675" customWidth="1"/>
    <col min="2578" max="2578" width="16.42578125" style="675" customWidth="1"/>
    <col min="2579" max="2579" width="13.140625" style="675" customWidth="1"/>
    <col min="2580" max="2580" width="15.28515625" style="675" customWidth="1"/>
    <col min="2581" max="2581" width="14" style="675" bestFit="1" customWidth="1"/>
    <col min="2582" max="2582" width="17.140625" style="675" customWidth="1"/>
    <col min="2583" max="2604" width="16.5703125" style="675" customWidth="1"/>
    <col min="2605" max="2605" width="20.140625" style="675" customWidth="1"/>
    <col min="2606" max="2606" width="13.28515625" style="675" customWidth="1"/>
    <col min="2607" max="2607" width="14.85546875" style="675" customWidth="1"/>
    <col min="2608" max="2608" width="13.85546875" style="675" customWidth="1"/>
    <col min="2609" max="2609" width="13.5703125" style="675" customWidth="1"/>
    <col min="2610" max="2610" width="13" style="675" customWidth="1"/>
    <col min="2611" max="2611" width="13.5703125" style="675" customWidth="1"/>
    <col min="2612" max="2612" width="7.7109375" style="675" bestFit="1" customWidth="1"/>
    <col min="2613" max="2782" width="9.140625" style="675"/>
    <col min="2783" max="2783" width="4.28515625" style="675" customWidth="1"/>
    <col min="2784" max="2784" width="10.140625" style="675" customWidth="1"/>
    <col min="2785" max="2785" width="8.85546875" style="675" customWidth="1"/>
    <col min="2786" max="2786" width="11.140625" style="675" customWidth="1"/>
    <col min="2787" max="2787" width="15" style="675" bestFit="1" customWidth="1"/>
    <col min="2788" max="2788" width="13.5703125" style="675" customWidth="1"/>
    <col min="2789" max="2789" width="11.42578125" style="675" bestFit="1" customWidth="1"/>
    <col min="2790" max="2790" width="11.28515625" style="675" customWidth="1"/>
    <col min="2791" max="2791" width="15.28515625" style="675" bestFit="1" customWidth="1"/>
    <col min="2792" max="2794" width="11.85546875" style="675" customWidth="1"/>
    <col min="2795" max="2795" width="19.140625" style="675" customWidth="1"/>
    <col min="2796" max="2796" width="15" style="675" customWidth="1"/>
    <col min="2797" max="2797" width="15.28515625" style="675" customWidth="1"/>
    <col min="2798" max="2800" width="18.85546875" style="675" customWidth="1"/>
    <col min="2801" max="2801" width="12.7109375" style="675" customWidth="1"/>
    <col min="2802" max="2802" width="13.7109375" style="675" customWidth="1"/>
    <col min="2803" max="2803" width="16.140625" style="675" customWidth="1"/>
    <col min="2804" max="2804" width="17" style="675" customWidth="1"/>
    <col min="2805" max="2805" width="15" style="675" customWidth="1"/>
    <col min="2806" max="2806" width="14.28515625" style="675" customWidth="1"/>
    <col min="2807" max="2807" width="14.85546875" style="675" customWidth="1"/>
    <col min="2808" max="2808" width="17.140625" style="675" customWidth="1"/>
    <col min="2809" max="2809" width="13.5703125" style="675" customWidth="1"/>
    <col min="2810" max="2811" width="14.85546875" style="675" customWidth="1"/>
    <col min="2812" max="2812" width="18.85546875" style="675" customWidth="1"/>
    <col min="2813" max="2813" width="19.42578125" style="675" customWidth="1"/>
    <col min="2814" max="2814" width="16.140625" style="675" customWidth="1"/>
    <col min="2815" max="2815" width="14.5703125" style="675" customWidth="1"/>
    <col min="2816" max="2816" width="20.28515625" style="675" customWidth="1"/>
    <col min="2817" max="2817" width="13.85546875" style="675" customWidth="1"/>
    <col min="2818" max="2818" width="19.140625" style="675" customWidth="1"/>
    <col min="2819" max="2819" width="19.7109375" style="675" customWidth="1"/>
    <col min="2820" max="2820" width="16.5703125" style="675" customWidth="1"/>
    <col min="2821" max="2821" width="19.140625" style="675" customWidth="1"/>
    <col min="2822" max="2824" width="16.5703125" style="675" customWidth="1"/>
    <col min="2825" max="2825" width="15.7109375" style="675" customWidth="1"/>
    <col min="2826" max="2826" width="19.42578125" style="675" customWidth="1"/>
    <col min="2827" max="2827" width="14.85546875" style="675" bestFit="1" customWidth="1"/>
    <col min="2828" max="2828" width="13.7109375" style="675" bestFit="1" customWidth="1"/>
    <col min="2829" max="2829" width="13" style="675" customWidth="1"/>
    <col min="2830" max="2830" width="18.42578125" style="675" customWidth="1"/>
    <col min="2831" max="2833" width="13.140625" style="675" customWidth="1"/>
    <col min="2834" max="2834" width="16.42578125" style="675" customWidth="1"/>
    <col min="2835" max="2835" width="13.140625" style="675" customWidth="1"/>
    <col min="2836" max="2836" width="15.28515625" style="675" customWidth="1"/>
    <col min="2837" max="2837" width="14" style="675" bestFit="1" customWidth="1"/>
    <col min="2838" max="2838" width="17.140625" style="675" customWidth="1"/>
    <col min="2839" max="2860" width="16.5703125" style="675" customWidth="1"/>
    <col min="2861" max="2861" width="20.140625" style="675" customWidth="1"/>
    <col min="2862" max="2862" width="13.28515625" style="675" customWidth="1"/>
    <col min="2863" max="2863" width="14.85546875" style="675" customWidth="1"/>
    <col min="2864" max="2864" width="13.85546875" style="675" customWidth="1"/>
    <col min="2865" max="2865" width="13.5703125" style="675" customWidth="1"/>
    <col min="2866" max="2866" width="13" style="675" customWidth="1"/>
    <col min="2867" max="2867" width="13.5703125" style="675" customWidth="1"/>
    <col min="2868" max="2868" width="7.7109375" style="675" bestFit="1" customWidth="1"/>
    <col min="2869" max="3038" width="9.140625" style="675"/>
    <col min="3039" max="3039" width="4.28515625" style="675" customWidth="1"/>
    <col min="3040" max="3040" width="10.140625" style="675" customWidth="1"/>
    <col min="3041" max="3041" width="8.85546875" style="675" customWidth="1"/>
    <col min="3042" max="3042" width="11.140625" style="675" customWidth="1"/>
    <col min="3043" max="3043" width="15" style="675" bestFit="1" customWidth="1"/>
    <col min="3044" max="3044" width="13.5703125" style="675" customWidth="1"/>
    <col min="3045" max="3045" width="11.42578125" style="675" bestFit="1" customWidth="1"/>
    <col min="3046" max="3046" width="11.28515625" style="675" customWidth="1"/>
    <col min="3047" max="3047" width="15.28515625" style="675" bestFit="1" customWidth="1"/>
    <col min="3048" max="3050" width="11.85546875" style="675" customWidth="1"/>
    <col min="3051" max="3051" width="19.140625" style="675" customWidth="1"/>
    <col min="3052" max="3052" width="15" style="675" customWidth="1"/>
    <col min="3053" max="3053" width="15.28515625" style="675" customWidth="1"/>
    <col min="3054" max="3056" width="18.85546875" style="675" customWidth="1"/>
    <col min="3057" max="3057" width="12.7109375" style="675" customWidth="1"/>
    <col min="3058" max="3058" width="13.7109375" style="675" customWidth="1"/>
    <col min="3059" max="3059" width="16.140625" style="675" customWidth="1"/>
    <col min="3060" max="3060" width="17" style="675" customWidth="1"/>
    <col min="3061" max="3061" width="15" style="675" customWidth="1"/>
    <col min="3062" max="3062" width="14.28515625" style="675" customWidth="1"/>
    <col min="3063" max="3063" width="14.85546875" style="675" customWidth="1"/>
    <col min="3064" max="3064" width="17.140625" style="675" customWidth="1"/>
    <col min="3065" max="3065" width="13.5703125" style="675" customWidth="1"/>
    <col min="3066" max="3067" width="14.85546875" style="675" customWidth="1"/>
    <col min="3068" max="3068" width="18.85546875" style="675" customWidth="1"/>
    <col min="3069" max="3069" width="19.42578125" style="675" customWidth="1"/>
    <col min="3070" max="3070" width="16.140625" style="675" customWidth="1"/>
    <col min="3071" max="3071" width="14.5703125" style="675" customWidth="1"/>
    <col min="3072" max="3072" width="20.28515625" style="675" customWidth="1"/>
    <col min="3073" max="3073" width="13.85546875" style="675" customWidth="1"/>
    <col min="3074" max="3074" width="19.140625" style="675" customWidth="1"/>
    <col min="3075" max="3075" width="19.7109375" style="675" customWidth="1"/>
    <col min="3076" max="3076" width="16.5703125" style="675" customWidth="1"/>
    <col min="3077" max="3077" width="19.140625" style="675" customWidth="1"/>
    <col min="3078" max="3080" width="16.5703125" style="675" customWidth="1"/>
    <col min="3081" max="3081" width="15.7109375" style="675" customWidth="1"/>
    <col min="3082" max="3082" width="19.42578125" style="675" customWidth="1"/>
    <col min="3083" max="3083" width="14.85546875" style="675" bestFit="1" customWidth="1"/>
    <col min="3084" max="3084" width="13.7109375" style="675" bestFit="1" customWidth="1"/>
    <col min="3085" max="3085" width="13" style="675" customWidth="1"/>
    <col min="3086" max="3086" width="18.42578125" style="675" customWidth="1"/>
    <col min="3087" max="3089" width="13.140625" style="675" customWidth="1"/>
    <col min="3090" max="3090" width="16.42578125" style="675" customWidth="1"/>
    <col min="3091" max="3091" width="13.140625" style="675" customWidth="1"/>
    <col min="3092" max="3092" width="15.28515625" style="675" customWidth="1"/>
    <col min="3093" max="3093" width="14" style="675" bestFit="1" customWidth="1"/>
    <col min="3094" max="3094" width="17.140625" style="675" customWidth="1"/>
    <col min="3095" max="3116" width="16.5703125" style="675" customWidth="1"/>
    <col min="3117" max="3117" width="20.140625" style="675" customWidth="1"/>
    <col min="3118" max="3118" width="13.28515625" style="675" customWidth="1"/>
    <col min="3119" max="3119" width="14.85546875" style="675" customWidth="1"/>
    <col min="3120" max="3120" width="13.85546875" style="675" customWidth="1"/>
    <col min="3121" max="3121" width="13.5703125" style="675" customWidth="1"/>
    <col min="3122" max="3122" width="13" style="675" customWidth="1"/>
    <col min="3123" max="3123" width="13.5703125" style="675" customWidth="1"/>
    <col min="3124" max="3124" width="7.7109375" style="675" bestFit="1" customWidth="1"/>
    <col min="3125" max="3294" width="9.140625" style="675"/>
    <col min="3295" max="3295" width="4.28515625" style="675" customWidth="1"/>
    <col min="3296" max="3296" width="10.140625" style="675" customWidth="1"/>
    <col min="3297" max="3297" width="8.85546875" style="675" customWidth="1"/>
    <col min="3298" max="3298" width="11.140625" style="675" customWidth="1"/>
    <col min="3299" max="3299" width="15" style="675" bestFit="1" customWidth="1"/>
    <col min="3300" max="3300" width="13.5703125" style="675" customWidth="1"/>
    <col min="3301" max="3301" width="11.42578125" style="675" bestFit="1" customWidth="1"/>
    <col min="3302" max="3302" width="11.28515625" style="675" customWidth="1"/>
    <col min="3303" max="3303" width="15.28515625" style="675" bestFit="1" customWidth="1"/>
    <col min="3304" max="3306" width="11.85546875" style="675" customWidth="1"/>
    <col min="3307" max="3307" width="19.140625" style="675" customWidth="1"/>
    <col min="3308" max="3308" width="15" style="675" customWidth="1"/>
    <col min="3309" max="3309" width="15.28515625" style="675" customWidth="1"/>
    <col min="3310" max="3312" width="18.85546875" style="675" customWidth="1"/>
    <col min="3313" max="3313" width="12.7109375" style="675" customWidth="1"/>
    <col min="3314" max="3314" width="13.7109375" style="675" customWidth="1"/>
    <col min="3315" max="3315" width="16.140625" style="675" customWidth="1"/>
    <col min="3316" max="3316" width="17" style="675" customWidth="1"/>
    <col min="3317" max="3317" width="15" style="675" customWidth="1"/>
    <col min="3318" max="3318" width="14.28515625" style="675" customWidth="1"/>
    <col min="3319" max="3319" width="14.85546875" style="675" customWidth="1"/>
    <col min="3320" max="3320" width="17.140625" style="675" customWidth="1"/>
    <col min="3321" max="3321" width="13.5703125" style="675" customWidth="1"/>
    <col min="3322" max="3323" width="14.85546875" style="675" customWidth="1"/>
    <col min="3324" max="3324" width="18.85546875" style="675" customWidth="1"/>
    <col min="3325" max="3325" width="19.42578125" style="675" customWidth="1"/>
    <col min="3326" max="3326" width="16.140625" style="675" customWidth="1"/>
    <col min="3327" max="3327" width="14.5703125" style="675" customWidth="1"/>
    <col min="3328" max="3328" width="20.28515625" style="675" customWidth="1"/>
    <col min="3329" max="3329" width="13.85546875" style="675" customWidth="1"/>
    <col min="3330" max="3330" width="19.140625" style="675" customWidth="1"/>
    <col min="3331" max="3331" width="19.7109375" style="675" customWidth="1"/>
    <col min="3332" max="3332" width="16.5703125" style="675" customWidth="1"/>
    <col min="3333" max="3333" width="19.140625" style="675" customWidth="1"/>
    <col min="3334" max="3336" width="16.5703125" style="675" customWidth="1"/>
    <col min="3337" max="3337" width="15.7109375" style="675" customWidth="1"/>
    <col min="3338" max="3338" width="19.42578125" style="675" customWidth="1"/>
    <col min="3339" max="3339" width="14.85546875" style="675" bestFit="1" customWidth="1"/>
    <col min="3340" max="3340" width="13.7109375" style="675" bestFit="1" customWidth="1"/>
    <col min="3341" max="3341" width="13" style="675" customWidth="1"/>
    <col min="3342" max="3342" width="18.42578125" style="675" customWidth="1"/>
    <col min="3343" max="3345" width="13.140625" style="675" customWidth="1"/>
    <col min="3346" max="3346" width="16.42578125" style="675" customWidth="1"/>
    <col min="3347" max="3347" width="13.140625" style="675" customWidth="1"/>
    <col min="3348" max="3348" width="15.28515625" style="675" customWidth="1"/>
    <col min="3349" max="3349" width="14" style="675" bestFit="1" customWidth="1"/>
    <col min="3350" max="3350" width="17.140625" style="675" customWidth="1"/>
    <col min="3351" max="3372" width="16.5703125" style="675" customWidth="1"/>
    <col min="3373" max="3373" width="20.140625" style="675" customWidth="1"/>
    <col min="3374" max="3374" width="13.28515625" style="675" customWidth="1"/>
    <col min="3375" max="3375" width="14.85546875" style="675" customWidth="1"/>
    <col min="3376" max="3376" width="13.85546875" style="675" customWidth="1"/>
    <col min="3377" max="3377" width="13.5703125" style="675" customWidth="1"/>
    <col min="3378" max="3378" width="13" style="675" customWidth="1"/>
    <col min="3379" max="3379" width="13.5703125" style="675" customWidth="1"/>
    <col min="3380" max="3380" width="7.7109375" style="675" bestFit="1" customWidth="1"/>
    <col min="3381" max="3550" width="9.140625" style="675"/>
    <col min="3551" max="3551" width="4.28515625" style="675" customWidth="1"/>
    <col min="3552" max="3552" width="10.140625" style="675" customWidth="1"/>
    <col min="3553" max="3553" width="8.85546875" style="675" customWidth="1"/>
    <col min="3554" max="3554" width="11.140625" style="675" customWidth="1"/>
    <col min="3555" max="3555" width="15" style="675" bestFit="1" customWidth="1"/>
    <col min="3556" max="3556" width="13.5703125" style="675" customWidth="1"/>
    <col min="3557" max="3557" width="11.42578125" style="675" bestFit="1" customWidth="1"/>
    <col min="3558" max="3558" width="11.28515625" style="675" customWidth="1"/>
    <col min="3559" max="3559" width="15.28515625" style="675" bestFit="1" customWidth="1"/>
    <col min="3560" max="3562" width="11.85546875" style="675" customWidth="1"/>
    <col min="3563" max="3563" width="19.140625" style="675" customWidth="1"/>
    <col min="3564" max="3564" width="15" style="675" customWidth="1"/>
    <col min="3565" max="3565" width="15.28515625" style="675" customWidth="1"/>
    <col min="3566" max="3568" width="18.85546875" style="675" customWidth="1"/>
    <col min="3569" max="3569" width="12.7109375" style="675" customWidth="1"/>
    <col min="3570" max="3570" width="13.7109375" style="675" customWidth="1"/>
    <col min="3571" max="3571" width="16.140625" style="675" customWidth="1"/>
    <col min="3572" max="3572" width="17" style="675" customWidth="1"/>
    <col min="3573" max="3573" width="15" style="675" customWidth="1"/>
    <col min="3574" max="3574" width="14.28515625" style="675" customWidth="1"/>
    <col min="3575" max="3575" width="14.85546875" style="675" customWidth="1"/>
    <col min="3576" max="3576" width="17.140625" style="675" customWidth="1"/>
    <col min="3577" max="3577" width="13.5703125" style="675" customWidth="1"/>
    <col min="3578" max="3579" width="14.85546875" style="675" customWidth="1"/>
    <col min="3580" max="3580" width="18.85546875" style="675" customWidth="1"/>
    <col min="3581" max="3581" width="19.42578125" style="675" customWidth="1"/>
    <col min="3582" max="3582" width="16.140625" style="675" customWidth="1"/>
    <col min="3583" max="3583" width="14.5703125" style="675" customWidth="1"/>
    <col min="3584" max="3584" width="20.28515625" style="675" customWidth="1"/>
    <col min="3585" max="3585" width="13.85546875" style="675" customWidth="1"/>
    <col min="3586" max="3586" width="19.140625" style="675" customWidth="1"/>
    <col min="3587" max="3587" width="19.7109375" style="675" customWidth="1"/>
    <col min="3588" max="3588" width="16.5703125" style="675" customWidth="1"/>
    <col min="3589" max="3589" width="19.140625" style="675" customWidth="1"/>
    <col min="3590" max="3592" width="16.5703125" style="675" customWidth="1"/>
    <col min="3593" max="3593" width="15.7109375" style="675" customWidth="1"/>
    <col min="3594" max="3594" width="19.42578125" style="675" customWidth="1"/>
    <col min="3595" max="3595" width="14.85546875" style="675" bestFit="1" customWidth="1"/>
    <col min="3596" max="3596" width="13.7109375" style="675" bestFit="1" customWidth="1"/>
    <col min="3597" max="3597" width="13" style="675" customWidth="1"/>
    <col min="3598" max="3598" width="18.42578125" style="675" customWidth="1"/>
    <col min="3599" max="3601" width="13.140625" style="675" customWidth="1"/>
    <col min="3602" max="3602" width="16.42578125" style="675" customWidth="1"/>
    <col min="3603" max="3603" width="13.140625" style="675" customWidth="1"/>
    <col min="3604" max="3604" width="15.28515625" style="675" customWidth="1"/>
    <col min="3605" max="3605" width="14" style="675" bestFit="1" customWidth="1"/>
    <col min="3606" max="3606" width="17.140625" style="675" customWidth="1"/>
    <col min="3607" max="3628" width="16.5703125" style="675" customWidth="1"/>
    <col min="3629" max="3629" width="20.140625" style="675" customWidth="1"/>
    <col min="3630" max="3630" width="13.28515625" style="675" customWidth="1"/>
    <col min="3631" max="3631" width="14.85546875" style="675" customWidth="1"/>
    <col min="3632" max="3632" width="13.85546875" style="675" customWidth="1"/>
    <col min="3633" max="3633" width="13.5703125" style="675" customWidth="1"/>
    <col min="3634" max="3634" width="13" style="675" customWidth="1"/>
    <col min="3635" max="3635" width="13.5703125" style="675" customWidth="1"/>
    <col min="3636" max="3636" width="7.7109375" style="675" bestFit="1" customWidth="1"/>
    <col min="3637" max="3806" width="9.140625" style="675"/>
    <col min="3807" max="3807" width="4.28515625" style="675" customWidth="1"/>
    <col min="3808" max="3808" width="10.140625" style="675" customWidth="1"/>
    <col min="3809" max="3809" width="8.85546875" style="675" customWidth="1"/>
    <col min="3810" max="3810" width="11.140625" style="675" customWidth="1"/>
    <col min="3811" max="3811" width="15" style="675" bestFit="1" customWidth="1"/>
    <col min="3812" max="3812" width="13.5703125" style="675" customWidth="1"/>
    <col min="3813" max="3813" width="11.42578125" style="675" bestFit="1" customWidth="1"/>
    <col min="3814" max="3814" width="11.28515625" style="675" customWidth="1"/>
    <col min="3815" max="3815" width="15.28515625" style="675" bestFit="1" customWidth="1"/>
    <col min="3816" max="3818" width="11.85546875" style="675" customWidth="1"/>
    <col min="3819" max="3819" width="19.140625" style="675" customWidth="1"/>
    <col min="3820" max="3820" width="15" style="675" customWidth="1"/>
    <col min="3821" max="3821" width="15.28515625" style="675" customWidth="1"/>
    <col min="3822" max="3824" width="18.85546875" style="675" customWidth="1"/>
    <col min="3825" max="3825" width="12.7109375" style="675" customWidth="1"/>
    <col min="3826" max="3826" width="13.7109375" style="675" customWidth="1"/>
    <col min="3827" max="3827" width="16.140625" style="675" customWidth="1"/>
    <col min="3828" max="3828" width="17" style="675" customWidth="1"/>
    <col min="3829" max="3829" width="15" style="675" customWidth="1"/>
    <col min="3830" max="3830" width="14.28515625" style="675" customWidth="1"/>
    <col min="3831" max="3831" width="14.85546875" style="675" customWidth="1"/>
    <col min="3832" max="3832" width="17.140625" style="675" customWidth="1"/>
    <col min="3833" max="3833" width="13.5703125" style="675" customWidth="1"/>
    <col min="3834" max="3835" width="14.85546875" style="675" customWidth="1"/>
    <col min="3836" max="3836" width="18.85546875" style="675" customWidth="1"/>
    <col min="3837" max="3837" width="19.42578125" style="675" customWidth="1"/>
    <col min="3838" max="3838" width="16.140625" style="675" customWidth="1"/>
    <col min="3839" max="3839" width="14.5703125" style="675" customWidth="1"/>
    <col min="3840" max="3840" width="20.28515625" style="675" customWidth="1"/>
    <col min="3841" max="3841" width="13.85546875" style="675" customWidth="1"/>
    <col min="3842" max="3842" width="19.140625" style="675" customWidth="1"/>
    <col min="3843" max="3843" width="19.7109375" style="675" customWidth="1"/>
    <col min="3844" max="3844" width="16.5703125" style="675" customWidth="1"/>
    <col min="3845" max="3845" width="19.140625" style="675" customWidth="1"/>
    <col min="3846" max="3848" width="16.5703125" style="675" customWidth="1"/>
    <col min="3849" max="3849" width="15.7109375" style="675" customWidth="1"/>
    <col min="3850" max="3850" width="19.42578125" style="675" customWidth="1"/>
    <col min="3851" max="3851" width="14.85546875" style="675" bestFit="1" customWidth="1"/>
    <col min="3852" max="3852" width="13.7109375" style="675" bestFit="1" customWidth="1"/>
    <col min="3853" max="3853" width="13" style="675" customWidth="1"/>
    <col min="3854" max="3854" width="18.42578125" style="675" customWidth="1"/>
    <col min="3855" max="3857" width="13.140625" style="675" customWidth="1"/>
    <col min="3858" max="3858" width="16.42578125" style="675" customWidth="1"/>
    <col min="3859" max="3859" width="13.140625" style="675" customWidth="1"/>
    <col min="3860" max="3860" width="15.28515625" style="675" customWidth="1"/>
    <col min="3861" max="3861" width="14" style="675" bestFit="1" customWidth="1"/>
    <col min="3862" max="3862" width="17.140625" style="675" customWidth="1"/>
    <col min="3863" max="3884" width="16.5703125" style="675" customWidth="1"/>
    <col min="3885" max="3885" width="20.140625" style="675" customWidth="1"/>
    <col min="3886" max="3886" width="13.28515625" style="675" customWidth="1"/>
    <col min="3887" max="3887" width="14.85546875" style="675" customWidth="1"/>
    <col min="3888" max="3888" width="13.85546875" style="675" customWidth="1"/>
    <col min="3889" max="3889" width="13.5703125" style="675" customWidth="1"/>
    <col min="3890" max="3890" width="13" style="675" customWidth="1"/>
    <col min="3891" max="3891" width="13.5703125" style="675" customWidth="1"/>
    <col min="3892" max="3892" width="7.7109375" style="675" bestFit="1" customWidth="1"/>
    <col min="3893" max="4062" width="9.140625" style="675"/>
    <col min="4063" max="4063" width="4.28515625" style="675" customWidth="1"/>
    <col min="4064" max="4064" width="10.140625" style="675" customWidth="1"/>
    <col min="4065" max="4065" width="8.85546875" style="675" customWidth="1"/>
    <col min="4066" max="4066" width="11.140625" style="675" customWidth="1"/>
    <col min="4067" max="4067" width="15" style="675" bestFit="1" customWidth="1"/>
    <col min="4068" max="4068" width="13.5703125" style="675" customWidth="1"/>
    <col min="4069" max="4069" width="11.42578125" style="675" bestFit="1" customWidth="1"/>
    <col min="4070" max="4070" width="11.28515625" style="675" customWidth="1"/>
    <col min="4071" max="4071" width="15.28515625" style="675" bestFit="1" customWidth="1"/>
    <col min="4072" max="4074" width="11.85546875" style="675" customWidth="1"/>
    <col min="4075" max="4075" width="19.140625" style="675" customWidth="1"/>
    <col min="4076" max="4076" width="15" style="675" customWidth="1"/>
    <col min="4077" max="4077" width="15.28515625" style="675" customWidth="1"/>
    <col min="4078" max="4080" width="18.85546875" style="675" customWidth="1"/>
    <col min="4081" max="4081" width="12.7109375" style="675" customWidth="1"/>
    <col min="4082" max="4082" width="13.7109375" style="675" customWidth="1"/>
    <col min="4083" max="4083" width="16.140625" style="675" customWidth="1"/>
    <col min="4084" max="4084" width="17" style="675" customWidth="1"/>
    <col min="4085" max="4085" width="15" style="675" customWidth="1"/>
    <col min="4086" max="4086" width="14.28515625" style="675" customWidth="1"/>
    <col min="4087" max="4087" width="14.85546875" style="675" customWidth="1"/>
    <col min="4088" max="4088" width="17.140625" style="675" customWidth="1"/>
    <col min="4089" max="4089" width="13.5703125" style="675" customWidth="1"/>
    <col min="4090" max="4091" width="14.85546875" style="675" customWidth="1"/>
    <col min="4092" max="4092" width="18.85546875" style="675" customWidth="1"/>
    <col min="4093" max="4093" width="19.42578125" style="675" customWidth="1"/>
    <col min="4094" max="4094" width="16.140625" style="675" customWidth="1"/>
    <col min="4095" max="4095" width="14.5703125" style="675" customWidth="1"/>
    <col min="4096" max="4096" width="20.28515625" style="675" customWidth="1"/>
    <col min="4097" max="4097" width="13.85546875" style="675" customWidth="1"/>
    <col min="4098" max="4098" width="19.140625" style="675" customWidth="1"/>
    <col min="4099" max="4099" width="19.7109375" style="675" customWidth="1"/>
    <col min="4100" max="4100" width="16.5703125" style="675" customWidth="1"/>
    <col min="4101" max="4101" width="19.140625" style="675" customWidth="1"/>
    <col min="4102" max="4104" width="16.5703125" style="675" customWidth="1"/>
    <col min="4105" max="4105" width="15.7109375" style="675" customWidth="1"/>
    <col min="4106" max="4106" width="19.42578125" style="675" customWidth="1"/>
    <col min="4107" max="4107" width="14.85546875" style="675" bestFit="1" customWidth="1"/>
    <col min="4108" max="4108" width="13.7109375" style="675" bestFit="1" customWidth="1"/>
    <col min="4109" max="4109" width="13" style="675" customWidth="1"/>
    <col min="4110" max="4110" width="18.42578125" style="675" customWidth="1"/>
    <col min="4111" max="4113" width="13.140625" style="675" customWidth="1"/>
    <col min="4114" max="4114" width="16.42578125" style="675" customWidth="1"/>
    <col min="4115" max="4115" width="13.140625" style="675" customWidth="1"/>
    <col min="4116" max="4116" width="15.28515625" style="675" customWidth="1"/>
    <col min="4117" max="4117" width="14" style="675" bestFit="1" customWidth="1"/>
    <col min="4118" max="4118" width="17.140625" style="675" customWidth="1"/>
    <col min="4119" max="4140" width="16.5703125" style="675" customWidth="1"/>
    <col min="4141" max="4141" width="20.140625" style="675" customWidth="1"/>
    <col min="4142" max="4142" width="13.28515625" style="675" customWidth="1"/>
    <col min="4143" max="4143" width="14.85546875" style="675" customWidth="1"/>
    <col min="4144" max="4144" width="13.85546875" style="675" customWidth="1"/>
    <col min="4145" max="4145" width="13.5703125" style="675" customWidth="1"/>
    <col min="4146" max="4146" width="13" style="675" customWidth="1"/>
    <col min="4147" max="4147" width="13.5703125" style="675" customWidth="1"/>
    <col min="4148" max="4148" width="7.7109375" style="675" bestFit="1" customWidth="1"/>
    <col min="4149" max="4318" width="9.140625" style="675"/>
    <col min="4319" max="4319" width="4.28515625" style="675" customWidth="1"/>
    <col min="4320" max="4320" width="10.140625" style="675" customWidth="1"/>
    <col min="4321" max="4321" width="8.85546875" style="675" customWidth="1"/>
    <col min="4322" max="4322" width="11.140625" style="675" customWidth="1"/>
    <col min="4323" max="4323" width="15" style="675" bestFit="1" customWidth="1"/>
    <col min="4324" max="4324" width="13.5703125" style="675" customWidth="1"/>
    <col min="4325" max="4325" width="11.42578125" style="675" bestFit="1" customWidth="1"/>
    <col min="4326" max="4326" width="11.28515625" style="675" customWidth="1"/>
    <col min="4327" max="4327" width="15.28515625" style="675" bestFit="1" customWidth="1"/>
    <col min="4328" max="4330" width="11.85546875" style="675" customWidth="1"/>
    <col min="4331" max="4331" width="19.140625" style="675" customWidth="1"/>
    <col min="4332" max="4332" width="15" style="675" customWidth="1"/>
    <col min="4333" max="4333" width="15.28515625" style="675" customWidth="1"/>
    <col min="4334" max="4336" width="18.85546875" style="675" customWidth="1"/>
    <col min="4337" max="4337" width="12.7109375" style="675" customWidth="1"/>
    <col min="4338" max="4338" width="13.7109375" style="675" customWidth="1"/>
    <col min="4339" max="4339" width="16.140625" style="675" customWidth="1"/>
    <col min="4340" max="4340" width="17" style="675" customWidth="1"/>
    <col min="4341" max="4341" width="15" style="675" customWidth="1"/>
    <col min="4342" max="4342" width="14.28515625" style="675" customWidth="1"/>
    <col min="4343" max="4343" width="14.85546875" style="675" customWidth="1"/>
    <col min="4344" max="4344" width="17.140625" style="675" customWidth="1"/>
    <col min="4345" max="4345" width="13.5703125" style="675" customWidth="1"/>
    <col min="4346" max="4347" width="14.85546875" style="675" customWidth="1"/>
    <col min="4348" max="4348" width="18.85546875" style="675" customWidth="1"/>
    <col min="4349" max="4349" width="19.42578125" style="675" customWidth="1"/>
    <col min="4350" max="4350" width="16.140625" style="675" customWidth="1"/>
    <col min="4351" max="4351" width="14.5703125" style="675" customWidth="1"/>
    <col min="4352" max="4352" width="20.28515625" style="675" customWidth="1"/>
    <col min="4353" max="4353" width="13.85546875" style="675" customWidth="1"/>
    <col min="4354" max="4354" width="19.140625" style="675" customWidth="1"/>
    <col min="4355" max="4355" width="19.7109375" style="675" customWidth="1"/>
    <col min="4356" max="4356" width="16.5703125" style="675" customWidth="1"/>
    <col min="4357" max="4357" width="19.140625" style="675" customWidth="1"/>
    <col min="4358" max="4360" width="16.5703125" style="675" customWidth="1"/>
    <col min="4361" max="4361" width="15.7109375" style="675" customWidth="1"/>
    <col min="4362" max="4362" width="19.42578125" style="675" customWidth="1"/>
    <col min="4363" max="4363" width="14.85546875" style="675" bestFit="1" customWidth="1"/>
    <col min="4364" max="4364" width="13.7109375" style="675" bestFit="1" customWidth="1"/>
    <col min="4365" max="4365" width="13" style="675" customWidth="1"/>
    <col min="4366" max="4366" width="18.42578125" style="675" customWidth="1"/>
    <col min="4367" max="4369" width="13.140625" style="675" customWidth="1"/>
    <col min="4370" max="4370" width="16.42578125" style="675" customWidth="1"/>
    <col min="4371" max="4371" width="13.140625" style="675" customWidth="1"/>
    <col min="4372" max="4372" width="15.28515625" style="675" customWidth="1"/>
    <col min="4373" max="4373" width="14" style="675" bestFit="1" customWidth="1"/>
    <col min="4374" max="4374" width="17.140625" style="675" customWidth="1"/>
    <col min="4375" max="4396" width="16.5703125" style="675" customWidth="1"/>
    <col min="4397" max="4397" width="20.140625" style="675" customWidth="1"/>
    <col min="4398" max="4398" width="13.28515625" style="675" customWidth="1"/>
    <col min="4399" max="4399" width="14.85546875" style="675" customWidth="1"/>
    <col min="4400" max="4400" width="13.85546875" style="675" customWidth="1"/>
    <col min="4401" max="4401" width="13.5703125" style="675" customWidth="1"/>
    <col min="4402" max="4402" width="13" style="675" customWidth="1"/>
    <col min="4403" max="4403" width="13.5703125" style="675" customWidth="1"/>
    <col min="4404" max="4404" width="7.7109375" style="675" bestFit="1" customWidth="1"/>
    <col min="4405" max="4574" width="9.140625" style="675"/>
    <col min="4575" max="4575" width="4.28515625" style="675" customWidth="1"/>
    <col min="4576" max="4576" width="10.140625" style="675" customWidth="1"/>
    <col min="4577" max="4577" width="8.85546875" style="675" customWidth="1"/>
    <col min="4578" max="4578" width="11.140625" style="675" customWidth="1"/>
    <col min="4579" max="4579" width="15" style="675" bestFit="1" customWidth="1"/>
    <col min="4580" max="4580" width="13.5703125" style="675" customWidth="1"/>
    <col min="4581" max="4581" width="11.42578125" style="675" bestFit="1" customWidth="1"/>
    <col min="4582" max="4582" width="11.28515625" style="675" customWidth="1"/>
    <col min="4583" max="4583" width="15.28515625" style="675" bestFit="1" customWidth="1"/>
    <col min="4584" max="4586" width="11.85546875" style="675" customWidth="1"/>
    <col min="4587" max="4587" width="19.140625" style="675" customWidth="1"/>
    <col min="4588" max="4588" width="15" style="675" customWidth="1"/>
    <col min="4589" max="4589" width="15.28515625" style="675" customWidth="1"/>
    <col min="4590" max="4592" width="18.85546875" style="675" customWidth="1"/>
    <col min="4593" max="4593" width="12.7109375" style="675" customWidth="1"/>
    <col min="4594" max="4594" width="13.7109375" style="675" customWidth="1"/>
    <col min="4595" max="4595" width="16.140625" style="675" customWidth="1"/>
    <col min="4596" max="4596" width="17" style="675" customWidth="1"/>
    <col min="4597" max="4597" width="15" style="675" customWidth="1"/>
    <col min="4598" max="4598" width="14.28515625" style="675" customWidth="1"/>
    <col min="4599" max="4599" width="14.85546875" style="675" customWidth="1"/>
    <col min="4600" max="4600" width="17.140625" style="675" customWidth="1"/>
    <col min="4601" max="4601" width="13.5703125" style="675" customWidth="1"/>
    <col min="4602" max="4603" width="14.85546875" style="675" customWidth="1"/>
    <col min="4604" max="4604" width="18.85546875" style="675" customWidth="1"/>
    <col min="4605" max="4605" width="19.42578125" style="675" customWidth="1"/>
    <col min="4606" max="4606" width="16.140625" style="675" customWidth="1"/>
    <col min="4607" max="4607" width="14.5703125" style="675" customWidth="1"/>
    <col min="4608" max="4608" width="20.28515625" style="675" customWidth="1"/>
    <col min="4609" max="4609" width="13.85546875" style="675" customWidth="1"/>
    <col min="4610" max="4610" width="19.140625" style="675" customWidth="1"/>
    <col min="4611" max="4611" width="19.7109375" style="675" customWidth="1"/>
    <col min="4612" max="4612" width="16.5703125" style="675" customWidth="1"/>
    <col min="4613" max="4613" width="19.140625" style="675" customWidth="1"/>
    <col min="4614" max="4616" width="16.5703125" style="675" customWidth="1"/>
    <col min="4617" max="4617" width="15.7109375" style="675" customWidth="1"/>
    <col min="4618" max="4618" width="19.42578125" style="675" customWidth="1"/>
    <col min="4619" max="4619" width="14.85546875" style="675" bestFit="1" customWidth="1"/>
    <col min="4620" max="4620" width="13.7109375" style="675" bestFit="1" customWidth="1"/>
    <col min="4621" max="4621" width="13" style="675" customWidth="1"/>
    <col min="4622" max="4622" width="18.42578125" style="675" customWidth="1"/>
    <col min="4623" max="4625" width="13.140625" style="675" customWidth="1"/>
    <col min="4626" max="4626" width="16.42578125" style="675" customWidth="1"/>
    <col min="4627" max="4627" width="13.140625" style="675" customWidth="1"/>
    <col min="4628" max="4628" width="15.28515625" style="675" customWidth="1"/>
    <col min="4629" max="4629" width="14" style="675" bestFit="1" customWidth="1"/>
    <col min="4630" max="4630" width="17.140625" style="675" customWidth="1"/>
    <col min="4631" max="4652" width="16.5703125" style="675" customWidth="1"/>
    <col min="4653" max="4653" width="20.140625" style="675" customWidth="1"/>
    <col min="4654" max="4654" width="13.28515625" style="675" customWidth="1"/>
    <col min="4655" max="4655" width="14.85546875" style="675" customWidth="1"/>
    <col min="4656" max="4656" width="13.85546875" style="675" customWidth="1"/>
    <col min="4657" max="4657" width="13.5703125" style="675" customWidth="1"/>
    <col min="4658" max="4658" width="13" style="675" customWidth="1"/>
    <col min="4659" max="4659" width="13.5703125" style="675" customWidth="1"/>
    <col min="4660" max="4660" width="7.7109375" style="675" bestFit="1" customWidth="1"/>
    <col min="4661" max="4830" width="9.140625" style="675"/>
    <col min="4831" max="4831" width="4.28515625" style="675" customWidth="1"/>
    <col min="4832" max="4832" width="10.140625" style="675" customWidth="1"/>
    <col min="4833" max="4833" width="8.85546875" style="675" customWidth="1"/>
    <col min="4834" max="4834" width="11.140625" style="675" customWidth="1"/>
    <col min="4835" max="4835" width="15" style="675" bestFit="1" customWidth="1"/>
    <col min="4836" max="4836" width="13.5703125" style="675" customWidth="1"/>
    <col min="4837" max="4837" width="11.42578125" style="675" bestFit="1" customWidth="1"/>
    <col min="4838" max="4838" width="11.28515625" style="675" customWidth="1"/>
    <col min="4839" max="4839" width="15.28515625" style="675" bestFit="1" customWidth="1"/>
    <col min="4840" max="4842" width="11.85546875" style="675" customWidth="1"/>
    <col min="4843" max="4843" width="19.140625" style="675" customWidth="1"/>
    <col min="4844" max="4844" width="15" style="675" customWidth="1"/>
    <col min="4845" max="4845" width="15.28515625" style="675" customWidth="1"/>
    <col min="4846" max="4848" width="18.85546875" style="675" customWidth="1"/>
    <col min="4849" max="4849" width="12.7109375" style="675" customWidth="1"/>
    <col min="4850" max="4850" width="13.7109375" style="675" customWidth="1"/>
    <col min="4851" max="4851" width="16.140625" style="675" customWidth="1"/>
    <col min="4852" max="4852" width="17" style="675" customWidth="1"/>
    <col min="4853" max="4853" width="15" style="675" customWidth="1"/>
    <col min="4854" max="4854" width="14.28515625" style="675" customWidth="1"/>
    <col min="4855" max="4855" width="14.85546875" style="675" customWidth="1"/>
    <col min="4856" max="4856" width="17.140625" style="675" customWidth="1"/>
    <col min="4857" max="4857" width="13.5703125" style="675" customWidth="1"/>
    <col min="4858" max="4859" width="14.85546875" style="675" customWidth="1"/>
    <col min="4860" max="4860" width="18.85546875" style="675" customWidth="1"/>
    <col min="4861" max="4861" width="19.42578125" style="675" customWidth="1"/>
    <col min="4862" max="4862" width="16.140625" style="675" customWidth="1"/>
    <col min="4863" max="4863" width="14.5703125" style="675" customWidth="1"/>
    <col min="4864" max="4864" width="20.28515625" style="675" customWidth="1"/>
    <col min="4865" max="4865" width="13.85546875" style="675" customWidth="1"/>
    <col min="4866" max="4866" width="19.140625" style="675" customWidth="1"/>
    <col min="4867" max="4867" width="19.7109375" style="675" customWidth="1"/>
    <col min="4868" max="4868" width="16.5703125" style="675" customWidth="1"/>
    <col min="4869" max="4869" width="19.140625" style="675" customWidth="1"/>
    <col min="4870" max="4872" width="16.5703125" style="675" customWidth="1"/>
    <col min="4873" max="4873" width="15.7109375" style="675" customWidth="1"/>
    <col min="4874" max="4874" width="19.42578125" style="675" customWidth="1"/>
    <col min="4875" max="4875" width="14.85546875" style="675" bestFit="1" customWidth="1"/>
    <col min="4876" max="4876" width="13.7109375" style="675" bestFit="1" customWidth="1"/>
    <col min="4877" max="4877" width="13" style="675" customWidth="1"/>
    <col min="4878" max="4878" width="18.42578125" style="675" customWidth="1"/>
    <col min="4879" max="4881" width="13.140625" style="675" customWidth="1"/>
    <col min="4882" max="4882" width="16.42578125" style="675" customWidth="1"/>
    <col min="4883" max="4883" width="13.140625" style="675" customWidth="1"/>
    <col min="4884" max="4884" width="15.28515625" style="675" customWidth="1"/>
    <col min="4885" max="4885" width="14" style="675" bestFit="1" customWidth="1"/>
    <col min="4886" max="4886" width="17.140625" style="675" customWidth="1"/>
    <col min="4887" max="4908" width="16.5703125" style="675" customWidth="1"/>
    <col min="4909" max="4909" width="20.140625" style="675" customWidth="1"/>
    <col min="4910" max="4910" width="13.28515625" style="675" customWidth="1"/>
    <col min="4911" max="4911" width="14.85546875" style="675" customWidth="1"/>
    <col min="4912" max="4912" width="13.85546875" style="675" customWidth="1"/>
    <col min="4913" max="4913" width="13.5703125" style="675" customWidth="1"/>
    <col min="4914" max="4914" width="13" style="675" customWidth="1"/>
    <col min="4915" max="4915" width="13.5703125" style="675" customWidth="1"/>
    <col min="4916" max="4916" width="7.7109375" style="675" bestFit="1" customWidth="1"/>
    <col min="4917" max="5086" width="9.140625" style="675"/>
    <col min="5087" max="5087" width="4.28515625" style="675" customWidth="1"/>
    <col min="5088" max="5088" width="10.140625" style="675" customWidth="1"/>
    <col min="5089" max="5089" width="8.85546875" style="675" customWidth="1"/>
    <col min="5090" max="5090" width="11.140625" style="675" customWidth="1"/>
    <col min="5091" max="5091" width="15" style="675" bestFit="1" customWidth="1"/>
    <col min="5092" max="5092" width="13.5703125" style="675" customWidth="1"/>
    <col min="5093" max="5093" width="11.42578125" style="675" bestFit="1" customWidth="1"/>
    <col min="5094" max="5094" width="11.28515625" style="675" customWidth="1"/>
    <col min="5095" max="5095" width="15.28515625" style="675" bestFit="1" customWidth="1"/>
    <col min="5096" max="5098" width="11.85546875" style="675" customWidth="1"/>
    <col min="5099" max="5099" width="19.140625" style="675" customWidth="1"/>
    <col min="5100" max="5100" width="15" style="675" customWidth="1"/>
    <col min="5101" max="5101" width="15.28515625" style="675" customWidth="1"/>
    <col min="5102" max="5104" width="18.85546875" style="675" customWidth="1"/>
    <col min="5105" max="5105" width="12.7109375" style="675" customWidth="1"/>
    <col min="5106" max="5106" width="13.7109375" style="675" customWidth="1"/>
    <col min="5107" max="5107" width="16.140625" style="675" customWidth="1"/>
    <col min="5108" max="5108" width="17" style="675" customWidth="1"/>
    <col min="5109" max="5109" width="15" style="675" customWidth="1"/>
    <col min="5110" max="5110" width="14.28515625" style="675" customWidth="1"/>
    <col min="5111" max="5111" width="14.85546875" style="675" customWidth="1"/>
    <col min="5112" max="5112" width="17.140625" style="675" customWidth="1"/>
    <col min="5113" max="5113" width="13.5703125" style="675" customWidth="1"/>
    <col min="5114" max="5115" width="14.85546875" style="675" customWidth="1"/>
    <col min="5116" max="5116" width="18.85546875" style="675" customWidth="1"/>
    <col min="5117" max="5117" width="19.42578125" style="675" customWidth="1"/>
    <col min="5118" max="5118" width="16.140625" style="675" customWidth="1"/>
    <col min="5119" max="5119" width="14.5703125" style="675" customWidth="1"/>
    <col min="5120" max="5120" width="20.28515625" style="675" customWidth="1"/>
    <col min="5121" max="5121" width="13.85546875" style="675" customWidth="1"/>
    <col min="5122" max="5122" width="19.140625" style="675" customWidth="1"/>
    <col min="5123" max="5123" width="19.7109375" style="675" customWidth="1"/>
    <col min="5124" max="5124" width="16.5703125" style="675" customWidth="1"/>
    <col min="5125" max="5125" width="19.140625" style="675" customWidth="1"/>
    <col min="5126" max="5128" width="16.5703125" style="675" customWidth="1"/>
    <col min="5129" max="5129" width="15.7109375" style="675" customWidth="1"/>
    <col min="5130" max="5130" width="19.42578125" style="675" customWidth="1"/>
    <col min="5131" max="5131" width="14.85546875" style="675" bestFit="1" customWidth="1"/>
    <col min="5132" max="5132" width="13.7109375" style="675" bestFit="1" customWidth="1"/>
    <col min="5133" max="5133" width="13" style="675" customWidth="1"/>
    <col min="5134" max="5134" width="18.42578125" style="675" customWidth="1"/>
    <col min="5135" max="5137" width="13.140625" style="675" customWidth="1"/>
    <col min="5138" max="5138" width="16.42578125" style="675" customWidth="1"/>
    <col min="5139" max="5139" width="13.140625" style="675" customWidth="1"/>
    <col min="5140" max="5140" width="15.28515625" style="675" customWidth="1"/>
    <col min="5141" max="5141" width="14" style="675" bestFit="1" customWidth="1"/>
    <col min="5142" max="5142" width="17.140625" style="675" customWidth="1"/>
    <col min="5143" max="5164" width="16.5703125" style="675" customWidth="1"/>
    <col min="5165" max="5165" width="20.140625" style="675" customWidth="1"/>
    <col min="5166" max="5166" width="13.28515625" style="675" customWidth="1"/>
    <col min="5167" max="5167" width="14.85546875" style="675" customWidth="1"/>
    <col min="5168" max="5168" width="13.85546875" style="675" customWidth="1"/>
    <col min="5169" max="5169" width="13.5703125" style="675" customWidth="1"/>
    <col min="5170" max="5170" width="13" style="675" customWidth="1"/>
    <col min="5171" max="5171" width="13.5703125" style="675" customWidth="1"/>
    <col min="5172" max="5172" width="7.7109375" style="675" bestFit="1" customWidth="1"/>
    <col min="5173" max="5342" width="9.140625" style="675"/>
    <col min="5343" max="5343" width="4.28515625" style="675" customWidth="1"/>
    <col min="5344" max="5344" width="10.140625" style="675" customWidth="1"/>
    <col min="5345" max="5345" width="8.85546875" style="675" customWidth="1"/>
    <col min="5346" max="5346" width="11.140625" style="675" customWidth="1"/>
    <col min="5347" max="5347" width="15" style="675" bestFit="1" customWidth="1"/>
    <col min="5348" max="5348" width="13.5703125" style="675" customWidth="1"/>
    <col min="5349" max="5349" width="11.42578125" style="675" bestFit="1" customWidth="1"/>
    <col min="5350" max="5350" width="11.28515625" style="675" customWidth="1"/>
    <col min="5351" max="5351" width="15.28515625" style="675" bestFit="1" customWidth="1"/>
    <col min="5352" max="5354" width="11.85546875" style="675" customWidth="1"/>
    <col min="5355" max="5355" width="19.140625" style="675" customWidth="1"/>
    <col min="5356" max="5356" width="15" style="675" customWidth="1"/>
    <col min="5357" max="5357" width="15.28515625" style="675" customWidth="1"/>
    <col min="5358" max="5360" width="18.85546875" style="675" customWidth="1"/>
    <col min="5361" max="5361" width="12.7109375" style="675" customWidth="1"/>
    <col min="5362" max="5362" width="13.7109375" style="675" customWidth="1"/>
    <col min="5363" max="5363" width="16.140625" style="675" customWidth="1"/>
    <col min="5364" max="5364" width="17" style="675" customWidth="1"/>
    <col min="5365" max="5365" width="15" style="675" customWidth="1"/>
    <col min="5366" max="5366" width="14.28515625" style="675" customWidth="1"/>
    <col min="5367" max="5367" width="14.85546875" style="675" customWidth="1"/>
    <col min="5368" max="5368" width="17.140625" style="675" customWidth="1"/>
    <col min="5369" max="5369" width="13.5703125" style="675" customWidth="1"/>
    <col min="5370" max="5371" width="14.85546875" style="675" customWidth="1"/>
    <col min="5372" max="5372" width="18.85546875" style="675" customWidth="1"/>
    <col min="5373" max="5373" width="19.42578125" style="675" customWidth="1"/>
    <col min="5374" max="5374" width="16.140625" style="675" customWidth="1"/>
    <col min="5375" max="5375" width="14.5703125" style="675" customWidth="1"/>
    <col min="5376" max="5376" width="20.28515625" style="675" customWidth="1"/>
    <col min="5377" max="5377" width="13.85546875" style="675" customWidth="1"/>
    <col min="5378" max="5378" width="19.140625" style="675" customWidth="1"/>
    <col min="5379" max="5379" width="19.7109375" style="675" customWidth="1"/>
    <col min="5380" max="5380" width="16.5703125" style="675" customWidth="1"/>
    <col min="5381" max="5381" width="19.140625" style="675" customWidth="1"/>
    <col min="5382" max="5384" width="16.5703125" style="675" customWidth="1"/>
    <col min="5385" max="5385" width="15.7109375" style="675" customWidth="1"/>
    <col min="5386" max="5386" width="19.42578125" style="675" customWidth="1"/>
    <col min="5387" max="5387" width="14.85546875" style="675" bestFit="1" customWidth="1"/>
    <col min="5388" max="5388" width="13.7109375" style="675" bestFit="1" customWidth="1"/>
    <col min="5389" max="5389" width="13" style="675" customWidth="1"/>
    <col min="5390" max="5390" width="18.42578125" style="675" customWidth="1"/>
    <col min="5391" max="5393" width="13.140625" style="675" customWidth="1"/>
    <col min="5394" max="5394" width="16.42578125" style="675" customWidth="1"/>
    <col min="5395" max="5395" width="13.140625" style="675" customWidth="1"/>
    <col min="5396" max="5396" width="15.28515625" style="675" customWidth="1"/>
    <col min="5397" max="5397" width="14" style="675" bestFit="1" customWidth="1"/>
    <col min="5398" max="5398" width="17.140625" style="675" customWidth="1"/>
    <col min="5399" max="5420" width="16.5703125" style="675" customWidth="1"/>
    <col min="5421" max="5421" width="20.140625" style="675" customWidth="1"/>
    <col min="5422" max="5422" width="13.28515625" style="675" customWidth="1"/>
    <col min="5423" max="5423" width="14.85546875" style="675" customWidth="1"/>
    <col min="5424" max="5424" width="13.85546875" style="675" customWidth="1"/>
    <col min="5425" max="5425" width="13.5703125" style="675" customWidth="1"/>
    <col min="5426" max="5426" width="13" style="675" customWidth="1"/>
    <col min="5427" max="5427" width="13.5703125" style="675" customWidth="1"/>
    <col min="5428" max="5428" width="7.7109375" style="675" bestFit="1" customWidth="1"/>
    <col min="5429" max="5598" width="9.140625" style="675"/>
    <col min="5599" max="5599" width="4.28515625" style="675" customWidth="1"/>
    <col min="5600" max="5600" width="10.140625" style="675" customWidth="1"/>
    <col min="5601" max="5601" width="8.85546875" style="675" customWidth="1"/>
    <col min="5602" max="5602" width="11.140625" style="675" customWidth="1"/>
    <col min="5603" max="5603" width="15" style="675" bestFit="1" customWidth="1"/>
    <col min="5604" max="5604" width="13.5703125" style="675" customWidth="1"/>
    <col min="5605" max="5605" width="11.42578125" style="675" bestFit="1" customWidth="1"/>
    <col min="5606" max="5606" width="11.28515625" style="675" customWidth="1"/>
    <col min="5607" max="5607" width="15.28515625" style="675" bestFit="1" customWidth="1"/>
    <col min="5608" max="5610" width="11.85546875" style="675" customWidth="1"/>
    <col min="5611" max="5611" width="19.140625" style="675" customWidth="1"/>
    <col min="5612" max="5612" width="15" style="675" customWidth="1"/>
    <col min="5613" max="5613" width="15.28515625" style="675" customWidth="1"/>
    <col min="5614" max="5616" width="18.85546875" style="675" customWidth="1"/>
    <col min="5617" max="5617" width="12.7109375" style="675" customWidth="1"/>
    <col min="5618" max="5618" width="13.7109375" style="675" customWidth="1"/>
    <col min="5619" max="5619" width="16.140625" style="675" customWidth="1"/>
    <col min="5620" max="5620" width="17" style="675" customWidth="1"/>
    <col min="5621" max="5621" width="15" style="675" customWidth="1"/>
    <col min="5622" max="5622" width="14.28515625" style="675" customWidth="1"/>
    <col min="5623" max="5623" width="14.85546875" style="675" customWidth="1"/>
    <col min="5624" max="5624" width="17.140625" style="675" customWidth="1"/>
    <col min="5625" max="5625" width="13.5703125" style="675" customWidth="1"/>
    <col min="5626" max="5627" width="14.85546875" style="675" customWidth="1"/>
    <col min="5628" max="5628" width="18.85546875" style="675" customWidth="1"/>
    <col min="5629" max="5629" width="19.42578125" style="675" customWidth="1"/>
    <col min="5630" max="5630" width="16.140625" style="675" customWidth="1"/>
    <col min="5631" max="5631" width="14.5703125" style="675" customWidth="1"/>
    <col min="5632" max="5632" width="20.28515625" style="675" customWidth="1"/>
    <col min="5633" max="5633" width="13.85546875" style="675" customWidth="1"/>
    <col min="5634" max="5634" width="19.140625" style="675" customWidth="1"/>
    <col min="5635" max="5635" width="19.7109375" style="675" customWidth="1"/>
    <col min="5636" max="5636" width="16.5703125" style="675" customWidth="1"/>
    <col min="5637" max="5637" width="19.140625" style="675" customWidth="1"/>
    <col min="5638" max="5640" width="16.5703125" style="675" customWidth="1"/>
    <col min="5641" max="5641" width="15.7109375" style="675" customWidth="1"/>
    <col min="5642" max="5642" width="19.42578125" style="675" customWidth="1"/>
    <col min="5643" max="5643" width="14.85546875" style="675" bestFit="1" customWidth="1"/>
    <col min="5644" max="5644" width="13.7109375" style="675" bestFit="1" customWidth="1"/>
    <col min="5645" max="5645" width="13" style="675" customWidth="1"/>
    <col min="5646" max="5646" width="18.42578125" style="675" customWidth="1"/>
    <col min="5647" max="5649" width="13.140625" style="675" customWidth="1"/>
    <col min="5650" max="5650" width="16.42578125" style="675" customWidth="1"/>
    <col min="5651" max="5651" width="13.140625" style="675" customWidth="1"/>
    <col min="5652" max="5652" width="15.28515625" style="675" customWidth="1"/>
    <col min="5653" max="5653" width="14" style="675" bestFit="1" customWidth="1"/>
    <col min="5654" max="5654" width="17.140625" style="675" customWidth="1"/>
    <col min="5655" max="5676" width="16.5703125" style="675" customWidth="1"/>
    <col min="5677" max="5677" width="20.140625" style="675" customWidth="1"/>
    <col min="5678" max="5678" width="13.28515625" style="675" customWidth="1"/>
    <col min="5679" max="5679" width="14.85546875" style="675" customWidth="1"/>
    <col min="5680" max="5680" width="13.85546875" style="675" customWidth="1"/>
    <col min="5681" max="5681" width="13.5703125" style="675" customWidth="1"/>
    <col min="5682" max="5682" width="13" style="675" customWidth="1"/>
    <col min="5683" max="5683" width="13.5703125" style="675" customWidth="1"/>
    <col min="5684" max="5684" width="7.7109375" style="675" bestFit="1" customWidth="1"/>
    <col min="5685" max="5854" width="9.140625" style="675"/>
    <col min="5855" max="5855" width="4.28515625" style="675" customWidth="1"/>
    <col min="5856" max="5856" width="10.140625" style="675" customWidth="1"/>
    <col min="5857" max="5857" width="8.85546875" style="675" customWidth="1"/>
    <col min="5858" max="5858" width="11.140625" style="675" customWidth="1"/>
    <col min="5859" max="5859" width="15" style="675" bestFit="1" customWidth="1"/>
    <col min="5860" max="5860" width="13.5703125" style="675" customWidth="1"/>
    <col min="5861" max="5861" width="11.42578125" style="675" bestFit="1" customWidth="1"/>
    <col min="5862" max="5862" width="11.28515625" style="675" customWidth="1"/>
    <col min="5863" max="5863" width="15.28515625" style="675" bestFit="1" customWidth="1"/>
    <col min="5864" max="5866" width="11.85546875" style="675" customWidth="1"/>
    <col min="5867" max="5867" width="19.140625" style="675" customWidth="1"/>
    <col min="5868" max="5868" width="15" style="675" customWidth="1"/>
    <col min="5869" max="5869" width="15.28515625" style="675" customWidth="1"/>
    <col min="5870" max="5872" width="18.85546875" style="675" customWidth="1"/>
    <col min="5873" max="5873" width="12.7109375" style="675" customWidth="1"/>
    <col min="5874" max="5874" width="13.7109375" style="675" customWidth="1"/>
    <col min="5875" max="5875" width="16.140625" style="675" customWidth="1"/>
    <col min="5876" max="5876" width="17" style="675" customWidth="1"/>
    <col min="5877" max="5877" width="15" style="675" customWidth="1"/>
    <col min="5878" max="5878" width="14.28515625" style="675" customWidth="1"/>
    <col min="5879" max="5879" width="14.85546875" style="675" customWidth="1"/>
    <col min="5880" max="5880" width="17.140625" style="675" customWidth="1"/>
    <col min="5881" max="5881" width="13.5703125" style="675" customWidth="1"/>
    <col min="5882" max="5883" width="14.85546875" style="675" customWidth="1"/>
    <col min="5884" max="5884" width="18.85546875" style="675" customWidth="1"/>
    <col min="5885" max="5885" width="19.42578125" style="675" customWidth="1"/>
    <col min="5886" max="5886" width="16.140625" style="675" customWidth="1"/>
    <col min="5887" max="5887" width="14.5703125" style="675" customWidth="1"/>
    <col min="5888" max="5888" width="20.28515625" style="675" customWidth="1"/>
    <col min="5889" max="5889" width="13.85546875" style="675" customWidth="1"/>
    <col min="5890" max="5890" width="19.140625" style="675" customWidth="1"/>
    <col min="5891" max="5891" width="19.7109375" style="675" customWidth="1"/>
    <col min="5892" max="5892" width="16.5703125" style="675" customWidth="1"/>
    <col min="5893" max="5893" width="19.140625" style="675" customWidth="1"/>
    <col min="5894" max="5896" width="16.5703125" style="675" customWidth="1"/>
    <col min="5897" max="5897" width="15.7109375" style="675" customWidth="1"/>
    <col min="5898" max="5898" width="19.42578125" style="675" customWidth="1"/>
    <col min="5899" max="5899" width="14.85546875" style="675" bestFit="1" customWidth="1"/>
    <col min="5900" max="5900" width="13.7109375" style="675" bestFit="1" customWidth="1"/>
    <col min="5901" max="5901" width="13" style="675" customWidth="1"/>
    <col min="5902" max="5902" width="18.42578125" style="675" customWidth="1"/>
    <col min="5903" max="5905" width="13.140625" style="675" customWidth="1"/>
    <col min="5906" max="5906" width="16.42578125" style="675" customWidth="1"/>
    <col min="5907" max="5907" width="13.140625" style="675" customWidth="1"/>
    <col min="5908" max="5908" width="15.28515625" style="675" customWidth="1"/>
    <col min="5909" max="5909" width="14" style="675" bestFit="1" customWidth="1"/>
    <col min="5910" max="5910" width="17.140625" style="675" customWidth="1"/>
    <col min="5911" max="5932" width="16.5703125" style="675" customWidth="1"/>
    <col min="5933" max="5933" width="20.140625" style="675" customWidth="1"/>
    <col min="5934" max="5934" width="13.28515625" style="675" customWidth="1"/>
    <col min="5935" max="5935" width="14.85546875" style="675" customWidth="1"/>
    <col min="5936" max="5936" width="13.85546875" style="675" customWidth="1"/>
    <col min="5937" max="5937" width="13.5703125" style="675" customWidth="1"/>
    <col min="5938" max="5938" width="13" style="675" customWidth="1"/>
    <col min="5939" max="5939" width="13.5703125" style="675" customWidth="1"/>
    <col min="5940" max="5940" width="7.7109375" style="675" bestFit="1" customWidth="1"/>
    <col min="5941" max="6110" width="9.140625" style="675"/>
    <col min="6111" max="6111" width="4.28515625" style="675" customWidth="1"/>
    <col min="6112" max="6112" width="10.140625" style="675" customWidth="1"/>
    <col min="6113" max="6113" width="8.85546875" style="675" customWidth="1"/>
    <col min="6114" max="6114" width="11.140625" style="675" customWidth="1"/>
    <col min="6115" max="6115" width="15" style="675" bestFit="1" customWidth="1"/>
    <col min="6116" max="6116" width="13.5703125" style="675" customWidth="1"/>
    <col min="6117" max="6117" width="11.42578125" style="675" bestFit="1" customWidth="1"/>
    <col min="6118" max="6118" width="11.28515625" style="675" customWidth="1"/>
    <col min="6119" max="6119" width="15.28515625" style="675" bestFit="1" customWidth="1"/>
    <col min="6120" max="6122" width="11.85546875" style="675" customWidth="1"/>
    <col min="6123" max="6123" width="19.140625" style="675" customWidth="1"/>
    <col min="6124" max="6124" width="15" style="675" customWidth="1"/>
    <col min="6125" max="6125" width="15.28515625" style="675" customWidth="1"/>
    <col min="6126" max="6128" width="18.85546875" style="675" customWidth="1"/>
    <col min="6129" max="6129" width="12.7109375" style="675" customWidth="1"/>
    <col min="6130" max="6130" width="13.7109375" style="675" customWidth="1"/>
    <col min="6131" max="6131" width="16.140625" style="675" customWidth="1"/>
    <col min="6132" max="6132" width="17" style="675" customWidth="1"/>
    <col min="6133" max="6133" width="15" style="675" customWidth="1"/>
    <col min="6134" max="6134" width="14.28515625" style="675" customWidth="1"/>
    <col min="6135" max="6135" width="14.85546875" style="675" customWidth="1"/>
    <col min="6136" max="6136" width="17.140625" style="675" customWidth="1"/>
    <col min="6137" max="6137" width="13.5703125" style="675" customWidth="1"/>
    <col min="6138" max="6139" width="14.85546875" style="675" customWidth="1"/>
    <col min="6140" max="6140" width="18.85546875" style="675" customWidth="1"/>
    <col min="6141" max="6141" width="19.42578125" style="675" customWidth="1"/>
    <col min="6142" max="6142" width="16.140625" style="675" customWidth="1"/>
    <col min="6143" max="6143" width="14.5703125" style="675" customWidth="1"/>
    <col min="6144" max="6144" width="20.28515625" style="675" customWidth="1"/>
    <col min="6145" max="6145" width="13.85546875" style="675" customWidth="1"/>
    <col min="6146" max="6146" width="19.140625" style="675" customWidth="1"/>
    <col min="6147" max="6147" width="19.7109375" style="675" customWidth="1"/>
    <col min="6148" max="6148" width="16.5703125" style="675" customWidth="1"/>
    <col min="6149" max="6149" width="19.140625" style="675" customWidth="1"/>
    <col min="6150" max="6152" width="16.5703125" style="675" customWidth="1"/>
    <col min="6153" max="6153" width="15.7109375" style="675" customWidth="1"/>
    <col min="6154" max="6154" width="19.42578125" style="675" customWidth="1"/>
    <col min="6155" max="6155" width="14.85546875" style="675" bestFit="1" customWidth="1"/>
    <col min="6156" max="6156" width="13.7109375" style="675" bestFit="1" customWidth="1"/>
    <col min="6157" max="6157" width="13" style="675" customWidth="1"/>
    <col min="6158" max="6158" width="18.42578125" style="675" customWidth="1"/>
    <col min="6159" max="6161" width="13.140625" style="675" customWidth="1"/>
    <col min="6162" max="6162" width="16.42578125" style="675" customWidth="1"/>
    <col min="6163" max="6163" width="13.140625" style="675" customWidth="1"/>
    <col min="6164" max="6164" width="15.28515625" style="675" customWidth="1"/>
    <col min="6165" max="6165" width="14" style="675" bestFit="1" customWidth="1"/>
    <col min="6166" max="6166" width="17.140625" style="675" customWidth="1"/>
    <col min="6167" max="6188" width="16.5703125" style="675" customWidth="1"/>
    <col min="6189" max="6189" width="20.140625" style="675" customWidth="1"/>
    <col min="6190" max="6190" width="13.28515625" style="675" customWidth="1"/>
    <col min="6191" max="6191" width="14.85546875" style="675" customWidth="1"/>
    <col min="6192" max="6192" width="13.85546875" style="675" customWidth="1"/>
    <col min="6193" max="6193" width="13.5703125" style="675" customWidth="1"/>
    <col min="6194" max="6194" width="13" style="675" customWidth="1"/>
    <col min="6195" max="6195" width="13.5703125" style="675" customWidth="1"/>
    <col min="6196" max="6196" width="7.7109375" style="675" bestFit="1" customWidth="1"/>
    <col min="6197" max="6366" width="9.140625" style="675"/>
    <col min="6367" max="6367" width="4.28515625" style="675" customWidth="1"/>
    <col min="6368" max="6368" width="10.140625" style="675" customWidth="1"/>
    <col min="6369" max="6369" width="8.85546875" style="675" customWidth="1"/>
    <col min="6370" max="6370" width="11.140625" style="675" customWidth="1"/>
    <col min="6371" max="6371" width="15" style="675" bestFit="1" customWidth="1"/>
    <col min="6372" max="6372" width="13.5703125" style="675" customWidth="1"/>
    <col min="6373" max="6373" width="11.42578125" style="675" bestFit="1" customWidth="1"/>
    <col min="6374" max="6374" width="11.28515625" style="675" customWidth="1"/>
    <col min="6375" max="6375" width="15.28515625" style="675" bestFit="1" customWidth="1"/>
    <col min="6376" max="6378" width="11.85546875" style="675" customWidth="1"/>
    <col min="6379" max="6379" width="19.140625" style="675" customWidth="1"/>
    <col min="6380" max="6380" width="15" style="675" customWidth="1"/>
    <col min="6381" max="6381" width="15.28515625" style="675" customWidth="1"/>
    <col min="6382" max="6384" width="18.85546875" style="675" customWidth="1"/>
    <col min="6385" max="6385" width="12.7109375" style="675" customWidth="1"/>
    <col min="6386" max="6386" width="13.7109375" style="675" customWidth="1"/>
    <col min="6387" max="6387" width="16.140625" style="675" customWidth="1"/>
    <col min="6388" max="6388" width="17" style="675" customWidth="1"/>
    <col min="6389" max="6389" width="15" style="675" customWidth="1"/>
    <col min="6390" max="6390" width="14.28515625" style="675" customWidth="1"/>
    <col min="6391" max="6391" width="14.85546875" style="675" customWidth="1"/>
    <col min="6392" max="6392" width="17.140625" style="675" customWidth="1"/>
    <col min="6393" max="6393" width="13.5703125" style="675" customWidth="1"/>
    <col min="6394" max="6395" width="14.85546875" style="675" customWidth="1"/>
    <col min="6396" max="6396" width="18.85546875" style="675" customWidth="1"/>
    <col min="6397" max="6397" width="19.42578125" style="675" customWidth="1"/>
    <col min="6398" max="6398" width="16.140625" style="675" customWidth="1"/>
    <col min="6399" max="6399" width="14.5703125" style="675" customWidth="1"/>
    <col min="6400" max="6400" width="20.28515625" style="675" customWidth="1"/>
    <col min="6401" max="6401" width="13.85546875" style="675" customWidth="1"/>
    <col min="6402" max="6402" width="19.140625" style="675" customWidth="1"/>
    <col min="6403" max="6403" width="19.7109375" style="675" customWidth="1"/>
    <col min="6404" max="6404" width="16.5703125" style="675" customWidth="1"/>
    <col min="6405" max="6405" width="19.140625" style="675" customWidth="1"/>
    <col min="6406" max="6408" width="16.5703125" style="675" customWidth="1"/>
    <col min="6409" max="6409" width="15.7109375" style="675" customWidth="1"/>
    <col min="6410" max="6410" width="19.42578125" style="675" customWidth="1"/>
    <col min="6411" max="6411" width="14.85546875" style="675" bestFit="1" customWidth="1"/>
    <col min="6412" max="6412" width="13.7109375" style="675" bestFit="1" customWidth="1"/>
    <col min="6413" max="6413" width="13" style="675" customWidth="1"/>
    <col min="6414" max="6414" width="18.42578125" style="675" customWidth="1"/>
    <col min="6415" max="6417" width="13.140625" style="675" customWidth="1"/>
    <col min="6418" max="6418" width="16.42578125" style="675" customWidth="1"/>
    <col min="6419" max="6419" width="13.140625" style="675" customWidth="1"/>
    <col min="6420" max="6420" width="15.28515625" style="675" customWidth="1"/>
    <col min="6421" max="6421" width="14" style="675" bestFit="1" customWidth="1"/>
    <col min="6422" max="6422" width="17.140625" style="675" customWidth="1"/>
    <col min="6423" max="6444" width="16.5703125" style="675" customWidth="1"/>
    <col min="6445" max="6445" width="20.140625" style="675" customWidth="1"/>
    <col min="6446" max="6446" width="13.28515625" style="675" customWidth="1"/>
    <col min="6447" max="6447" width="14.85546875" style="675" customWidth="1"/>
    <col min="6448" max="6448" width="13.85546875" style="675" customWidth="1"/>
    <col min="6449" max="6449" width="13.5703125" style="675" customWidth="1"/>
    <col min="6450" max="6450" width="13" style="675" customWidth="1"/>
    <col min="6451" max="6451" width="13.5703125" style="675" customWidth="1"/>
    <col min="6452" max="6452" width="7.7109375" style="675" bestFit="1" customWidth="1"/>
    <col min="6453" max="6622" width="9.140625" style="675"/>
    <col min="6623" max="6623" width="4.28515625" style="675" customWidth="1"/>
    <col min="6624" max="6624" width="10.140625" style="675" customWidth="1"/>
    <col min="6625" max="6625" width="8.85546875" style="675" customWidth="1"/>
    <col min="6626" max="6626" width="11.140625" style="675" customWidth="1"/>
    <col min="6627" max="6627" width="15" style="675" bestFit="1" customWidth="1"/>
    <col min="6628" max="6628" width="13.5703125" style="675" customWidth="1"/>
    <col min="6629" max="6629" width="11.42578125" style="675" bestFit="1" customWidth="1"/>
    <col min="6630" max="6630" width="11.28515625" style="675" customWidth="1"/>
    <col min="6631" max="6631" width="15.28515625" style="675" bestFit="1" customWidth="1"/>
    <col min="6632" max="6634" width="11.85546875" style="675" customWidth="1"/>
    <col min="6635" max="6635" width="19.140625" style="675" customWidth="1"/>
    <col min="6636" max="6636" width="15" style="675" customWidth="1"/>
    <col min="6637" max="6637" width="15.28515625" style="675" customWidth="1"/>
    <col min="6638" max="6640" width="18.85546875" style="675" customWidth="1"/>
    <col min="6641" max="6641" width="12.7109375" style="675" customWidth="1"/>
    <col min="6642" max="6642" width="13.7109375" style="675" customWidth="1"/>
    <col min="6643" max="6643" width="16.140625" style="675" customWidth="1"/>
    <col min="6644" max="6644" width="17" style="675" customWidth="1"/>
    <col min="6645" max="6645" width="15" style="675" customWidth="1"/>
    <col min="6646" max="6646" width="14.28515625" style="675" customWidth="1"/>
    <col min="6647" max="6647" width="14.85546875" style="675" customWidth="1"/>
    <col min="6648" max="6648" width="17.140625" style="675" customWidth="1"/>
    <col min="6649" max="6649" width="13.5703125" style="675" customWidth="1"/>
    <col min="6650" max="6651" width="14.85546875" style="675" customWidth="1"/>
    <col min="6652" max="6652" width="18.85546875" style="675" customWidth="1"/>
    <col min="6653" max="6653" width="19.42578125" style="675" customWidth="1"/>
    <col min="6654" max="6654" width="16.140625" style="675" customWidth="1"/>
    <col min="6655" max="6655" width="14.5703125" style="675" customWidth="1"/>
    <col min="6656" max="6656" width="20.28515625" style="675" customWidth="1"/>
    <col min="6657" max="6657" width="13.85546875" style="675" customWidth="1"/>
    <col min="6658" max="6658" width="19.140625" style="675" customWidth="1"/>
    <col min="6659" max="6659" width="19.7109375" style="675" customWidth="1"/>
    <col min="6660" max="6660" width="16.5703125" style="675" customWidth="1"/>
    <col min="6661" max="6661" width="19.140625" style="675" customWidth="1"/>
    <col min="6662" max="6664" width="16.5703125" style="675" customWidth="1"/>
    <col min="6665" max="6665" width="15.7109375" style="675" customWidth="1"/>
    <col min="6666" max="6666" width="19.42578125" style="675" customWidth="1"/>
    <col min="6667" max="6667" width="14.85546875" style="675" bestFit="1" customWidth="1"/>
    <col min="6668" max="6668" width="13.7109375" style="675" bestFit="1" customWidth="1"/>
    <col min="6669" max="6669" width="13" style="675" customWidth="1"/>
    <col min="6670" max="6670" width="18.42578125" style="675" customWidth="1"/>
    <col min="6671" max="6673" width="13.140625" style="675" customWidth="1"/>
    <col min="6674" max="6674" width="16.42578125" style="675" customWidth="1"/>
    <col min="6675" max="6675" width="13.140625" style="675" customWidth="1"/>
    <col min="6676" max="6676" width="15.28515625" style="675" customWidth="1"/>
    <col min="6677" max="6677" width="14" style="675" bestFit="1" customWidth="1"/>
    <col min="6678" max="6678" width="17.140625" style="675" customWidth="1"/>
    <col min="6679" max="6700" width="16.5703125" style="675" customWidth="1"/>
    <col min="6701" max="6701" width="20.140625" style="675" customWidth="1"/>
    <col min="6702" max="6702" width="13.28515625" style="675" customWidth="1"/>
    <col min="6703" max="6703" width="14.85546875" style="675" customWidth="1"/>
    <col min="6704" max="6704" width="13.85546875" style="675" customWidth="1"/>
    <col min="6705" max="6705" width="13.5703125" style="675" customWidth="1"/>
    <col min="6706" max="6706" width="13" style="675" customWidth="1"/>
    <col min="6707" max="6707" width="13.5703125" style="675" customWidth="1"/>
    <col min="6708" max="6708" width="7.7109375" style="675" bestFit="1" customWidth="1"/>
    <col min="6709" max="6878" width="9.140625" style="675"/>
    <col min="6879" max="6879" width="4.28515625" style="675" customWidth="1"/>
    <col min="6880" max="6880" width="10.140625" style="675" customWidth="1"/>
    <col min="6881" max="6881" width="8.85546875" style="675" customWidth="1"/>
    <col min="6882" max="6882" width="11.140625" style="675" customWidth="1"/>
    <col min="6883" max="6883" width="15" style="675" bestFit="1" customWidth="1"/>
    <col min="6884" max="6884" width="13.5703125" style="675" customWidth="1"/>
    <col min="6885" max="6885" width="11.42578125" style="675" bestFit="1" customWidth="1"/>
    <col min="6886" max="6886" width="11.28515625" style="675" customWidth="1"/>
    <col min="6887" max="6887" width="15.28515625" style="675" bestFit="1" customWidth="1"/>
    <col min="6888" max="6890" width="11.85546875" style="675" customWidth="1"/>
    <col min="6891" max="6891" width="19.140625" style="675" customWidth="1"/>
    <col min="6892" max="6892" width="15" style="675" customWidth="1"/>
    <col min="6893" max="6893" width="15.28515625" style="675" customWidth="1"/>
    <col min="6894" max="6896" width="18.85546875" style="675" customWidth="1"/>
    <col min="6897" max="6897" width="12.7109375" style="675" customWidth="1"/>
    <col min="6898" max="6898" width="13.7109375" style="675" customWidth="1"/>
    <col min="6899" max="6899" width="16.140625" style="675" customWidth="1"/>
    <col min="6900" max="6900" width="17" style="675" customWidth="1"/>
    <col min="6901" max="6901" width="15" style="675" customWidth="1"/>
    <col min="6902" max="6902" width="14.28515625" style="675" customWidth="1"/>
    <col min="6903" max="6903" width="14.85546875" style="675" customWidth="1"/>
    <col min="6904" max="6904" width="17.140625" style="675" customWidth="1"/>
    <col min="6905" max="6905" width="13.5703125" style="675" customWidth="1"/>
    <col min="6906" max="6907" width="14.85546875" style="675" customWidth="1"/>
    <col min="6908" max="6908" width="18.85546875" style="675" customWidth="1"/>
    <col min="6909" max="6909" width="19.42578125" style="675" customWidth="1"/>
    <col min="6910" max="6910" width="16.140625" style="675" customWidth="1"/>
    <col min="6911" max="6911" width="14.5703125" style="675" customWidth="1"/>
    <col min="6912" max="6912" width="20.28515625" style="675" customWidth="1"/>
    <col min="6913" max="6913" width="13.85546875" style="675" customWidth="1"/>
    <col min="6914" max="6914" width="19.140625" style="675" customWidth="1"/>
    <col min="6915" max="6915" width="19.7109375" style="675" customWidth="1"/>
    <col min="6916" max="6916" width="16.5703125" style="675" customWidth="1"/>
    <col min="6917" max="6917" width="19.140625" style="675" customWidth="1"/>
    <col min="6918" max="6920" width="16.5703125" style="675" customWidth="1"/>
    <col min="6921" max="6921" width="15.7109375" style="675" customWidth="1"/>
    <col min="6922" max="6922" width="19.42578125" style="675" customWidth="1"/>
    <col min="6923" max="6923" width="14.85546875" style="675" bestFit="1" customWidth="1"/>
    <col min="6924" max="6924" width="13.7109375" style="675" bestFit="1" customWidth="1"/>
    <col min="6925" max="6925" width="13" style="675" customWidth="1"/>
    <col min="6926" max="6926" width="18.42578125" style="675" customWidth="1"/>
    <col min="6927" max="6929" width="13.140625" style="675" customWidth="1"/>
    <col min="6930" max="6930" width="16.42578125" style="675" customWidth="1"/>
    <col min="6931" max="6931" width="13.140625" style="675" customWidth="1"/>
    <col min="6932" max="6932" width="15.28515625" style="675" customWidth="1"/>
    <col min="6933" max="6933" width="14" style="675" bestFit="1" customWidth="1"/>
    <col min="6934" max="6934" width="17.140625" style="675" customWidth="1"/>
    <col min="6935" max="6956" width="16.5703125" style="675" customWidth="1"/>
    <col min="6957" max="6957" width="20.140625" style="675" customWidth="1"/>
    <col min="6958" max="6958" width="13.28515625" style="675" customWidth="1"/>
    <col min="6959" max="6959" width="14.85546875" style="675" customWidth="1"/>
    <col min="6960" max="6960" width="13.85546875" style="675" customWidth="1"/>
    <col min="6961" max="6961" width="13.5703125" style="675" customWidth="1"/>
    <col min="6962" max="6962" width="13" style="675" customWidth="1"/>
    <col min="6963" max="6963" width="13.5703125" style="675" customWidth="1"/>
    <col min="6964" max="6964" width="7.7109375" style="675" bestFit="1" customWidth="1"/>
    <col min="6965" max="7134" width="9.140625" style="675"/>
    <col min="7135" max="7135" width="4.28515625" style="675" customWidth="1"/>
    <col min="7136" max="7136" width="10.140625" style="675" customWidth="1"/>
    <col min="7137" max="7137" width="8.85546875" style="675" customWidth="1"/>
    <col min="7138" max="7138" width="11.140625" style="675" customWidth="1"/>
    <col min="7139" max="7139" width="15" style="675" bestFit="1" customWidth="1"/>
    <col min="7140" max="7140" width="13.5703125" style="675" customWidth="1"/>
    <col min="7141" max="7141" width="11.42578125" style="675" bestFit="1" customWidth="1"/>
    <col min="7142" max="7142" width="11.28515625" style="675" customWidth="1"/>
    <col min="7143" max="7143" width="15.28515625" style="675" bestFit="1" customWidth="1"/>
    <col min="7144" max="7146" width="11.85546875" style="675" customWidth="1"/>
    <col min="7147" max="7147" width="19.140625" style="675" customWidth="1"/>
    <col min="7148" max="7148" width="15" style="675" customWidth="1"/>
    <col min="7149" max="7149" width="15.28515625" style="675" customWidth="1"/>
    <col min="7150" max="7152" width="18.85546875" style="675" customWidth="1"/>
    <col min="7153" max="7153" width="12.7109375" style="675" customWidth="1"/>
    <col min="7154" max="7154" width="13.7109375" style="675" customWidth="1"/>
    <col min="7155" max="7155" width="16.140625" style="675" customWidth="1"/>
    <col min="7156" max="7156" width="17" style="675" customWidth="1"/>
    <col min="7157" max="7157" width="15" style="675" customWidth="1"/>
    <col min="7158" max="7158" width="14.28515625" style="675" customWidth="1"/>
    <col min="7159" max="7159" width="14.85546875" style="675" customWidth="1"/>
    <col min="7160" max="7160" width="17.140625" style="675" customWidth="1"/>
    <col min="7161" max="7161" width="13.5703125" style="675" customWidth="1"/>
    <col min="7162" max="7163" width="14.85546875" style="675" customWidth="1"/>
    <col min="7164" max="7164" width="18.85546875" style="675" customWidth="1"/>
    <col min="7165" max="7165" width="19.42578125" style="675" customWidth="1"/>
    <col min="7166" max="7166" width="16.140625" style="675" customWidth="1"/>
    <col min="7167" max="7167" width="14.5703125" style="675" customWidth="1"/>
    <col min="7168" max="7168" width="20.28515625" style="675" customWidth="1"/>
    <col min="7169" max="7169" width="13.85546875" style="675" customWidth="1"/>
    <col min="7170" max="7170" width="19.140625" style="675" customWidth="1"/>
    <col min="7171" max="7171" width="19.7109375" style="675" customWidth="1"/>
    <col min="7172" max="7172" width="16.5703125" style="675" customWidth="1"/>
    <col min="7173" max="7173" width="19.140625" style="675" customWidth="1"/>
    <col min="7174" max="7176" width="16.5703125" style="675" customWidth="1"/>
    <col min="7177" max="7177" width="15.7109375" style="675" customWidth="1"/>
    <col min="7178" max="7178" width="19.42578125" style="675" customWidth="1"/>
    <col min="7179" max="7179" width="14.85546875" style="675" bestFit="1" customWidth="1"/>
    <col min="7180" max="7180" width="13.7109375" style="675" bestFit="1" customWidth="1"/>
    <col min="7181" max="7181" width="13" style="675" customWidth="1"/>
    <col min="7182" max="7182" width="18.42578125" style="675" customWidth="1"/>
    <col min="7183" max="7185" width="13.140625" style="675" customWidth="1"/>
    <col min="7186" max="7186" width="16.42578125" style="675" customWidth="1"/>
    <col min="7187" max="7187" width="13.140625" style="675" customWidth="1"/>
    <col min="7188" max="7188" width="15.28515625" style="675" customWidth="1"/>
    <col min="7189" max="7189" width="14" style="675" bestFit="1" customWidth="1"/>
    <col min="7190" max="7190" width="17.140625" style="675" customWidth="1"/>
    <col min="7191" max="7212" width="16.5703125" style="675" customWidth="1"/>
    <col min="7213" max="7213" width="20.140625" style="675" customWidth="1"/>
    <col min="7214" max="7214" width="13.28515625" style="675" customWidth="1"/>
    <col min="7215" max="7215" width="14.85546875" style="675" customWidth="1"/>
    <col min="7216" max="7216" width="13.85546875" style="675" customWidth="1"/>
    <col min="7217" max="7217" width="13.5703125" style="675" customWidth="1"/>
    <col min="7218" max="7218" width="13" style="675" customWidth="1"/>
    <col min="7219" max="7219" width="13.5703125" style="675" customWidth="1"/>
    <col min="7220" max="7220" width="7.7109375" style="675" bestFit="1" customWidth="1"/>
    <col min="7221" max="7390" width="9.140625" style="675"/>
    <col min="7391" max="7391" width="4.28515625" style="675" customWidth="1"/>
    <col min="7392" max="7392" width="10.140625" style="675" customWidth="1"/>
    <col min="7393" max="7393" width="8.85546875" style="675" customWidth="1"/>
    <col min="7394" max="7394" width="11.140625" style="675" customWidth="1"/>
    <col min="7395" max="7395" width="15" style="675" bestFit="1" customWidth="1"/>
    <col min="7396" max="7396" width="13.5703125" style="675" customWidth="1"/>
    <col min="7397" max="7397" width="11.42578125" style="675" bestFit="1" customWidth="1"/>
    <col min="7398" max="7398" width="11.28515625" style="675" customWidth="1"/>
    <col min="7399" max="7399" width="15.28515625" style="675" bestFit="1" customWidth="1"/>
    <col min="7400" max="7402" width="11.85546875" style="675" customWidth="1"/>
    <col min="7403" max="7403" width="19.140625" style="675" customWidth="1"/>
    <col min="7404" max="7404" width="15" style="675" customWidth="1"/>
    <col min="7405" max="7405" width="15.28515625" style="675" customWidth="1"/>
    <col min="7406" max="7408" width="18.85546875" style="675" customWidth="1"/>
    <col min="7409" max="7409" width="12.7109375" style="675" customWidth="1"/>
    <col min="7410" max="7410" width="13.7109375" style="675" customWidth="1"/>
    <col min="7411" max="7411" width="16.140625" style="675" customWidth="1"/>
    <col min="7412" max="7412" width="17" style="675" customWidth="1"/>
    <col min="7413" max="7413" width="15" style="675" customWidth="1"/>
    <col min="7414" max="7414" width="14.28515625" style="675" customWidth="1"/>
    <col min="7415" max="7415" width="14.85546875" style="675" customWidth="1"/>
    <col min="7416" max="7416" width="17.140625" style="675" customWidth="1"/>
    <col min="7417" max="7417" width="13.5703125" style="675" customWidth="1"/>
    <col min="7418" max="7419" width="14.85546875" style="675" customWidth="1"/>
    <col min="7420" max="7420" width="18.85546875" style="675" customWidth="1"/>
    <col min="7421" max="7421" width="19.42578125" style="675" customWidth="1"/>
    <col min="7422" max="7422" width="16.140625" style="675" customWidth="1"/>
    <col min="7423" max="7423" width="14.5703125" style="675" customWidth="1"/>
    <col min="7424" max="7424" width="20.28515625" style="675" customWidth="1"/>
    <col min="7425" max="7425" width="13.85546875" style="675" customWidth="1"/>
    <col min="7426" max="7426" width="19.140625" style="675" customWidth="1"/>
    <col min="7427" max="7427" width="19.7109375" style="675" customWidth="1"/>
    <col min="7428" max="7428" width="16.5703125" style="675" customWidth="1"/>
    <col min="7429" max="7429" width="19.140625" style="675" customWidth="1"/>
    <col min="7430" max="7432" width="16.5703125" style="675" customWidth="1"/>
    <col min="7433" max="7433" width="15.7109375" style="675" customWidth="1"/>
    <col min="7434" max="7434" width="19.42578125" style="675" customWidth="1"/>
    <col min="7435" max="7435" width="14.85546875" style="675" bestFit="1" customWidth="1"/>
    <col min="7436" max="7436" width="13.7109375" style="675" bestFit="1" customWidth="1"/>
    <col min="7437" max="7437" width="13" style="675" customWidth="1"/>
    <col min="7438" max="7438" width="18.42578125" style="675" customWidth="1"/>
    <col min="7439" max="7441" width="13.140625" style="675" customWidth="1"/>
    <col min="7442" max="7442" width="16.42578125" style="675" customWidth="1"/>
    <col min="7443" max="7443" width="13.140625" style="675" customWidth="1"/>
    <col min="7444" max="7444" width="15.28515625" style="675" customWidth="1"/>
    <col min="7445" max="7445" width="14" style="675" bestFit="1" customWidth="1"/>
    <col min="7446" max="7446" width="17.140625" style="675" customWidth="1"/>
    <col min="7447" max="7468" width="16.5703125" style="675" customWidth="1"/>
    <col min="7469" max="7469" width="20.140625" style="675" customWidth="1"/>
    <col min="7470" max="7470" width="13.28515625" style="675" customWidth="1"/>
    <col min="7471" max="7471" width="14.85546875" style="675" customWidth="1"/>
    <col min="7472" max="7472" width="13.85546875" style="675" customWidth="1"/>
    <col min="7473" max="7473" width="13.5703125" style="675" customWidth="1"/>
    <col min="7474" max="7474" width="13" style="675" customWidth="1"/>
    <col min="7475" max="7475" width="13.5703125" style="675" customWidth="1"/>
    <col min="7476" max="7476" width="7.7109375" style="675" bestFit="1" customWidth="1"/>
    <col min="7477" max="7646" width="9.140625" style="675"/>
    <col min="7647" max="7647" width="4.28515625" style="675" customWidth="1"/>
    <col min="7648" max="7648" width="10.140625" style="675" customWidth="1"/>
    <col min="7649" max="7649" width="8.85546875" style="675" customWidth="1"/>
    <col min="7650" max="7650" width="11.140625" style="675" customWidth="1"/>
    <col min="7651" max="7651" width="15" style="675" bestFit="1" customWidth="1"/>
    <col min="7652" max="7652" width="13.5703125" style="675" customWidth="1"/>
    <col min="7653" max="7653" width="11.42578125" style="675" bestFit="1" customWidth="1"/>
    <col min="7654" max="7654" width="11.28515625" style="675" customWidth="1"/>
    <col min="7655" max="7655" width="15.28515625" style="675" bestFit="1" customWidth="1"/>
    <col min="7656" max="7658" width="11.85546875" style="675" customWidth="1"/>
    <col min="7659" max="7659" width="19.140625" style="675" customWidth="1"/>
    <col min="7660" max="7660" width="15" style="675" customWidth="1"/>
    <col min="7661" max="7661" width="15.28515625" style="675" customWidth="1"/>
    <col min="7662" max="7664" width="18.85546875" style="675" customWidth="1"/>
    <col min="7665" max="7665" width="12.7109375" style="675" customWidth="1"/>
    <col min="7666" max="7666" width="13.7109375" style="675" customWidth="1"/>
    <col min="7667" max="7667" width="16.140625" style="675" customWidth="1"/>
    <col min="7668" max="7668" width="17" style="675" customWidth="1"/>
    <col min="7669" max="7669" width="15" style="675" customWidth="1"/>
    <col min="7670" max="7670" width="14.28515625" style="675" customWidth="1"/>
    <col min="7671" max="7671" width="14.85546875" style="675" customWidth="1"/>
    <col min="7672" max="7672" width="17.140625" style="675" customWidth="1"/>
    <col min="7673" max="7673" width="13.5703125" style="675" customWidth="1"/>
    <col min="7674" max="7675" width="14.85546875" style="675" customWidth="1"/>
    <col min="7676" max="7676" width="18.85546875" style="675" customWidth="1"/>
    <col min="7677" max="7677" width="19.42578125" style="675" customWidth="1"/>
    <col min="7678" max="7678" width="16.140625" style="675" customWidth="1"/>
    <col min="7679" max="7679" width="14.5703125" style="675" customWidth="1"/>
    <col min="7680" max="7680" width="20.28515625" style="675" customWidth="1"/>
    <col min="7681" max="7681" width="13.85546875" style="675" customWidth="1"/>
    <col min="7682" max="7682" width="19.140625" style="675" customWidth="1"/>
    <col min="7683" max="7683" width="19.7109375" style="675" customWidth="1"/>
    <col min="7684" max="7684" width="16.5703125" style="675" customWidth="1"/>
    <col min="7685" max="7685" width="19.140625" style="675" customWidth="1"/>
    <col min="7686" max="7688" width="16.5703125" style="675" customWidth="1"/>
    <col min="7689" max="7689" width="15.7109375" style="675" customWidth="1"/>
    <col min="7690" max="7690" width="19.42578125" style="675" customWidth="1"/>
    <col min="7691" max="7691" width="14.85546875" style="675" bestFit="1" customWidth="1"/>
    <col min="7692" max="7692" width="13.7109375" style="675" bestFit="1" customWidth="1"/>
    <col min="7693" max="7693" width="13" style="675" customWidth="1"/>
    <col min="7694" max="7694" width="18.42578125" style="675" customWidth="1"/>
    <col min="7695" max="7697" width="13.140625" style="675" customWidth="1"/>
    <col min="7698" max="7698" width="16.42578125" style="675" customWidth="1"/>
    <col min="7699" max="7699" width="13.140625" style="675" customWidth="1"/>
    <col min="7700" max="7700" width="15.28515625" style="675" customWidth="1"/>
    <col min="7701" max="7701" width="14" style="675" bestFit="1" customWidth="1"/>
    <col min="7702" max="7702" width="17.140625" style="675" customWidth="1"/>
    <col min="7703" max="7724" width="16.5703125" style="675" customWidth="1"/>
    <col min="7725" max="7725" width="20.140625" style="675" customWidth="1"/>
    <col min="7726" max="7726" width="13.28515625" style="675" customWidth="1"/>
    <col min="7727" max="7727" width="14.85546875" style="675" customWidth="1"/>
    <col min="7728" max="7728" width="13.85546875" style="675" customWidth="1"/>
    <col min="7729" max="7729" width="13.5703125" style="675" customWidth="1"/>
    <col min="7730" max="7730" width="13" style="675" customWidth="1"/>
    <col min="7731" max="7731" width="13.5703125" style="675" customWidth="1"/>
    <col min="7732" max="7732" width="7.7109375" style="675" bestFit="1" customWidth="1"/>
    <col min="7733" max="7902" width="9.140625" style="675"/>
    <col min="7903" max="7903" width="4.28515625" style="675" customWidth="1"/>
    <col min="7904" max="7904" width="10.140625" style="675" customWidth="1"/>
    <col min="7905" max="7905" width="8.85546875" style="675" customWidth="1"/>
    <col min="7906" max="7906" width="11.140625" style="675" customWidth="1"/>
    <col min="7907" max="7907" width="15" style="675" bestFit="1" customWidth="1"/>
    <col min="7908" max="7908" width="13.5703125" style="675" customWidth="1"/>
    <col min="7909" max="7909" width="11.42578125" style="675" bestFit="1" customWidth="1"/>
    <col min="7910" max="7910" width="11.28515625" style="675" customWidth="1"/>
    <col min="7911" max="7911" width="15.28515625" style="675" bestFit="1" customWidth="1"/>
    <col min="7912" max="7914" width="11.85546875" style="675" customWidth="1"/>
    <col min="7915" max="7915" width="19.140625" style="675" customWidth="1"/>
    <col min="7916" max="7916" width="15" style="675" customWidth="1"/>
    <col min="7917" max="7917" width="15.28515625" style="675" customWidth="1"/>
    <col min="7918" max="7920" width="18.85546875" style="675" customWidth="1"/>
    <col min="7921" max="7921" width="12.7109375" style="675" customWidth="1"/>
    <col min="7922" max="7922" width="13.7109375" style="675" customWidth="1"/>
    <col min="7923" max="7923" width="16.140625" style="675" customWidth="1"/>
    <col min="7924" max="7924" width="17" style="675" customWidth="1"/>
    <col min="7925" max="7925" width="15" style="675" customWidth="1"/>
    <col min="7926" max="7926" width="14.28515625" style="675" customWidth="1"/>
    <col min="7927" max="7927" width="14.85546875" style="675" customWidth="1"/>
    <col min="7928" max="7928" width="17.140625" style="675" customWidth="1"/>
    <col min="7929" max="7929" width="13.5703125" style="675" customWidth="1"/>
    <col min="7930" max="7931" width="14.85546875" style="675" customWidth="1"/>
    <col min="7932" max="7932" width="18.85546875" style="675" customWidth="1"/>
    <col min="7933" max="7933" width="19.42578125" style="675" customWidth="1"/>
    <col min="7934" max="7934" width="16.140625" style="675" customWidth="1"/>
    <col min="7935" max="7935" width="14.5703125" style="675" customWidth="1"/>
    <col min="7936" max="7936" width="20.28515625" style="675" customWidth="1"/>
    <col min="7937" max="7937" width="13.85546875" style="675" customWidth="1"/>
    <col min="7938" max="7938" width="19.140625" style="675" customWidth="1"/>
    <col min="7939" max="7939" width="19.7109375" style="675" customWidth="1"/>
    <col min="7940" max="7940" width="16.5703125" style="675" customWidth="1"/>
    <col min="7941" max="7941" width="19.140625" style="675" customWidth="1"/>
    <col min="7942" max="7944" width="16.5703125" style="675" customWidth="1"/>
    <col min="7945" max="7945" width="15.7109375" style="675" customWidth="1"/>
    <col min="7946" max="7946" width="19.42578125" style="675" customWidth="1"/>
    <col min="7947" max="7947" width="14.85546875" style="675" bestFit="1" customWidth="1"/>
    <col min="7948" max="7948" width="13.7109375" style="675" bestFit="1" customWidth="1"/>
    <col min="7949" max="7949" width="13" style="675" customWidth="1"/>
    <col min="7950" max="7950" width="18.42578125" style="675" customWidth="1"/>
    <col min="7951" max="7953" width="13.140625" style="675" customWidth="1"/>
    <col min="7954" max="7954" width="16.42578125" style="675" customWidth="1"/>
    <col min="7955" max="7955" width="13.140625" style="675" customWidth="1"/>
    <col min="7956" max="7956" width="15.28515625" style="675" customWidth="1"/>
    <col min="7957" max="7957" width="14" style="675" bestFit="1" customWidth="1"/>
    <col min="7958" max="7958" width="17.140625" style="675" customWidth="1"/>
    <col min="7959" max="7980" width="16.5703125" style="675" customWidth="1"/>
    <col min="7981" max="7981" width="20.140625" style="675" customWidth="1"/>
    <col min="7982" max="7982" width="13.28515625" style="675" customWidth="1"/>
    <col min="7983" max="7983" width="14.85546875" style="675" customWidth="1"/>
    <col min="7984" max="7984" width="13.85546875" style="675" customWidth="1"/>
    <col min="7985" max="7985" width="13.5703125" style="675" customWidth="1"/>
    <col min="7986" max="7986" width="13" style="675" customWidth="1"/>
    <col min="7987" max="7987" width="13.5703125" style="675" customWidth="1"/>
    <col min="7988" max="7988" width="7.7109375" style="675" bestFit="1" customWidth="1"/>
    <col min="7989" max="8158" width="9.140625" style="675"/>
    <col min="8159" max="8159" width="4.28515625" style="675" customWidth="1"/>
    <col min="8160" max="8160" width="10.140625" style="675" customWidth="1"/>
    <col min="8161" max="8161" width="8.85546875" style="675" customWidth="1"/>
    <col min="8162" max="8162" width="11.140625" style="675" customWidth="1"/>
    <col min="8163" max="8163" width="15" style="675" bestFit="1" customWidth="1"/>
    <col min="8164" max="8164" width="13.5703125" style="675" customWidth="1"/>
    <col min="8165" max="8165" width="11.42578125" style="675" bestFit="1" customWidth="1"/>
    <col min="8166" max="8166" width="11.28515625" style="675" customWidth="1"/>
    <col min="8167" max="8167" width="15.28515625" style="675" bestFit="1" customWidth="1"/>
    <col min="8168" max="8170" width="11.85546875" style="675" customWidth="1"/>
    <col min="8171" max="8171" width="19.140625" style="675" customWidth="1"/>
    <col min="8172" max="8172" width="15" style="675" customWidth="1"/>
    <col min="8173" max="8173" width="15.28515625" style="675" customWidth="1"/>
    <col min="8174" max="8176" width="18.85546875" style="675" customWidth="1"/>
    <col min="8177" max="8177" width="12.7109375" style="675" customWidth="1"/>
    <col min="8178" max="8178" width="13.7109375" style="675" customWidth="1"/>
    <col min="8179" max="8179" width="16.140625" style="675" customWidth="1"/>
    <col min="8180" max="8180" width="17" style="675" customWidth="1"/>
    <col min="8181" max="8181" width="15" style="675" customWidth="1"/>
    <col min="8182" max="8182" width="14.28515625" style="675" customWidth="1"/>
    <col min="8183" max="8183" width="14.85546875" style="675" customWidth="1"/>
    <col min="8184" max="8184" width="17.140625" style="675" customWidth="1"/>
    <col min="8185" max="8185" width="13.5703125" style="675" customWidth="1"/>
    <col min="8186" max="8187" width="14.85546875" style="675" customWidth="1"/>
    <col min="8188" max="8188" width="18.85546875" style="675" customWidth="1"/>
    <col min="8189" max="8189" width="19.42578125" style="675" customWidth="1"/>
    <col min="8190" max="8190" width="16.140625" style="675" customWidth="1"/>
    <col min="8191" max="8191" width="14.5703125" style="675" customWidth="1"/>
    <col min="8192" max="8192" width="20.28515625" style="675" customWidth="1"/>
    <col min="8193" max="8193" width="13.85546875" style="675" customWidth="1"/>
    <col min="8194" max="8194" width="19.140625" style="675" customWidth="1"/>
    <col min="8195" max="8195" width="19.7109375" style="675" customWidth="1"/>
    <col min="8196" max="8196" width="16.5703125" style="675" customWidth="1"/>
    <col min="8197" max="8197" width="19.140625" style="675" customWidth="1"/>
    <col min="8198" max="8200" width="16.5703125" style="675" customWidth="1"/>
    <col min="8201" max="8201" width="15.7109375" style="675" customWidth="1"/>
    <col min="8202" max="8202" width="19.42578125" style="675" customWidth="1"/>
    <col min="8203" max="8203" width="14.85546875" style="675" bestFit="1" customWidth="1"/>
    <col min="8204" max="8204" width="13.7109375" style="675" bestFit="1" customWidth="1"/>
    <col min="8205" max="8205" width="13" style="675" customWidth="1"/>
    <col min="8206" max="8206" width="18.42578125" style="675" customWidth="1"/>
    <col min="8207" max="8209" width="13.140625" style="675" customWidth="1"/>
    <col min="8210" max="8210" width="16.42578125" style="675" customWidth="1"/>
    <col min="8211" max="8211" width="13.140625" style="675" customWidth="1"/>
    <col min="8212" max="8212" width="15.28515625" style="675" customWidth="1"/>
    <col min="8213" max="8213" width="14" style="675" bestFit="1" customWidth="1"/>
    <col min="8214" max="8214" width="17.140625" style="675" customWidth="1"/>
    <col min="8215" max="8236" width="16.5703125" style="675" customWidth="1"/>
    <col min="8237" max="8237" width="20.140625" style="675" customWidth="1"/>
    <col min="8238" max="8238" width="13.28515625" style="675" customWidth="1"/>
    <col min="8239" max="8239" width="14.85546875" style="675" customWidth="1"/>
    <col min="8240" max="8240" width="13.85546875" style="675" customWidth="1"/>
    <col min="8241" max="8241" width="13.5703125" style="675" customWidth="1"/>
    <col min="8242" max="8242" width="13" style="675" customWidth="1"/>
    <col min="8243" max="8243" width="13.5703125" style="675" customWidth="1"/>
    <col min="8244" max="8244" width="7.7109375" style="675" bestFit="1" customWidth="1"/>
    <col min="8245" max="8414" width="9.140625" style="675"/>
    <col min="8415" max="8415" width="4.28515625" style="675" customWidth="1"/>
    <col min="8416" max="8416" width="10.140625" style="675" customWidth="1"/>
    <col min="8417" max="8417" width="8.85546875" style="675" customWidth="1"/>
    <col min="8418" max="8418" width="11.140625" style="675" customWidth="1"/>
    <col min="8419" max="8419" width="15" style="675" bestFit="1" customWidth="1"/>
    <col min="8420" max="8420" width="13.5703125" style="675" customWidth="1"/>
    <col min="8421" max="8421" width="11.42578125" style="675" bestFit="1" customWidth="1"/>
    <col min="8422" max="8422" width="11.28515625" style="675" customWidth="1"/>
    <col min="8423" max="8423" width="15.28515625" style="675" bestFit="1" customWidth="1"/>
    <col min="8424" max="8426" width="11.85546875" style="675" customWidth="1"/>
    <col min="8427" max="8427" width="19.140625" style="675" customWidth="1"/>
    <col min="8428" max="8428" width="15" style="675" customWidth="1"/>
    <col min="8429" max="8429" width="15.28515625" style="675" customWidth="1"/>
    <col min="8430" max="8432" width="18.85546875" style="675" customWidth="1"/>
    <col min="8433" max="8433" width="12.7109375" style="675" customWidth="1"/>
    <col min="8434" max="8434" width="13.7109375" style="675" customWidth="1"/>
    <col min="8435" max="8435" width="16.140625" style="675" customWidth="1"/>
    <col min="8436" max="8436" width="17" style="675" customWidth="1"/>
    <col min="8437" max="8437" width="15" style="675" customWidth="1"/>
    <col min="8438" max="8438" width="14.28515625" style="675" customWidth="1"/>
    <col min="8439" max="8439" width="14.85546875" style="675" customWidth="1"/>
    <col min="8440" max="8440" width="17.140625" style="675" customWidth="1"/>
    <col min="8441" max="8441" width="13.5703125" style="675" customWidth="1"/>
    <col min="8442" max="8443" width="14.85546875" style="675" customWidth="1"/>
    <col min="8444" max="8444" width="18.85546875" style="675" customWidth="1"/>
    <col min="8445" max="8445" width="19.42578125" style="675" customWidth="1"/>
    <col min="8446" max="8446" width="16.140625" style="675" customWidth="1"/>
    <col min="8447" max="8447" width="14.5703125" style="675" customWidth="1"/>
    <col min="8448" max="8448" width="20.28515625" style="675" customWidth="1"/>
    <col min="8449" max="8449" width="13.85546875" style="675" customWidth="1"/>
    <col min="8450" max="8450" width="19.140625" style="675" customWidth="1"/>
    <col min="8451" max="8451" width="19.7109375" style="675" customWidth="1"/>
    <col min="8452" max="8452" width="16.5703125" style="675" customWidth="1"/>
    <col min="8453" max="8453" width="19.140625" style="675" customWidth="1"/>
    <col min="8454" max="8456" width="16.5703125" style="675" customWidth="1"/>
    <col min="8457" max="8457" width="15.7109375" style="675" customWidth="1"/>
    <col min="8458" max="8458" width="19.42578125" style="675" customWidth="1"/>
    <col min="8459" max="8459" width="14.85546875" style="675" bestFit="1" customWidth="1"/>
    <col min="8460" max="8460" width="13.7109375" style="675" bestFit="1" customWidth="1"/>
    <col min="8461" max="8461" width="13" style="675" customWidth="1"/>
    <col min="8462" max="8462" width="18.42578125" style="675" customWidth="1"/>
    <col min="8463" max="8465" width="13.140625" style="675" customWidth="1"/>
    <col min="8466" max="8466" width="16.42578125" style="675" customWidth="1"/>
    <col min="8467" max="8467" width="13.140625" style="675" customWidth="1"/>
    <col min="8468" max="8468" width="15.28515625" style="675" customWidth="1"/>
    <col min="8469" max="8469" width="14" style="675" bestFit="1" customWidth="1"/>
    <col min="8470" max="8470" width="17.140625" style="675" customWidth="1"/>
    <col min="8471" max="8492" width="16.5703125" style="675" customWidth="1"/>
    <col min="8493" max="8493" width="20.140625" style="675" customWidth="1"/>
    <col min="8494" max="8494" width="13.28515625" style="675" customWidth="1"/>
    <col min="8495" max="8495" width="14.85546875" style="675" customWidth="1"/>
    <col min="8496" max="8496" width="13.85546875" style="675" customWidth="1"/>
    <col min="8497" max="8497" width="13.5703125" style="675" customWidth="1"/>
    <col min="8498" max="8498" width="13" style="675" customWidth="1"/>
    <col min="8499" max="8499" width="13.5703125" style="675" customWidth="1"/>
    <col min="8500" max="8500" width="7.7109375" style="675" bestFit="1" customWidth="1"/>
    <col min="8501" max="8670" width="9.140625" style="675"/>
    <col min="8671" max="8671" width="4.28515625" style="675" customWidth="1"/>
    <col min="8672" max="8672" width="10.140625" style="675" customWidth="1"/>
    <col min="8673" max="8673" width="8.85546875" style="675" customWidth="1"/>
    <col min="8674" max="8674" width="11.140625" style="675" customWidth="1"/>
    <col min="8675" max="8675" width="15" style="675" bestFit="1" customWidth="1"/>
    <col min="8676" max="8676" width="13.5703125" style="675" customWidth="1"/>
    <col min="8677" max="8677" width="11.42578125" style="675" bestFit="1" customWidth="1"/>
    <col min="8678" max="8678" width="11.28515625" style="675" customWidth="1"/>
    <col min="8679" max="8679" width="15.28515625" style="675" bestFit="1" customWidth="1"/>
    <col min="8680" max="8682" width="11.85546875" style="675" customWidth="1"/>
    <col min="8683" max="8683" width="19.140625" style="675" customWidth="1"/>
    <col min="8684" max="8684" width="15" style="675" customWidth="1"/>
    <col min="8685" max="8685" width="15.28515625" style="675" customWidth="1"/>
    <col min="8686" max="8688" width="18.85546875" style="675" customWidth="1"/>
    <col min="8689" max="8689" width="12.7109375" style="675" customWidth="1"/>
    <col min="8690" max="8690" width="13.7109375" style="675" customWidth="1"/>
    <col min="8691" max="8691" width="16.140625" style="675" customWidth="1"/>
    <col min="8692" max="8692" width="17" style="675" customWidth="1"/>
    <col min="8693" max="8693" width="15" style="675" customWidth="1"/>
    <col min="8694" max="8694" width="14.28515625" style="675" customWidth="1"/>
    <col min="8695" max="8695" width="14.85546875" style="675" customWidth="1"/>
    <col min="8696" max="8696" width="17.140625" style="675" customWidth="1"/>
    <col min="8697" max="8697" width="13.5703125" style="675" customWidth="1"/>
    <col min="8698" max="8699" width="14.85546875" style="675" customWidth="1"/>
    <col min="8700" max="8700" width="18.85546875" style="675" customWidth="1"/>
    <col min="8701" max="8701" width="19.42578125" style="675" customWidth="1"/>
    <col min="8702" max="8702" width="16.140625" style="675" customWidth="1"/>
    <col min="8703" max="8703" width="14.5703125" style="675" customWidth="1"/>
    <col min="8704" max="8704" width="20.28515625" style="675" customWidth="1"/>
    <col min="8705" max="8705" width="13.85546875" style="675" customWidth="1"/>
    <col min="8706" max="8706" width="19.140625" style="675" customWidth="1"/>
    <col min="8707" max="8707" width="19.7109375" style="675" customWidth="1"/>
    <col min="8708" max="8708" width="16.5703125" style="675" customWidth="1"/>
    <col min="8709" max="8709" width="19.140625" style="675" customWidth="1"/>
    <col min="8710" max="8712" width="16.5703125" style="675" customWidth="1"/>
    <col min="8713" max="8713" width="15.7109375" style="675" customWidth="1"/>
    <col min="8714" max="8714" width="19.42578125" style="675" customWidth="1"/>
    <col min="8715" max="8715" width="14.85546875" style="675" bestFit="1" customWidth="1"/>
    <col min="8716" max="8716" width="13.7109375" style="675" bestFit="1" customWidth="1"/>
    <col min="8717" max="8717" width="13" style="675" customWidth="1"/>
    <col min="8718" max="8718" width="18.42578125" style="675" customWidth="1"/>
    <col min="8719" max="8721" width="13.140625" style="675" customWidth="1"/>
    <col min="8722" max="8722" width="16.42578125" style="675" customWidth="1"/>
    <col min="8723" max="8723" width="13.140625" style="675" customWidth="1"/>
    <col min="8724" max="8724" width="15.28515625" style="675" customWidth="1"/>
    <col min="8725" max="8725" width="14" style="675" bestFit="1" customWidth="1"/>
    <col min="8726" max="8726" width="17.140625" style="675" customWidth="1"/>
    <col min="8727" max="8748" width="16.5703125" style="675" customWidth="1"/>
    <col min="8749" max="8749" width="20.140625" style="675" customWidth="1"/>
    <col min="8750" max="8750" width="13.28515625" style="675" customWidth="1"/>
    <col min="8751" max="8751" width="14.85546875" style="675" customWidth="1"/>
    <col min="8752" max="8752" width="13.85546875" style="675" customWidth="1"/>
    <col min="8753" max="8753" width="13.5703125" style="675" customWidth="1"/>
    <col min="8754" max="8754" width="13" style="675" customWidth="1"/>
    <col min="8755" max="8755" width="13.5703125" style="675" customWidth="1"/>
    <col min="8756" max="8756" width="7.7109375" style="675" bestFit="1" customWidth="1"/>
    <col min="8757" max="8926" width="9.140625" style="675"/>
    <col min="8927" max="8927" width="4.28515625" style="675" customWidth="1"/>
    <col min="8928" max="8928" width="10.140625" style="675" customWidth="1"/>
    <col min="8929" max="8929" width="8.85546875" style="675" customWidth="1"/>
    <col min="8930" max="8930" width="11.140625" style="675" customWidth="1"/>
    <col min="8931" max="8931" width="15" style="675" bestFit="1" customWidth="1"/>
    <col min="8932" max="8932" width="13.5703125" style="675" customWidth="1"/>
    <col min="8933" max="8933" width="11.42578125" style="675" bestFit="1" customWidth="1"/>
    <col min="8934" max="8934" width="11.28515625" style="675" customWidth="1"/>
    <col min="8935" max="8935" width="15.28515625" style="675" bestFit="1" customWidth="1"/>
    <col min="8936" max="8938" width="11.85546875" style="675" customWidth="1"/>
    <col min="8939" max="8939" width="19.140625" style="675" customWidth="1"/>
    <col min="8940" max="8940" width="15" style="675" customWidth="1"/>
    <col min="8941" max="8941" width="15.28515625" style="675" customWidth="1"/>
    <col min="8942" max="8944" width="18.85546875" style="675" customWidth="1"/>
    <col min="8945" max="8945" width="12.7109375" style="675" customWidth="1"/>
    <col min="8946" max="8946" width="13.7109375" style="675" customWidth="1"/>
    <col min="8947" max="8947" width="16.140625" style="675" customWidth="1"/>
    <col min="8948" max="8948" width="17" style="675" customWidth="1"/>
    <col min="8949" max="8949" width="15" style="675" customWidth="1"/>
    <col min="8950" max="8950" width="14.28515625" style="675" customWidth="1"/>
    <col min="8951" max="8951" width="14.85546875" style="675" customWidth="1"/>
    <col min="8952" max="8952" width="17.140625" style="675" customWidth="1"/>
    <col min="8953" max="8953" width="13.5703125" style="675" customWidth="1"/>
    <col min="8954" max="8955" width="14.85546875" style="675" customWidth="1"/>
    <col min="8956" max="8956" width="18.85546875" style="675" customWidth="1"/>
    <col min="8957" max="8957" width="19.42578125" style="675" customWidth="1"/>
    <col min="8958" max="8958" width="16.140625" style="675" customWidth="1"/>
    <col min="8959" max="8959" width="14.5703125" style="675" customWidth="1"/>
    <col min="8960" max="8960" width="20.28515625" style="675" customWidth="1"/>
    <col min="8961" max="8961" width="13.85546875" style="675" customWidth="1"/>
    <col min="8962" max="8962" width="19.140625" style="675" customWidth="1"/>
    <col min="8963" max="8963" width="19.7109375" style="675" customWidth="1"/>
    <col min="8964" max="8964" width="16.5703125" style="675" customWidth="1"/>
    <col min="8965" max="8965" width="19.140625" style="675" customWidth="1"/>
    <col min="8966" max="8968" width="16.5703125" style="675" customWidth="1"/>
    <col min="8969" max="8969" width="15.7109375" style="675" customWidth="1"/>
    <col min="8970" max="8970" width="19.42578125" style="675" customWidth="1"/>
    <col min="8971" max="8971" width="14.85546875" style="675" bestFit="1" customWidth="1"/>
    <col min="8972" max="8972" width="13.7109375" style="675" bestFit="1" customWidth="1"/>
    <col min="8973" max="8973" width="13" style="675" customWidth="1"/>
    <col min="8974" max="8974" width="18.42578125" style="675" customWidth="1"/>
    <col min="8975" max="8977" width="13.140625" style="675" customWidth="1"/>
    <col min="8978" max="8978" width="16.42578125" style="675" customWidth="1"/>
    <col min="8979" max="8979" width="13.140625" style="675" customWidth="1"/>
    <col min="8980" max="8980" width="15.28515625" style="675" customWidth="1"/>
    <col min="8981" max="8981" width="14" style="675" bestFit="1" customWidth="1"/>
    <col min="8982" max="8982" width="17.140625" style="675" customWidth="1"/>
    <col min="8983" max="9004" width="16.5703125" style="675" customWidth="1"/>
    <col min="9005" max="9005" width="20.140625" style="675" customWidth="1"/>
    <col min="9006" max="9006" width="13.28515625" style="675" customWidth="1"/>
    <col min="9007" max="9007" width="14.85546875" style="675" customWidth="1"/>
    <col min="9008" max="9008" width="13.85546875" style="675" customWidth="1"/>
    <col min="9009" max="9009" width="13.5703125" style="675" customWidth="1"/>
    <col min="9010" max="9010" width="13" style="675" customWidth="1"/>
    <col min="9011" max="9011" width="13.5703125" style="675" customWidth="1"/>
    <col min="9012" max="9012" width="7.7109375" style="675" bestFit="1" customWidth="1"/>
    <col min="9013" max="9182" width="9.140625" style="675"/>
    <col min="9183" max="9183" width="4.28515625" style="675" customWidth="1"/>
    <col min="9184" max="9184" width="10.140625" style="675" customWidth="1"/>
    <col min="9185" max="9185" width="8.85546875" style="675" customWidth="1"/>
    <col min="9186" max="9186" width="11.140625" style="675" customWidth="1"/>
    <col min="9187" max="9187" width="15" style="675" bestFit="1" customWidth="1"/>
    <col min="9188" max="9188" width="13.5703125" style="675" customWidth="1"/>
    <col min="9189" max="9189" width="11.42578125" style="675" bestFit="1" customWidth="1"/>
    <col min="9190" max="9190" width="11.28515625" style="675" customWidth="1"/>
    <col min="9191" max="9191" width="15.28515625" style="675" bestFit="1" customWidth="1"/>
    <col min="9192" max="9194" width="11.85546875" style="675" customWidth="1"/>
    <col min="9195" max="9195" width="19.140625" style="675" customWidth="1"/>
    <col min="9196" max="9196" width="15" style="675" customWidth="1"/>
    <col min="9197" max="9197" width="15.28515625" style="675" customWidth="1"/>
    <col min="9198" max="9200" width="18.85546875" style="675" customWidth="1"/>
    <col min="9201" max="9201" width="12.7109375" style="675" customWidth="1"/>
    <col min="9202" max="9202" width="13.7109375" style="675" customWidth="1"/>
    <col min="9203" max="9203" width="16.140625" style="675" customWidth="1"/>
    <col min="9204" max="9204" width="17" style="675" customWidth="1"/>
    <col min="9205" max="9205" width="15" style="675" customWidth="1"/>
    <col min="9206" max="9206" width="14.28515625" style="675" customWidth="1"/>
    <col min="9207" max="9207" width="14.85546875" style="675" customWidth="1"/>
    <col min="9208" max="9208" width="17.140625" style="675" customWidth="1"/>
    <col min="9209" max="9209" width="13.5703125" style="675" customWidth="1"/>
    <col min="9210" max="9211" width="14.85546875" style="675" customWidth="1"/>
    <col min="9212" max="9212" width="18.85546875" style="675" customWidth="1"/>
    <col min="9213" max="9213" width="19.42578125" style="675" customWidth="1"/>
    <col min="9214" max="9214" width="16.140625" style="675" customWidth="1"/>
    <col min="9215" max="9215" width="14.5703125" style="675" customWidth="1"/>
    <col min="9216" max="9216" width="20.28515625" style="675" customWidth="1"/>
    <col min="9217" max="9217" width="13.85546875" style="675" customWidth="1"/>
    <col min="9218" max="9218" width="19.140625" style="675" customWidth="1"/>
    <col min="9219" max="9219" width="19.7109375" style="675" customWidth="1"/>
    <col min="9220" max="9220" width="16.5703125" style="675" customWidth="1"/>
    <col min="9221" max="9221" width="19.140625" style="675" customWidth="1"/>
    <col min="9222" max="9224" width="16.5703125" style="675" customWidth="1"/>
    <col min="9225" max="9225" width="15.7109375" style="675" customWidth="1"/>
    <col min="9226" max="9226" width="19.42578125" style="675" customWidth="1"/>
    <col min="9227" max="9227" width="14.85546875" style="675" bestFit="1" customWidth="1"/>
    <col min="9228" max="9228" width="13.7109375" style="675" bestFit="1" customWidth="1"/>
    <col min="9229" max="9229" width="13" style="675" customWidth="1"/>
    <col min="9230" max="9230" width="18.42578125" style="675" customWidth="1"/>
    <col min="9231" max="9233" width="13.140625" style="675" customWidth="1"/>
    <col min="9234" max="9234" width="16.42578125" style="675" customWidth="1"/>
    <col min="9235" max="9235" width="13.140625" style="675" customWidth="1"/>
    <col min="9236" max="9236" width="15.28515625" style="675" customWidth="1"/>
    <col min="9237" max="9237" width="14" style="675" bestFit="1" customWidth="1"/>
    <col min="9238" max="9238" width="17.140625" style="675" customWidth="1"/>
    <col min="9239" max="9260" width="16.5703125" style="675" customWidth="1"/>
    <col min="9261" max="9261" width="20.140625" style="675" customWidth="1"/>
    <col min="9262" max="9262" width="13.28515625" style="675" customWidth="1"/>
    <col min="9263" max="9263" width="14.85546875" style="675" customWidth="1"/>
    <col min="9264" max="9264" width="13.85546875" style="675" customWidth="1"/>
    <col min="9265" max="9265" width="13.5703125" style="675" customWidth="1"/>
    <col min="9266" max="9266" width="13" style="675" customWidth="1"/>
    <col min="9267" max="9267" width="13.5703125" style="675" customWidth="1"/>
    <col min="9268" max="9268" width="7.7109375" style="675" bestFit="1" customWidth="1"/>
    <col min="9269" max="9438" width="9.140625" style="675"/>
    <col min="9439" max="9439" width="4.28515625" style="675" customWidth="1"/>
    <col min="9440" max="9440" width="10.140625" style="675" customWidth="1"/>
    <col min="9441" max="9441" width="8.85546875" style="675" customWidth="1"/>
    <col min="9442" max="9442" width="11.140625" style="675" customWidth="1"/>
    <col min="9443" max="9443" width="15" style="675" bestFit="1" customWidth="1"/>
    <col min="9444" max="9444" width="13.5703125" style="675" customWidth="1"/>
    <col min="9445" max="9445" width="11.42578125" style="675" bestFit="1" customWidth="1"/>
    <col min="9446" max="9446" width="11.28515625" style="675" customWidth="1"/>
    <col min="9447" max="9447" width="15.28515625" style="675" bestFit="1" customWidth="1"/>
    <col min="9448" max="9450" width="11.85546875" style="675" customWidth="1"/>
    <col min="9451" max="9451" width="19.140625" style="675" customWidth="1"/>
    <col min="9452" max="9452" width="15" style="675" customWidth="1"/>
    <col min="9453" max="9453" width="15.28515625" style="675" customWidth="1"/>
    <col min="9454" max="9456" width="18.85546875" style="675" customWidth="1"/>
    <col min="9457" max="9457" width="12.7109375" style="675" customWidth="1"/>
    <col min="9458" max="9458" width="13.7109375" style="675" customWidth="1"/>
    <col min="9459" max="9459" width="16.140625" style="675" customWidth="1"/>
    <col min="9460" max="9460" width="17" style="675" customWidth="1"/>
    <col min="9461" max="9461" width="15" style="675" customWidth="1"/>
    <col min="9462" max="9462" width="14.28515625" style="675" customWidth="1"/>
    <col min="9463" max="9463" width="14.85546875" style="675" customWidth="1"/>
    <col min="9464" max="9464" width="17.140625" style="675" customWidth="1"/>
    <col min="9465" max="9465" width="13.5703125" style="675" customWidth="1"/>
    <col min="9466" max="9467" width="14.85546875" style="675" customWidth="1"/>
    <col min="9468" max="9468" width="18.85546875" style="675" customWidth="1"/>
    <col min="9469" max="9469" width="19.42578125" style="675" customWidth="1"/>
    <col min="9470" max="9470" width="16.140625" style="675" customWidth="1"/>
    <col min="9471" max="9471" width="14.5703125" style="675" customWidth="1"/>
    <col min="9472" max="9472" width="20.28515625" style="675" customWidth="1"/>
    <col min="9473" max="9473" width="13.85546875" style="675" customWidth="1"/>
    <col min="9474" max="9474" width="19.140625" style="675" customWidth="1"/>
    <col min="9475" max="9475" width="19.7109375" style="675" customWidth="1"/>
    <col min="9476" max="9476" width="16.5703125" style="675" customWidth="1"/>
    <col min="9477" max="9477" width="19.140625" style="675" customWidth="1"/>
    <col min="9478" max="9480" width="16.5703125" style="675" customWidth="1"/>
    <col min="9481" max="9481" width="15.7109375" style="675" customWidth="1"/>
    <col min="9482" max="9482" width="19.42578125" style="675" customWidth="1"/>
    <col min="9483" max="9483" width="14.85546875" style="675" bestFit="1" customWidth="1"/>
    <col min="9484" max="9484" width="13.7109375" style="675" bestFit="1" customWidth="1"/>
    <col min="9485" max="9485" width="13" style="675" customWidth="1"/>
    <col min="9486" max="9486" width="18.42578125" style="675" customWidth="1"/>
    <col min="9487" max="9489" width="13.140625" style="675" customWidth="1"/>
    <col min="9490" max="9490" width="16.42578125" style="675" customWidth="1"/>
    <col min="9491" max="9491" width="13.140625" style="675" customWidth="1"/>
    <col min="9492" max="9492" width="15.28515625" style="675" customWidth="1"/>
    <col min="9493" max="9493" width="14" style="675" bestFit="1" customWidth="1"/>
    <col min="9494" max="9494" width="17.140625" style="675" customWidth="1"/>
    <col min="9495" max="9516" width="16.5703125" style="675" customWidth="1"/>
    <col min="9517" max="9517" width="20.140625" style="675" customWidth="1"/>
    <col min="9518" max="9518" width="13.28515625" style="675" customWidth="1"/>
    <col min="9519" max="9519" width="14.85546875" style="675" customWidth="1"/>
    <col min="9520" max="9520" width="13.85546875" style="675" customWidth="1"/>
    <col min="9521" max="9521" width="13.5703125" style="675" customWidth="1"/>
    <col min="9522" max="9522" width="13" style="675" customWidth="1"/>
    <col min="9523" max="9523" width="13.5703125" style="675" customWidth="1"/>
    <col min="9524" max="9524" width="7.7109375" style="675" bestFit="1" customWidth="1"/>
    <col min="9525" max="9694" width="9.140625" style="675"/>
    <col min="9695" max="9695" width="4.28515625" style="675" customWidth="1"/>
    <col min="9696" max="9696" width="10.140625" style="675" customWidth="1"/>
    <col min="9697" max="9697" width="8.85546875" style="675" customWidth="1"/>
    <col min="9698" max="9698" width="11.140625" style="675" customWidth="1"/>
    <col min="9699" max="9699" width="15" style="675" bestFit="1" customWidth="1"/>
    <col min="9700" max="9700" width="13.5703125" style="675" customWidth="1"/>
    <col min="9701" max="9701" width="11.42578125" style="675" bestFit="1" customWidth="1"/>
    <col min="9702" max="9702" width="11.28515625" style="675" customWidth="1"/>
    <col min="9703" max="9703" width="15.28515625" style="675" bestFit="1" customWidth="1"/>
    <col min="9704" max="9706" width="11.85546875" style="675" customWidth="1"/>
    <col min="9707" max="9707" width="19.140625" style="675" customWidth="1"/>
    <col min="9708" max="9708" width="15" style="675" customWidth="1"/>
    <col min="9709" max="9709" width="15.28515625" style="675" customWidth="1"/>
    <col min="9710" max="9712" width="18.85546875" style="675" customWidth="1"/>
    <col min="9713" max="9713" width="12.7109375" style="675" customWidth="1"/>
    <col min="9714" max="9714" width="13.7109375" style="675" customWidth="1"/>
    <col min="9715" max="9715" width="16.140625" style="675" customWidth="1"/>
    <col min="9716" max="9716" width="17" style="675" customWidth="1"/>
    <col min="9717" max="9717" width="15" style="675" customWidth="1"/>
    <col min="9718" max="9718" width="14.28515625" style="675" customWidth="1"/>
    <col min="9719" max="9719" width="14.85546875" style="675" customWidth="1"/>
    <col min="9720" max="9720" width="17.140625" style="675" customWidth="1"/>
    <col min="9721" max="9721" width="13.5703125" style="675" customWidth="1"/>
    <col min="9722" max="9723" width="14.85546875" style="675" customWidth="1"/>
    <col min="9724" max="9724" width="18.85546875" style="675" customWidth="1"/>
    <col min="9725" max="9725" width="19.42578125" style="675" customWidth="1"/>
    <col min="9726" max="9726" width="16.140625" style="675" customWidth="1"/>
    <col min="9727" max="9727" width="14.5703125" style="675" customWidth="1"/>
    <col min="9728" max="9728" width="20.28515625" style="675" customWidth="1"/>
    <col min="9729" max="9729" width="13.85546875" style="675" customWidth="1"/>
    <col min="9730" max="9730" width="19.140625" style="675" customWidth="1"/>
    <col min="9731" max="9731" width="19.7109375" style="675" customWidth="1"/>
    <col min="9732" max="9732" width="16.5703125" style="675" customWidth="1"/>
    <col min="9733" max="9733" width="19.140625" style="675" customWidth="1"/>
    <col min="9734" max="9736" width="16.5703125" style="675" customWidth="1"/>
    <col min="9737" max="9737" width="15.7109375" style="675" customWidth="1"/>
    <col min="9738" max="9738" width="19.42578125" style="675" customWidth="1"/>
    <col min="9739" max="9739" width="14.85546875" style="675" bestFit="1" customWidth="1"/>
    <col min="9740" max="9740" width="13.7109375" style="675" bestFit="1" customWidth="1"/>
    <col min="9741" max="9741" width="13" style="675" customWidth="1"/>
    <col min="9742" max="9742" width="18.42578125" style="675" customWidth="1"/>
    <col min="9743" max="9745" width="13.140625" style="675" customWidth="1"/>
    <col min="9746" max="9746" width="16.42578125" style="675" customWidth="1"/>
    <col min="9747" max="9747" width="13.140625" style="675" customWidth="1"/>
    <col min="9748" max="9748" width="15.28515625" style="675" customWidth="1"/>
    <col min="9749" max="9749" width="14" style="675" bestFit="1" customWidth="1"/>
    <col min="9750" max="9750" width="17.140625" style="675" customWidth="1"/>
    <col min="9751" max="9772" width="16.5703125" style="675" customWidth="1"/>
    <col min="9773" max="9773" width="20.140625" style="675" customWidth="1"/>
    <col min="9774" max="9774" width="13.28515625" style="675" customWidth="1"/>
    <col min="9775" max="9775" width="14.85546875" style="675" customWidth="1"/>
    <col min="9776" max="9776" width="13.85546875" style="675" customWidth="1"/>
    <col min="9777" max="9777" width="13.5703125" style="675" customWidth="1"/>
    <col min="9778" max="9778" width="13" style="675" customWidth="1"/>
    <col min="9779" max="9779" width="13.5703125" style="675" customWidth="1"/>
    <col min="9780" max="9780" width="7.7109375" style="675" bestFit="1" customWidth="1"/>
    <col min="9781" max="9950" width="9.140625" style="675"/>
    <col min="9951" max="9951" width="4.28515625" style="675" customWidth="1"/>
    <col min="9952" max="9952" width="10.140625" style="675" customWidth="1"/>
    <col min="9953" max="9953" width="8.85546875" style="675" customWidth="1"/>
    <col min="9954" max="9954" width="11.140625" style="675" customWidth="1"/>
    <col min="9955" max="9955" width="15" style="675" bestFit="1" customWidth="1"/>
    <col min="9956" max="9956" width="13.5703125" style="675" customWidth="1"/>
    <col min="9957" max="9957" width="11.42578125" style="675" bestFit="1" customWidth="1"/>
    <col min="9958" max="9958" width="11.28515625" style="675" customWidth="1"/>
    <col min="9959" max="9959" width="15.28515625" style="675" bestFit="1" customWidth="1"/>
    <col min="9960" max="9962" width="11.85546875" style="675" customWidth="1"/>
    <col min="9963" max="9963" width="19.140625" style="675" customWidth="1"/>
    <col min="9964" max="9964" width="15" style="675" customWidth="1"/>
    <col min="9965" max="9965" width="15.28515625" style="675" customWidth="1"/>
    <col min="9966" max="9968" width="18.85546875" style="675" customWidth="1"/>
    <col min="9969" max="9969" width="12.7109375" style="675" customWidth="1"/>
    <col min="9970" max="9970" width="13.7109375" style="675" customWidth="1"/>
    <col min="9971" max="9971" width="16.140625" style="675" customWidth="1"/>
    <col min="9972" max="9972" width="17" style="675" customWidth="1"/>
    <col min="9973" max="9973" width="15" style="675" customWidth="1"/>
    <col min="9974" max="9974" width="14.28515625" style="675" customWidth="1"/>
    <col min="9975" max="9975" width="14.85546875" style="675" customWidth="1"/>
    <col min="9976" max="9976" width="17.140625" style="675" customWidth="1"/>
    <col min="9977" max="9977" width="13.5703125" style="675" customWidth="1"/>
    <col min="9978" max="9979" width="14.85546875" style="675" customWidth="1"/>
    <col min="9980" max="9980" width="18.85546875" style="675" customWidth="1"/>
    <col min="9981" max="9981" width="19.42578125" style="675" customWidth="1"/>
    <col min="9982" max="9982" width="16.140625" style="675" customWidth="1"/>
    <col min="9983" max="9983" width="14.5703125" style="675" customWidth="1"/>
    <col min="9984" max="9984" width="20.28515625" style="675" customWidth="1"/>
    <col min="9985" max="9985" width="13.85546875" style="675" customWidth="1"/>
    <col min="9986" max="9986" width="19.140625" style="675" customWidth="1"/>
    <col min="9987" max="9987" width="19.7109375" style="675" customWidth="1"/>
    <col min="9988" max="9988" width="16.5703125" style="675" customWidth="1"/>
    <col min="9989" max="9989" width="19.140625" style="675" customWidth="1"/>
    <col min="9990" max="9992" width="16.5703125" style="675" customWidth="1"/>
    <col min="9993" max="9993" width="15.7109375" style="675" customWidth="1"/>
    <col min="9994" max="9994" width="19.42578125" style="675" customWidth="1"/>
    <col min="9995" max="9995" width="14.85546875" style="675" bestFit="1" customWidth="1"/>
    <col min="9996" max="9996" width="13.7109375" style="675" bestFit="1" customWidth="1"/>
    <col min="9997" max="9997" width="13" style="675" customWidth="1"/>
    <col min="9998" max="9998" width="18.42578125" style="675" customWidth="1"/>
    <col min="9999" max="10001" width="13.140625" style="675" customWidth="1"/>
    <col min="10002" max="10002" width="16.42578125" style="675" customWidth="1"/>
    <col min="10003" max="10003" width="13.140625" style="675" customWidth="1"/>
    <col min="10004" max="10004" width="15.28515625" style="675" customWidth="1"/>
    <col min="10005" max="10005" width="14" style="675" bestFit="1" customWidth="1"/>
    <col min="10006" max="10006" width="17.140625" style="675" customWidth="1"/>
    <col min="10007" max="10028" width="16.5703125" style="675" customWidth="1"/>
    <col min="10029" max="10029" width="20.140625" style="675" customWidth="1"/>
    <col min="10030" max="10030" width="13.28515625" style="675" customWidth="1"/>
    <col min="10031" max="10031" width="14.85546875" style="675" customWidth="1"/>
    <col min="10032" max="10032" width="13.85546875" style="675" customWidth="1"/>
    <col min="10033" max="10033" width="13.5703125" style="675" customWidth="1"/>
    <col min="10034" max="10034" width="13" style="675" customWidth="1"/>
    <col min="10035" max="10035" width="13.5703125" style="675" customWidth="1"/>
    <col min="10036" max="10036" width="7.7109375" style="675" bestFit="1" customWidth="1"/>
    <col min="10037" max="10206" width="9.140625" style="675"/>
    <col min="10207" max="10207" width="4.28515625" style="675" customWidth="1"/>
    <col min="10208" max="10208" width="10.140625" style="675" customWidth="1"/>
    <col min="10209" max="10209" width="8.85546875" style="675" customWidth="1"/>
    <col min="10210" max="10210" width="11.140625" style="675" customWidth="1"/>
    <col min="10211" max="10211" width="15" style="675" bestFit="1" customWidth="1"/>
    <col min="10212" max="10212" width="13.5703125" style="675" customWidth="1"/>
    <col min="10213" max="10213" width="11.42578125" style="675" bestFit="1" customWidth="1"/>
    <col min="10214" max="10214" width="11.28515625" style="675" customWidth="1"/>
    <col min="10215" max="10215" width="15.28515625" style="675" bestFit="1" customWidth="1"/>
    <col min="10216" max="10218" width="11.85546875" style="675" customWidth="1"/>
    <col min="10219" max="10219" width="19.140625" style="675" customWidth="1"/>
    <col min="10220" max="10220" width="15" style="675" customWidth="1"/>
    <col min="10221" max="10221" width="15.28515625" style="675" customWidth="1"/>
    <col min="10222" max="10224" width="18.85546875" style="675" customWidth="1"/>
    <col min="10225" max="10225" width="12.7109375" style="675" customWidth="1"/>
    <col min="10226" max="10226" width="13.7109375" style="675" customWidth="1"/>
    <col min="10227" max="10227" width="16.140625" style="675" customWidth="1"/>
    <col min="10228" max="10228" width="17" style="675" customWidth="1"/>
    <col min="10229" max="10229" width="15" style="675" customWidth="1"/>
    <col min="10230" max="10230" width="14.28515625" style="675" customWidth="1"/>
    <col min="10231" max="10231" width="14.85546875" style="675" customWidth="1"/>
    <col min="10232" max="10232" width="17.140625" style="675" customWidth="1"/>
    <col min="10233" max="10233" width="13.5703125" style="675" customWidth="1"/>
    <col min="10234" max="10235" width="14.85546875" style="675" customWidth="1"/>
    <col min="10236" max="10236" width="18.85546875" style="675" customWidth="1"/>
    <col min="10237" max="10237" width="19.42578125" style="675" customWidth="1"/>
    <col min="10238" max="10238" width="16.140625" style="675" customWidth="1"/>
    <col min="10239" max="10239" width="14.5703125" style="675" customWidth="1"/>
    <col min="10240" max="10240" width="20.28515625" style="675" customWidth="1"/>
    <col min="10241" max="10241" width="13.85546875" style="675" customWidth="1"/>
    <col min="10242" max="10242" width="19.140625" style="675" customWidth="1"/>
    <col min="10243" max="10243" width="19.7109375" style="675" customWidth="1"/>
    <col min="10244" max="10244" width="16.5703125" style="675" customWidth="1"/>
    <col min="10245" max="10245" width="19.140625" style="675" customWidth="1"/>
    <col min="10246" max="10248" width="16.5703125" style="675" customWidth="1"/>
    <col min="10249" max="10249" width="15.7109375" style="675" customWidth="1"/>
    <col min="10250" max="10250" width="19.42578125" style="675" customWidth="1"/>
    <col min="10251" max="10251" width="14.85546875" style="675" bestFit="1" customWidth="1"/>
    <col min="10252" max="10252" width="13.7109375" style="675" bestFit="1" customWidth="1"/>
    <col min="10253" max="10253" width="13" style="675" customWidth="1"/>
    <col min="10254" max="10254" width="18.42578125" style="675" customWidth="1"/>
    <col min="10255" max="10257" width="13.140625" style="675" customWidth="1"/>
    <col min="10258" max="10258" width="16.42578125" style="675" customWidth="1"/>
    <col min="10259" max="10259" width="13.140625" style="675" customWidth="1"/>
    <col min="10260" max="10260" width="15.28515625" style="675" customWidth="1"/>
    <col min="10261" max="10261" width="14" style="675" bestFit="1" customWidth="1"/>
    <col min="10262" max="10262" width="17.140625" style="675" customWidth="1"/>
    <col min="10263" max="10284" width="16.5703125" style="675" customWidth="1"/>
    <col min="10285" max="10285" width="20.140625" style="675" customWidth="1"/>
    <col min="10286" max="10286" width="13.28515625" style="675" customWidth="1"/>
    <col min="10287" max="10287" width="14.85546875" style="675" customWidth="1"/>
    <col min="10288" max="10288" width="13.85546875" style="675" customWidth="1"/>
    <col min="10289" max="10289" width="13.5703125" style="675" customWidth="1"/>
    <col min="10290" max="10290" width="13" style="675" customWidth="1"/>
    <col min="10291" max="10291" width="13.5703125" style="675" customWidth="1"/>
    <col min="10292" max="10292" width="7.7109375" style="675" bestFit="1" customWidth="1"/>
    <col min="10293" max="10462" width="9.140625" style="675"/>
    <col min="10463" max="10463" width="4.28515625" style="675" customWidth="1"/>
    <col min="10464" max="10464" width="10.140625" style="675" customWidth="1"/>
    <col min="10465" max="10465" width="8.85546875" style="675" customWidth="1"/>
    <col min="10466" max="10466" width="11.140625" style="675" customWidth="1"/>
    <col min="10467" max="10467" width="15" style="675" bestFit="1" customWidth="1"/>
    <col min="10468" max="10468" width="13.5703125" style="675" customWidth="1"/>
    <col min="10469" max="10469" width="11.42578125" style="675" bestFit="1" customWidth="1"/>
    <col min="10470" max="10470" width="11.28515625" style="675" customWidth="1"/>
    <col min="10471" max="10471" width="15.28515625" style="675" bestFit="1" customWidth="1"/>
    <col min="10472" max="10474" width="11.85546875" style="675" customWidth="1"/>
    <col min="10475" max="10475" width="19.140625" style="675" customWidth="1"/>
    <col min="10476" max="10476" width="15" style="675" customWidth="1"/>
    <col min="10477" max="10477" width="15.28515625" style="675" customWidth="1"/>
    <col min="10478" max="10480" width="18.85546875" style="675" customWidth="1"/>
    <col min="10481" max="10481" width="12.7109375" style="675" customWidth="1"/>
    <col min="10482" max="10482" width="13.7109375" style="675" customWidth="1"/>
    <col min="10483" max="10483" width="16.140625" style="675" customWidth="1"/>
    <col min="10484" max="10484" width="17" style="675" customWidth="1"/>
    <col min="10485" max="10485" width="15" style="675" customWidth="1"/>
    <col min="10486" max="10486" width="14.28515625" style="675" customWidth="1"/>
    <col min="10487" max="10487" width="14.85546875" style="675" customWidth="1"/>
    <col min="10488" max="10488" width="17.140625" style="675" customWidth="1"/>
    <col min="10489" max="10489" width="13.5703125" style="675" customWidth="1"/>
    <col min="10490" max="10491" width="14.85546875" style="675" customWidth="1"/>
    <col min="10492" max="10492" width="18.85546875" style="675" customWidth="1"/>
    <col min="10493" max="10493" width="19.42578125" style="675" customWidth="1"/>
    <col min="10494" max="10494" width="16.140625" style="675" customWidth="1"/>
    <col min="10495" max="10495" width="14.5703125" style="675" customWidth="1"/>
    <col min="10496" max="10496" width="20.28515625" style="675" customWidth="1"/>
    <col min="10497" max="10497" width="13.85546875" style="675" customWidth="1"/>
    <col min="10498" max="10498" width="19.140625" style="675" customWidth="1"/>
    <col min="10499" max="10499" width="19.7109375" style="675" customWidth="1"/>
    <col min="10500" max="10500" width="16.5703125" style="675" customWidth="1"/>
    <col min="10501" max="10501" width="19.140625" style="675" customWidth="1"/>
    <col min="10502" max="10504" width="16.5703125" style="675" customWidth="1"/>
    <col min="10505" max="10505" width="15.7109375" style="675" customWidth="1"/>
    <col min="10506" max="10506" width="19.42578125" style="675" customWidth="1"/>
    <col min="10507" max="10507" width="14.85546875" style="675" bestFit="1" customWidth="1"/>
    <col min="10508" max="10508" width="13.7109375" style="675" bestFit="1" customWidth="1"/>
    <col min="10509" max="10509" width="13" style="675" customWidth="1"/>
    <col min="10510" max="10510" width="18.42578125" style="675" customWidth="1"/>
    <col min="10511" max="10513" width="13.140625" style="675" customWidth="1"/>
    <col min="10514" max="10514" width="16.42578125" style="675" customWidth="1"/>
    <col min="10515" max="10515" width="13.140625" style="675" customWidth="1"/>
    <col min="10516" max="10516" width="15.28515625" style="675" customWidth="1"/>
    <col min="10517" max="10517" width="14" style="675" bestFit="1" customWidth="1"/>
    <col min="10518" max="10518" width="17.140625" style="675" customWidth="1"/>
    <col min="10519" max="10540" width="16.5703125" style="675" customWidth="1"/>
    <col min="10541" max="10541" width="20.140625" style="675" customWidth="1"/>
    <col min="10542" max="10542" width="13.28515625" style="675" customWidth="1"/>
    <col min="10543" max="10543" width="14.85546875" style="675" customWidth="1"/>
    <col min="10544" max="10544" width="13.85546875" style="675" customWidth="1"/>
    <col min="10545" max="10545" width="13.5703125" style="675" customWidth="1"/>
    <col min="10546" max="10546" width="13" style="675" customWidth="1"/>
    <col min="10547" max="10547" width="13.5703125" style="675" customWidth="1"/>
    <col min="10548" max="10548" width="7.7109375" style="675" bestFit="1" customWidth="1"/>
    <col min="10549" max="10718" width="9.140625" style="675"/>
    <col min="10719" max="10719" width="4.28515625" style="675" customWidth="1"/>
    <col min="10720" max="10720" width="10.140625" style="675" customWidth="1"/>
    <col min="10721" max="10721" width="8.85546875" style="675" customWidth="1"/>
    <col min="10722" max="10722" width="11.140625" style="675" customWidth="1"/>
    <col min="10723" max="10723" width="15" style="675" bestFit="1" customWidth="1"/>
    <col min="10724" max="10724" width="13.5703125" style="675" customWidth="1"/>
    <col min="10725" max="10725" width="11.42578125" style="675" bestFit="1" customWidth="1"/>
    <col min="10726" max="10726" width="11.28515625" style="675" customWidth="1"/>
    <col min="10727" max="10727" width="15.28515625" style="675" bestFit="1" customWidth="1"/>
    <col min="10728" max="10730" width="11.85546875" style="675" customWidth="1"/>
    <col min="10731" max="10731" width="19.140625" style="675" customWidth="1"/>
    <col min="10732" max="10732" width="15" style="675" customWidth="1"/>
    <col min="10733" max="10733" width="15.28515625" style="675" customWidth="1"/>
    <col min="10734" max="10736" width="18.85546875" style="675" customWidth="1"/>
    <col min="10737" max="10737" width="12.7109375" style="675" customWidth="1"/>
    <col min="10738" max="10738" width="13.7109375" style="675" customWidth="1"/>
    <col min="10739" max="10739" width="16.140625" style="675" customWidth="1"/>
    <col min="10740" max="10740" width="17" style="675" customWidth="1"/>
    <col min="10741" max="10741" width="15" style="675" customWidth="1"/>
    <col min="10742" max="10742" width="14.28515625" style="675" customWidth="1"/>
    <col min="10743" max="10743" width="14.85546875" style="675" customWidth="1"/>
    <col min="10744" max="10744" width="17.140625" style="675" customWidth="1"/>
    <col min="10745" max="10745" width="13.5703125" style="675" customWidth="1"/>
    <col min="10746" max="10747" width="14.85546875" style="675" customWidth="1"/>
    <col min="10748" max="10748" width="18.85546875" style="675" customWidth="1"/>
    <col min="10749" max="10749" width="19.42578125" style="675" customWidth="1"/>
    <col min="10750" max="10750" width="16.140625" style="675" customWidth="1"/>
    <col min="10751" max="10751" width="14.5703125" style="675" customWidth="1"/>
    <col min="10752" max="10752" width="20.28515625" style="675" customWidth="1"/>
    <col min="10753" max="10753" width="13.85546875" style="675" customWidth="1"/>
    <col min="10754" max="10754" width="19.140625" style="675" customWidth="1"/>
    <col min="10755" max="10755" width="19.7109375" style="675" customWidth="1"/>
    <col min="10756" max="10756" width="16.5703125" style="675" customWidth="1"/>
    <col min="10757" max="10757" width="19.140625" style="675" customWidth="1"/>
    <col min="10758" max="10760" width="16.5703125" style="675" customWidth="1"/>
    <col min="10761" max="10761" width="15.7109375" style="675" customWidth="1"/>
    <col min="10762" max="10762" width="19.42578125" style="675" customWidth="1"/>
    <col min="10763" max="10763" width="14.85546875" style="675" bestFit="1" customWidth="1"/>
    <col min="10764" max="10764" width="13.7109375" style="675" bestFit="1" customWidth="1"/>
    <col min="10765" max="10765" width="13" style="675" customWidth="1"/>
    <col min="10766" max="10766" width="18.42578125" style="675" customWidth="1"/>
    <col min="10767" max="10769" width="13.140625" style="675" customWidth="1"/>
    <col min="10770" max="10770" width="16.42578125" style="675" customWidth="1"/>
    <col min="10771" max="10771" width="13.140625" style="675" customWidth="1"/>
    <col min="10772" max="10772" width="15.28515625" style="675" customWidth="1"/>
    <col min="10773" max="10773" width="14" style="675" bestFit="1" customWidth="1"/>
    <col min="10774" max="10774" width="17.140625" style="675" customWidth="1"/>
    <col min="10775" max="10796" width="16.5703125" style="675" customWidth="1"/>
    <col min="10797" max="10797" width="20.140625" style="675" customWidth="1"/>
    <col min="10798" max="10798" width="13.28515625" style="675" customWidth="1"/>
    <col min="10799" max="10799" width="14.85546875" style="675" customWidth="1"/>
    <col min="10800" max="10800" width="13.85546875" style="675" customWidth="1"/>
    <col min="10801" max="10801" width="13.5703125" style="675" customWidth="1"/>
    <col min="10802" max="10802" width="13" style="675" customWidth="1"/>
    <col min="10803" max="10803" width="13.5703125" style="675" customWidth="1"/>
    <col min="10804" max="10804" width="7.7109375" style="675" bestFit="1" customWidth="1"/>
    <col min="10805" max="10974" width="9.140625" style="675"/>
    <col min="10975" max="10975" width="4.28515625" style="675" customWidth="1"/>
    <col min="10976" max="10976" width="10.140625" style="675" customWidth="1"/>
    <col min="10977" max="10977" width="8.85546875" style="675" customWidth="1"/>
    <col min="10978" max="10978" width="11.140625" style="675" customWidth="1"/>
    <col min="10979" max="10979" width="15" style="675" bestFit="1" customWidth="1"/>
    <col min="10980" max="10980" width="13.5703125" style="675" customWidth="1"/>
    <col min="10981" max="10981" width="11.42578125" style="675" bestFit="1" customWidth="1"/>
    <col min="10982" max="10982" width="11.28515625" style="675" customWidth="1"/>
    <col min="10983" max="10983" width="15.28515625" style="675" bestFit="1" customWidth="1"/>
    <col min="10984" max="10986" width="11.85546875" style="675" customWidth="1"/>
    <col min="10987" max="10987" width="19.140625" style="675" customWidth="1"/>
    <col min="10988" max="10988" width="15" style="675" customWidth="1"/>
    <col min="10989" max="10989" width="15.28515625" style="675" customWidth="1"/>
    <col min="10990" max="10992" width="18.85546875" style="675" customWidth="1"/>
    <col min="10993" max="10993" width="12.7109375" style="675" customWidth="1"/>
    <col min="10994" max="10994" width="13.7109375" style="675" customWidth="1"/>
    <col min="10995" max="10995" width="16.140625" style="675" customWidth="1"/>
    <col min="10996" max="10996" width="17" style="675" customWidth="1"/>
    <col min="10997" max="10997" width="15" style="675" customWidth="1"/>
    <col min="10998" max="10998" width="14.28515625" style="675" customWidth="1"/>
    <col min="10999" max="10999" width="14.85546875" style="675" customWidth="1"/>
    <col min="11000" max="11000" width="17.140625" style="675" customWidth="1"/>
    <col min="11001" max="11001" width="13.5703125" style="675" customWidth="1"/>
    <col min="11002" max="11003" width="14.85546875" style="675" customWidth="1"/>
    <col min="11004" max="11004" width="18.85546875" style="675" customWidth="1"/>
    <col min="11005" max="11005" width="19.42578125" style="675" customWidth="1"/>
    <col min="11006" max="11006" width="16.140625" style="675" customWidth="1"/>
    <col min="11007" max="11007" width="14.5703125" style="675" customWidth="1"/>
    <col min="11008" max="11008" width="20.28515625" style="675" customWidth="1"/>
    <col min="11009" max="11009" width="13.85546875" style="675" customWidth="1"/>
    <col min="11010" max="11010" width="19.140625" style="675" customWidth="1"/>
    <col min="11011" max="11011" width="19.7109375" style="675" customWidth="1"/>
    <col min="11012" max="11012" width="16.5703125" style="675" customWidth="1"/>
    <col min="11013" max="11013" width="19.140625" style="675" customWidth="1"/>
    <col min="11014" max="11016" width="16.5703125" style="675" customWidth="1"/>
    <col min="11017" max="11017" width="15.7109375" style="675" customWidth="1"/>
    <col min="11018" max="11018" width="19.42578125" style="675" customWidth="1"/>
    <col min="11019" max="11019" width="14.85546875" style="675" bestFit="1" customWidth="1"/>
    <col min="11020" max="11020" width="13.7109375" style="675" bestFit="1" customWidth="1"/>
    <col min="11021" max="11021" width="13" style="675" customWidth="1"/>
    <col min="11022" max="11022" width="18.42578125" style="675" customWidth="1"/>
    <col min="11023" max="11025" width="13.140625" style="675" customWidth="1"/>
    <col min="11026" max="11026" width="16.42578125" style="675" customWidth="1"/>
    <col min="11027" max="11027" width="13.140625" style="675" customWidth="1"/>
    <col min="11028" max="11028" width="15.28515625" style="675" customWidth="1"/>
    <col min="11029" max="11029" width="14" style="675" bestFit="1" customWidth="1"/>
    <col min="11030" max="11030" width="17.140625" style="675" customWidth="1"/>
    <col min="11031" max="11052" width="16.5703125" style="675" customWidth="1"/>
    <col min="11053" max="11053" width="20.140625" style="675" customWidth="1"/>
    <col min="11054" max="11054" width="13.28515625" style="675" customWidth="1"/>
    <col min="11055" max="11055" width="14.85546875" style="675" customWidth="1"/>
    <col min="11056" max="11056" width="13.85546875" style="675" customWidth="1"/>
    <col min="11057" max="11057" width="13.5703125" style="675" customWidth="1"/>
    <col min="11058" max="11058" width="13" style="675" customWidth="1"/>
    <col min="11059" max="11059" width="13.5703125" style="675" customWidth="1"/>
    <col min="11060" max="11060" width="7.7109375" style="675" bestFit="1" customWidth="1"/>
    <col min="11061" max="11230" width="9.140625" style="675"/>
    <col min="11231" max="11231" width="4.28515625" style="675" customWidth="1"/>
    <col min="11232" max="11232" width="10.140625" style="675" customWidth="1"/>
    <col min="11233" max="11233" width="8.85546875" style="675" customWidth="1"/>
    <col min="11234" max="11234" width="11.140625" style="675" customWidth="1"/>
    <col min="11235" max="11235" width="15" style="675" bestFit="1" customWidth="1"/>
    <col min="11236" max="11236" width="13.5703125" style="675" customWidth="1"/>
    <col min="11237" max="11237" width="11.42578125" style="675" bestFit="1" customWidth="1"/>
    <col min="11238" max="11238" width="11.28515625" style="675" customWidth="1"/>
    <col min="11239" max="11239" width="15.28515625" style="675" bestFit="1" customWidth="1"/>
    <col min="11240" max="11242" width="11.85546875" style="675" customWidth="1"/>
    <col min="11243" max="11243" width="19.140625" style="675" customWidth="1"/>
    <col min="11244" max="11244" width="15" style="675" customWidth="1"/>
    <col min="11245" max="11245" width="15.28515625" style="675" customWidth="1"/>
    <col min="11246" max="11248" width="18.85546875" style="675" customWidth="1"/>
    <col min="11249" max="11249" width="12.7109375" style="675" customWidth="1"/>
    <col min="11250" max="11250" width="13.7109375" style="675" customWidth="1"/>
    <col min="11251" max="11251" width="16.140625" style="675" customWidth="1"/>
    <col min="11252" max="11252" width="17" style="675" customWidth="1"/>
    <col min="11253" max="11253" width="15" style="675" customWidth="1"/>
    <col min="11254" max="11254" width="14.28515625" style="675" customWidth="1"/>
    <col min="11255" max="11255" width="14.85546875" style="675" customWidth="1"/>
    <col min="11256" max="11256" width="17.140625" style="675" customWidth="1"/>
    <col min="11257" max="11257" width="13.5703125" style="675" customWidth="1"/>
    <col min="11258" max="11259" width="14.85546875" style="675" customWidth="1"/>
    <col min="11260" max="11260" width="18.85546875" style="675" customWidth="1"/>
    <col min="11261" max="11261" width="19.42578125" style="675" customWidth="1"/>
    <col min="11262" max="11262" width="16.140625" style="675" customWidth="1"/>
    <col min="11263" max="11263" width="14.5703125" style="675" customWidth="1"/>
    <col min="11264" max="11264" width="20.28515625" style="675" customWidth="1"/>
    <col min="11265" max="11265" width="13.85546875" style="675" customWidth="1"/>
    <col min="11266" max="11266" width="19.140625" style="675" customWidth="1"/>
    <col min="11267" max="11267" width="19.7109375" style="675" customWidth="1"/>
    <col min="11268" max="11268" width="16.5703125" style="675" customWidth="1"/>
    <col min="11269" max="11269" width="19.140625" style="675" customWidth="1"/>
    <col min="11270" max="11272" width="16.5703125" style="675" customWidth="1"/>
    <col min="11273" max="11273" width="15.7109375" style="675" customWidth="1"/>
    <col min="11274" max="11274" width="19.42578125" style="675" customWidth="1"/>
    <col min="11275" max="11275" width="14.85546875" style="675" bestFit="1" customWidth="1"/>
    <col min="11276" max="11276" width="13.7109375" style="675" bestFit="1" customWidth="1"/>
    <col min="11277" max="11277" width="13" style="675" customWidth="1"/>
    <col min="11278" max="11278" width="18.42578125" style="675" customWidth="1"/>
    <col min="11279" max="11281" width="13.140625" style="675" customWidth="1"/>
    <col min="11282" max="11282" width="16.42578125" style="675" customWidth="1"/>
    <col min="11283" max="11283" width="13.140625" style="675" customWidth="1"/>
    <col min="11284" max="11284" width="15.28515625" style="675" customWidth="1"/>
    <col min="11285" max="11285" width="14" style="675" bestFit="1" customWidth="1"/>
    <col min="11286" max="11286" width="17.140625" style="675" customWidth="1"/>
    <col min="11287" max="11308" width="16.5703125" style="675" customWidth="1"/>
    <col min="11309" max="11309" width="20.140625" style="675" customWidth="1"/>
    <col min="11310" max="11310" width="13.28515625" style="675" customWidth="1"/>
    <col min="11311" max="11311" width="14.85546875" style="675" customWidth="1"/>
    <col min="11312" max="11312" width="13.85546875" style="675" customWidth="1"/>
    <col min="11313" max="11313" width="13.5703125" style="675" customWidth="1"/>
    <col min="11314" max="11314" width="13" style="675" customWidth="1"/>
    <col min="11315" max="11315" width="13.5703125" style="675" customWidth="1"/>
    <col min="11316" max="11316" width="7.7109375" style="675" bestFit="1" customWidth="1"/>
    <col min="11317" max="11486" width="9.140625" style="675"/>
    <col min="11487" max="11487" width="4.28515625" style="675" customWidth="1"/>
    <col min="11488" max="11488" width="10.140625" style="675" customWidth="1"/>
    <col min="11489" max="11489" width="8.85546875" style="675" customWidth="1"/>
    <col min="11490" max="11490" width="11.140625" style="675" customWidth="1"/>
    <col min="11491" max="11491" width="15" style="675" bestFit="1" customWidth="1"/>
    <col min="11492" max="11492" width="13.5703125" style="675" customWidth="1"/>
    <col min="11493" max="11493" width="11.42578125" style="675" bestFit="1" customWidth="1"/>
    <col min="11494" max="11494" width="11.28515625" style="675" customWidth="1"/>
    <col min="11495" max="11495" width="15.28515625" style="675" bestFit="1" customWidth="1"/>
    <col min="11496" max="11498" width="11.85546875" style="675" customWidth="1"/>
    <col min="11499" max="11499" width="19.140625" style="675" customWidth="1"/>
    <col min="11500" max="11500" width="15" style="675" customWidth="1"/>
    <col min="11501" max="11501" width="15.28515625" style="675" customWidth="1"/>
    <col min="11502" max="11504" width="18.85546875" style="675" customWidth="1"/>
    <col min="11505" max="11505" width="12.7109375" style="675" customWidth="1"/>
    <col min="11506" max="11506" width="13.7109375" style="675" customWidth="1"/>
    <col min="11507" max="11507" width="16.140625" style="675" customWidth="1"/>
    <col min="11508" max="11508" width="17" style="675" customWidth="1"/>
    <col min="11509" max="11509" width="15" style="675" customWidth="1"/>
    <col min="11510" max="11510" width="14.28515625" style="675" customWidth="1"/>
    <col min="11511" max="11511" width="14.85546875" style="675" customWidth="1"/>
    <col min="11512" max="11512" width="17.140625" style="675" customWidth="1"/>
    <col min="11513" max="11513" width="13.5703125" style="675" customWidth="1"/>
    <col min="11514" max="11515" width="14.85546875" style="675" customWidth="1"/>
    <col min="11516" max="11516" width="18.85546875" style="675" customWidth="1"/>
    <col min="11517" max="11517" width="19.42578125" style="675" customWidth="1"/>
    <col min="11518" max="11518" width="16.140625" style="675" customWidth="1"/>
    <col min="11519" max="11519" width="14.5703125" style="675" customWidth="1"/>
    <col min="11520" max="11520" width="20.28515625" style="675" customWidth="1"/>
    <col min="11521" max="11521" width="13.85546875" style="675" customWidth="1"/>
    <col min="11522" max="11522" width="19.140625" style="675" customWidth="1"/>
    <col min="11523" max="11523" width="19.7109375" style="675" customWidth="1"/>
    <col min="11524" max="11524" width="16.5703125" style="675" customWidth="1"/>
    <col min="11525" max="11525" width="19.140625" style="675" customWidth="1"/>
    <col min="11526" max="11528" width="16.5703125" style="675" customWidth="1"/>
    <col min="11529" max="11529" width="15.7109375" style="675" customWidth="1"/>
    <col min="11530" max="11530" width="19.42578125" style="675" customWidth="1"/>
    <col min="11531" max="11531" width="14.85546875" style="675" bestFit="1" customWidth="1"/>
    <col min="11532" max="11532" width="13.7109375" style="675" bestFit="1" customWidth="1"/>
    <col min="11533" max="11533" width="13" style="675" customWidth="1"/>
    <col min="11534" max="11534" width="18.42578125" style="675" customWidth="1"/>
    <col min="11535" max="11537" width="13.140625" style="675" customWidth="1"/>
    <col min="11538" max="11538" width="16.42578125" style="675" customWidth="1"/>
    <col min="11539" max="11539" width="13.140625" style="675" customWidth="1"/>
    <col min="11540" max="11540" width="15.28515625" style="675" customWidth="1"/>
    <col min="11541" max="11541" width="14" style="675" bestFit="1" customWidth="1"/>
    <col min="11542" max="11542" width="17.140625" style="675" customWidth="1"/>
    <col min="11543" max="11564" width="16.5703125" style="675" customWidth="1"/>
    <col min="11565" max="11565" width="20.140625" style="675" customWidth="1"/>
    <col min="11566" max="11566" width="13.28515625" style="675" customWidth="1"/>
    <col min="11567" max="11567" width="14.85546875" style="675" customWidth="1"/>
    <col min="11568" max="11568" width="13.85546875" style="675" customWidth="1"/>
    <col min="11569" max="11569" width="13.5703125" style="675" customWidth="1"/>
    <col min="11570" max="11570" width="13" style="675" customWidth="1"/>
    <col min="11571" max="11571" width="13.5703125" style="675" customWidth="1"/>
    <col min="11572" max="11572" width="7.7109375" style="675" bestFit="1" customWidth="1"/>
    <col min="11573" max="11742" width="9.140625" style="675"/>
    <col min="11743" max="11743" width="4.28515625" style="675" customWidth="1"/>
    <col min="11744" max="11744" width="10.140625" style="675" customWidth="1"/>
    <col min="11745" max="11745" width="8.85546875" style="675" customWidth="1"/>
    <col min="11746" max="11746" width="11.140625" style="675" customWidth="1"/>
    <col min="11747" max="11747" width="15" style="675" bestFit="1" customWidth="1"/>
    <col min="11748" max="11748" width="13.5703125" style="675" customWidth="1"/>
    <col min="11749" max="11749" width="11.42578125" style="675" bestFit="1" customWidth="1"/>
    <col min="11750" max="11750" width="11.28515625" style="675" customWidth="1"/>
    <col min="11751" max="11751" width="15.28515625" style="675" bestFit="1" customWidth="1"/>
    <col min="11752" max="11754" width="11.85546875" style="675" customWidth="1"/>
    <col min="11755" max="11755" width="19.140625" style="675" customWidth="1"/>
    <col min="11756" max="11756" width="15" style="675" customWidth="1"/>
    <col min="11757" max="11757" width="15.28515625" style="675" customWidth="1"/>
    <col min="11758" max="11760" width="18.85546875" style="675" customWidth="1"/>
    <col min="11761" max="11761" width="12.7109375" style="675" customWidth="1"/>
    <col min="11762" max="11762" width="13.7109375" style="675" customWidth="1"/>
    <col min="11763" max="11763" width="16.140625" style="675" customWidth="1"/>
    <col min="11764" max="11764" width="17" style="675" customWidth="1"/>
    <col min="11765" max="11765" width="15" style="675" customWidth="1"/>
    <col min="11766" max="11766" width="14.28515625" style="675" customWidth="1"/>
    <col min="11767" max="11767" width="14.85546875" style="675" customWidth="1"/>
    <col min="11768" max="11768" width="17.140625" style="675" customWidth="1"/>
    <col min="11769" max="11769" width="13.5703125" style="675" customWidth="1"/>
    <col min="11770" max="11771" width="14.85546875" style="675" customWidth="1"/>
    <col min="11772" max="11772" width="18.85546875" style="675" customWidth="1"/>
    <col min="11773" max="11773" width="19.42578125" style="675" customWidth="1"/>
    <col min="11774" max="11774" width="16.140625" style="675" customWidth="1"/>
    <col min="11775" max="11775" width="14.5703125" style="675" customWidth="1"/>
    <col min="11776" max="11776" width="20.28515625" style="675" customWidth="1"/>
    <col min="11777" max="11777" width="13.85546875" style="675" customWidth="1"/>
    <col min="11778" max="11778" width="19.140625" style="675" customWidth="1"/>
    <col min="11779" max="11779" width="19.7109375" style="675" customWidth="1"/>
    <col min="11780" max="11780" width="16.5703125" style="675" customWidth="1"/>
    <col min="11781" max="11781" width="19.140625" style="675" customWidth="1"/>
    <col min="11782" max="11784" width="16.5703125" style="675" customWidth="1"/>
    <col min="11785" max="11785" width="15.7109375" style="675" customWidth="1"/>
    <col min="11786" max="11786" width="19.42578125" style="675" customWidth="1"/>
    <col min="11787" max="11787" width="14.85546875" style="675" bestFit="1" customWidth="1"/>
    <col min="11788" max="11788" width="13.7109375" style="675" bestFit="1" customWidth="1"/>
    <col min="11789" max="11789" width="13" style="675" customWidth="1"/>
    <col min="11790" max="11790" width="18.42578125" style="675" customWidth="1"/>
    <col min="11791" max="11793" width="13.140625" style="675" customWidth="1"/>
    <col min="11794" max="11794" width="16.42578125" style="675" customWidth="1"/>
    <col min="11795" max="11795" width="13.140625" style="675" customWidth="1"/>
    <col min="11796" max="11796" width="15.28515625" style="675" customWidth="1"/>
    <col min="11797" max="11797" width="14" style="675" bestFit="1" customWidth="1"/>
    <col min="11798" max="11798" width="17.140625" style="675" customWidth="1"/>
    <col min="11799" max="11820" width="16.5703125" style="675" customWidth="1"/>
    <col min="11821" max="11821" width="20.140625" style="675" customWidth="1"/>
    <col min="11822" max="11822" width="13.28515625" style="675" customWidth="1"/>
    <col min="11823" max="11823" width="14.85546875" style="675" customWidth="1"/>
    <col min="11824" max="11824" width="13.85546875" style="675" customWidth="1"/>
    <col min="11825" max="11825" width="13.5703125" style="675" customWidth="1"/>
    <col min="11826" max="11826" width="13" style="675" customWidth="1"/>
    <col min="11827" max="11827" width="13.5703125" style="675" customWidth="1"/>
    <col min="11828" max="11828" width="7.7109375" style="675" bestFit="1" customWidth="1"/>
    <col min="11829" max="11998" width="9.140625" style="675"/>
    <col min="11999" max="11999" width="4.28515625" style="675" customWidth="1"/>
    <col min="12000" max="12000" width="10.140625" style="675" customWidth="1"/>
    <col min="12001" max="12001" width="8.85546875" style="675" customWidth="1"/>
    <col min="12002" max="12002" width="11.140625" style="675" customWidth="1"/>
    <col min="12003" max="12003" width="15" style="675" bestFit="1" customWidth="1"/>
    <col min="12004" max="12004" width="13.5703125" style="675" customWidth="1"/>
    <col min="12005" max="12005" width="11.42578125" style="675" bestFit="1" customWidth="1"/>
    <col min="12006" max="12006" width="11.28515625" style="675" customWidth="1"/>
    <col min="12007" max="12007" width="15.28515625" style="675" bestFit="1" customWidth="1"/>
    <col min="12008" max="12010" width="11.85546875" style="675" customWidth="1"/>
    <col min="12011" max="12011" width="19.140625" style="675" customWidth="1"/>
    <col min="12012" max="12012" width="15" style="675" customWidth="1"/>
    <col min="12013" max="12013" width="15.28515625" style="675" customWidth="1"/>
    <col min="12014" max="12016" width="18.85546875" style="675" customWidth="1"/>
    <col min="12017" max="12017" width="12.7109375" style="675" customWidth="1"/>
    <col min="12018" max="12018" width="13.7109375" style="675" customWidth="1"/>
    <col min="12019" max="12019" width="16.140625" style="675" customWidth="1"/>
    <col min="12020" max="12020" width="17" style="675" customWidth="1"/>
    <col min="12021" max="12021" width="15" style="675" customWidth="1"/>
    <col min="12022" max="12022" width="14.28515625" style="675" customWidth="1"/>
    <col min="12023" max="12023" width="14.85546875" style="675" customWidth="1"/>
    <col min="12024" max="12024" width="17.140625" style="675" customWidth="1"/>
    <col min="12025" max="12025" width="13.5703125" style="675" customWidth="1"/>
    <col min="12026" max="12027" width="14.85546875" style="675" customWidth="1"/>
    <col min="12028" max="12028" width="18.85546875" style="675" customWidth="1"/>
    <col min="12029" max="12029" width="19.42578125" style="675" customWidth="1"/>
    <col min="12030" max="12030" width="16.140625" style="675" customWidth="1"/>
    <col min="12031" max="12031" width="14.5703125" style="675" customWidth="1"/>
    <col min="12032" max="12032" width="20.28515625" style="675" customWidth="1"/>
    <col min="12033" max="12033" width="13.85546875" style="675" customWidth="1"/>
    <col min="12034" max="12034" width="19.140625" style="675" customWidth="1"/>
    <col min="12035" max="12035" width="19.7109375" style="675" customWidth="1"/>
    <col min="12036" max="12036" width="16.5703125" style="675" customWidth="1"/>
    <col min="12037" max="12037" width="19.140625" style="675" customWidth="1"/>
    <col min="12038" max="12040" width="16.5703125" style="675" customWidth="1"/>
    <col min="12041" max="12041" width="15.7109375" style="675" customWidth="1"/>
    <col min="12042" max="12042" width="19.42578125" style="675" customWidth="1"/>
    <col min="12043" max="12043" width="14.85546875" style="675" bestFit="1" customWidth="1"/>
    <col min="12044" max="12044" width="13.7109375" style="675" bestFit="1" customWidth="1"/>
    <col min="12045" max="12045" width="13" style="675" customWidth="1"/>
    <col min="12046" max="12046" width="18.42578125" style="675" customWidth="1"/>
    <col min="12047" max="12049" width="13.140625" style="675" customWidth="1"/>
    <col min="12050" max="12050" width="16.42578125" style="675" customWidth="1"/>
    <col min="12051" max="12051" width="13.140625" style="675" customWidth="1"/>
    <col min="12052" max="12052" width="15.28515625" style="675" customWidth="1"/>
    <col min="12053" max="12053" width="14" style="675" bestFit="1" customWidth="1"/>
    <col min="12054" max="12054" width="17.140625" style="675" customWidth="1"/>
    <col min="12055" max="12076" width="16.5703125" style="675" customWidth="1"/>
    <col min="12077" max="12077" width="20.140625" style="675" customWidth="1"/>
    <col min="12078" max="12078" width="13.28515625" style="675" customWidth="1"/>
    <col min="12079" max="12079" width="14.85546875" style="675" customWidth="1"/>
    <col min="12080" max="12080" width="13.85546875" style="675" customWidth="1"/>
    <col min="12081" max="12081" width="13.5703125" style="675" customWidth="1"/>
    <col min="12082" max="12082" width="13" style="675" customWidth="1"/>
    <col min="12083" max="12083" width="13.5703125" style="675" customWidth="1"/>
    <col min="12084" max="12084" width="7.7109375" style="675" bestFit="1" customWidth="1"/>
    <col min="12085" max="12254" width="9.140625" style="675"/>
    <col min="12255" max="12255" width="4.28515625" style="675" customWidth="1"/>
    <col min="12256" max="12256" width="10.140625" style="675" customWidth="1"/>
    <col min="12257" max="12257" width="8.85546875" style="675" customWidth="1"/>
    <col min="12258" max="12258" width="11.140625" style="675" customWidth="1"/>
    <col min="12259" max="12259" width="15" style="675" bestFit="1" customWidth="1"/>
    <col min="12260" max="12260" width="13.5703125" style="675" customWidth="1"/>
    <col min="12261" max="12261" width="11.42578125" style="675" bestFit="1" customWidth="1"/>
    <col min="12262" max="12262" width="11.28515625" style="675" customWidth="1"/>
    <col min="12263" max="12263" width="15.28515625" style="675" bestFit="1" customWidth="1"/>
    <col min="12264" max="12266" width="11.85546875" style="675" customWidth="1"/>
    <col min="12267" max="12267" width="19.140625" style="675" customWidth="1"/>
    <col min="12268" max="12268" width="15" style="675" customWidth="1"/>
    <col min="12269" max="12269" width="15.28515625" style="675" customWidth="1"/>
    <col min="12270" max="12272" width="18.85546875" style="675" customWidth="1"/>
    <col min="12273" max="12273" width="12.7109375" style="675" customWidth="1"/>
    <col min="12274" max="12274" width="13.7109375" style="675" customWidth="1"/>
    <col min="12275" max="12275" width="16.140625" style="675" customWidth="1"/>
    <col min="12276" max="12276" width="17" style="675" customWidth="1"/>
    <col min="12277" max="12277" width="15" style="675" customWidth="1"/>
    <col min="12278" max="12278" width="14.28515625" style="675" customWidth="1"/>
    <col min="12279" max="12279" width="14.85546875" style="675" customWidth="1"/>
    <col min="12280" max="12280" width="17.140625" style="675" customWidth="1"/>
    <col min="12281" max="12281" width="13.5703125" style="675" customWidth="1"/>
    <col min="12282" max="12283" width="14.85546875" style="675" customWidth="1"/>
    <col min="12284" max="12284" width="18.85546875" style="675" customWidth="1"/>
    <col min="12285" max="12285" width="19.42578125" style="675" customWidth="1"/>
    <col min="12286" max="12286" width="16.140625" style="675" customWidth="1"/>
    <col min="12287" max="12287" width="14.5703125" style="675" customWidth="1"/>
    <col min="12288" max="12288" width="20.28515625" style="675" customWidth="1"/>
    <col min="12289" max="12289" width="13.85546875" style="675" customWidth="1"/>
    <col min="12290" max="12290" width="19.140625" style="675" customWidth="1"/>
    <col min="12291" max="12291" width="19.7109375" style="675" customWidth="1"/>
    <col min="12292" max="12292" width="16.5703125" style="675" customWidth="1"/>
    <col min="12293" max="12293" width="19.140625" style="675" customWidth="1"/>
    <col min="12294" max="12296" width="16.5703125" style="675" customWidth="1"/>
    <col min="12297" max="12297" width="15.7109375" style="675" customWidth="1"/>
    <col min="12298" max="12298" width="19.42578125" style="675" customWidth="1"/>
    <col min="12299" max="12299" width="14.85546875" style="675" bestFit="1" customWidth="1"/>
    <col min="12300" max="12300" width="13.7109375" style="675" bestFit="1" customWidth="1"/>
    <col min="12301" max="12301" width="13" style="675" customWidth="1"/>
    <col min="12302" max="12302" width="18.42578125" style="675" customWidth="1"/>
    <col min="12303" max="12305" width="13.140625" style="675" customWidth="1"/>
    <col min="12306" max="12306" width="16.42578125" style="675" customWidth="1"/>
    <col min="12307" max="12307" width="13.140625" style="675" customWidth="1"/>
    <col min="12308" max="12308" width="15.28515625" style="675" customWidth="1"/>
    <col min="12309" max="12309" width="14" style="675" bestFit="1" customWidth="1"/>
    <col min="12310" max="12310" width="17.140625" style="675" customWidth="1"/>
    <col min="12311" max="12332" width="16.5703125" style="675" customWidth="1"/>
    <col min="12333" max="12333" width="20.140625" style="675" customWidth="1"/>
    <col min="12334" max="12334" width="13.28515625" style="675" customWidth="1"/>
    <col min="12335" max="12335" width="14.85546875" style="675" customWidth="1"/>
    <col min="12336" max="12336" width="13.85546875" style="675" customWidth="1"/>
    <col min="12337" max="12337" width="13.5703125" style="675" customWidth="1"/>
    <col min="12338" max="12338" width="13" style="675" customWidth="1"/>
    <col min="12339" max="12339" width="13.5703125" style="675" customWidth="1"/>
    <col min="12340" max="12340" width="7.7109375" style="675" bestFit="1" customWidth="1"/>
    <col min="12341" max="12510" width="9.140625" style="675"/>
    <col min="12511" max="12511" width="4.28515625" style="675" customWidth="1"/>
    <col min="12512" max="12512" width="10.140625" style="675" customWidth="1"/>
    <col min="12513" max="12513" width="8.85546875" style="675" customWidth="1"/>
    <col min="12514" max="12514" width="11.140625" style="675" customWidth="1"/>
    <col min="12515" max="12515" width="15" style="675" bestFit="1" customWidth="1"/>
    <col min="12516" max="12516" width="13.5703125" style="675" customWidth="1"/>
    <col min="12517" max="12517" width="11.42578125" style="675" bestFit="1" customWidth="1"/>
    <col min="12518" max="12518" width="11.28515625" style="675" customWidth="1"/>
    <col min="12519" max="12519" width="15.28515625" style="675" bestFit="1" customWidth="1"/>
    <col min="12520" max="12522" width="11.85546875" style="675" customWidth="1"/>
    <col min="12523" max="12523" width="19.140625" style="675" customWidth="1"/>
    <col min="12524" max="12524" width="15" style="675" customWidth="1"/>
    <col min="12525" max="12525" width="15.28515625" style="675" customWidth="1"/>
    <col min="12526" max="12528" width="18.85546875" style="675" customWidth="1"/>
    <col min="12529" max="12529" width="12.7109375" style="675" customWidth="1"/>
    <col min="12530" max="12530" width="13.7109375" style="675" customWidth="1"/>
    <col min="12531" max="12531" width="16.140625" style="675" customWidth="1"/>
    <col min="12532" max="12532" width="17" style="675" customWidth="1"/>
    <col min="12533" max="12533" width="15" style="675" customWidth="1"/>
    <col min="12534" max="12534" width="14.28515625" style="675" customWidth="1"/>
    <col min="12535" max="12535" width="14.85546875" style="675" customWidth="1"/>
    <col min="12536" max="12536" width="17.140625" style="675" customWidth="1"/>
    <col min="12537" max="12537" width="13.5703125" style="675" customWidth="1"/>
    <col min="12538" max="12539" width="14.85546875" style="675" customWidth="1"/>
    <col min="12540" max="12540" width="18.85546875" style="675" customWidth="1"/>
    <col min="12541" max="12541" width="19.42578125" style="675" customWidth="1"/>
    <col min="12542" max="12542" width="16.140625" style="675" customWidth="1"/>
    <col min="12543" max="12543" width="14.5703125" style="675" customWidth="1"/>
    <col min="12544" max="12544" width="20.28515625" style="675" customWidth="1"/>
    <col min="12545" max="12545" width="13.85546875" style="675" customWidth="1"/>
    <col min="12546" max="12546" width="19.140625" style="675" customWidth="1"/>
    <col min="12547" max="12547" width="19.7109375" style="675" customWidth="1"/>
    <col min="12548" max="12548" width="16.5703125" style="675" customWidth="1"/>
    <col min="12549" max="12549" width="19.140625" style="675" customWidth="1"/>
    <col min="12550" max="12552" width="16.5703125" style="675" customWidth="1"/>
    <col min="12553" max="12553" width="15.7109375" style="675" customWidth="1"/>
    <col min="12554" max="12554" width="19.42578125" style="675" customWidth="1"/>
    <col min="12555" max="12555" width="14.85546875" style="675" bestFit="1" customWidth="1"/>
    <col min="12556" max="12556" width="13.7109375" style="675" bestFit="1" customWidth="1"/>
    <col min="12557" max="12557" width="13" style="675" customWidth="1"/>
    <col min="12558" max="12558" width="18.42578125" style="675" customWidth="1"/>
    <col min="12559" max="12561" width="13.140625" style="675" customWidth="1"/>
    <col min="12562" max="12562" width="16.42578125" style="675" customWidth="1"/>
    <col min="12563" max="12563" width="13.140625" style="675" customWidth="1"/>
    <col min="12564" max="12564" width="15.28515625" style="675" customWidth="1"/>
    <col min="12565" max="12565" width="14" style="675" bestFit="1" customWidth="1"/>
    <col min="12566" max="12566" width="17.140625" style="675" customWidth="1"/>
    <col min="12567" max="12588" width="16.5703125" style="675" customWidth="1"/>
    <col min="12589" max="12589" width="20.140625" style="675" customWidth="1"/>
    <col min="12590" max="12590" width="13.28515625" style="675" customWidth="1"/>
    <col min="12591" max="12591" width="14.85546875" style="675" customWidth="1"/>
    <col min="12592" max="12592" width="13.85546875" style="675" customWidth="1"/>
    <col min="12593" max="12593" width="13.5703125" style="675" customWidth="1"/>
    <col min="12594" max="12594" width="13" style="675" customWidth="1"/>
    <col min="12595" max="12595" width="13.5703125" style="675" customWidth="1"/>
    <col min="12596" max="12596" width="7.7109375" style="675" bestFit="1" customWidth="1"/>
    <col min="12597" max="12766" width="9.140625" style="675"/>
    <col min="12767" max="12767" width="4.28515625" style="675" customWidth="1"/>
    <col min="12768" max="12768" width="10.140625" style="675" customWidth="1"/>
    <col min="12769" max="12769" width="8.85546875" style="675" customWidth="1"/>
    <col min="12770" max="12770" width="11.140625" style="675" customWidth="1"/>
    <col min="12771" max="12771" width="15" style="675" bestFit="1" customWidth="1"/>
    <col min="12772" max="12772" width="13.5703125" style="675" customWidth="1"/>
    <col min="12773" max="12773" width="11.42578125" style="675" bestFit="1" customWidth="1"/>
    <col min="12774" max="12774" width="11.28515625" style="675" customWidth="1"/>
    <col min="12775" max="12775" width="15.28515625" style="675" bestFit="1" customWidth="1"/>
    <col min="12776" max="12778" width="11.85546875" style="675" customWidth="1"/>
    <col min="12779" max="12779" width="19.140625" style="675" customWidth="1"/>
    <col min="12780" max="12780" width="15" style="675" customWidth="1"/>
    <col min="12781" max="12781" width="15.28515625" style="675" customWidth="1"/>
    <col min="12782" max="12784" width="18.85546875" style="675" customWidth="1"/>
    <col min="12785" max="12785" width="12.7109375" style="675" customWidth="1"/>
    <col min="12786" max="12786" width="13.7109375" style="675" customWidth="1"/>
    <col min="12787" max="12787" width="16.140625" style="675" customWidth="1"/>
    <col min="12788" max="12788" width="17" style="675" customWidth="1"/>
    <col min="12789" max="12789" width="15" style="675" customWidth="1"/>
    <col min="12790" max="12790" width="14.28515625" style="675" customWidth="1"/>
    <col min="12791" max="12791" width="14.85546875" style="675" customWidth="1"/>
    <col min="12792" max="12792" width="17.140625" style="675" customWidth="1"/>
    <col min="12793" max="12793" width="13.5703125" style="675" customWidth="1"/>
    <col min="12794" max="12795" width="14.85546875" style="675" customWidth="1"/>
    <col min="12796" max="12796" width="18.85546875" style="675" customWidth="1"/>
    <col min="12797" max="12797" width="19.42578125" style="675" customWidth="1"/>
    <col min="12798" max="12798" width="16.140625" style="675" customWidth="1"/>
    <col min="12799" max="12799" width="14.5703125" style="675" customWidth="1"/>
    <col min="12800" max="12800" width="20.28515625" style="675" customWidth="1"/>
    <col min="12801" max="12801" width="13.85546875" style="675" customWidth="1"/>
    <col min="12802" max="12802" width="19.140625" style="675" customWidth="1"/>
    <col min="12803" max="12803" width="19.7109375" style="675" customWidth="1"/>
    <col min="12804" max="12804" width="16.5703125" style="675" customWidth="1"/>
    <col min="12805" max="12805" width="19.140625" style="675" customWidth="1"/>
    <col min="12806" max="12808" width="16.5703125" style="675" customWidth="1"/>
    <col min="12809" max="12809" width="15.7109375" style="675" customWidth="1"/>
    <col min="12810" max="12810" width="19.42578125" style="675" customWidth="1"/>
    <col min="12811" max="12811" width="14.85546875" style="675" bestFit="1" customWidth="1"/>
    <col min="12812" max="12812" width="13.7109375" style="675" bestFit="1" customWidth="1"/>
    <col min="12813" max="12813" width="13" style="675" customWidth="1"/>
    <col min="12814" max="12814" width="18.42578125" style="675" customWidth="1"/>
    <col min="12815" max="12817" width="13.140625" style="675" customWidth="1"/>
    <col min="12818" max="12818" width="16.42578125" style="675" customWidth="1"/>
    <col min="12819" max="12819" width="13.140625" style="675" customWidth="1"/>
    <col min="12820" max="12820" width="15.28515625" style="675" customWidth="1"/>
    <col min="12821" max="12821" width="14" style="675" bestFit="1" customWidth="1"/>
    <col min="12822" max="12822" width="17.140625" style="675" customWidth="1"/>
    <col min="12823" max="12844" width="16.5703125" style="675" customWidth="1"/>
    <col min="12845" max="12845" width="20.140625" style="675" customWidth="1"/>
    <col min="12846" max="12846" width="13.28515625" style="675" customWidth="1"/>
    <col min="12847" max="12847" width="14.85546875" style="675" customWidth="1"/>
    <col min="12848" max="12848" width="13.85546875" style="675" customWidth="1"/>
    <col min="12849" max="12849" width="13.5703125" style="675" customWidth="1"/>
    <col min="12850" max="12850" width="13" style="675" customWidth="1"/>
    <col min="12851" max="12851" width="13.5703125" style="675" customWidth="1"/>
    <col min="12852" max="12852" width="7.7109375" style="675" bestFit="1" customWidth="1"/>
    <col min="12853" max="13022" width="9.140625" style="675"/>
    <col min="13023" max="13023" width="4.28515625" style="675" customWidth="1"/>
    <col min="13024" max="13024" width="10.140625" style="675" customWidth="1"/>
    <col min="13025" max="13025" width="8.85546875" style="675" customWidth="1"/>
    <col min="13026" max="13026" width="11.140625" style="675" customWidth="1"/>
    <col min="13027" max="13027" width="15" style="675" bestFit="1" customWidth="1"/>
    <col min="13028" max="13028" width="13.5703125" style="675" customWidth="1"/>
    <col min="13029" max="13029" width="11.42578125" style="675" bestFit="1" customWidth="1"/>
    <col min="13030" max="13030" width="11.28515625" style="675" customWidth="1"/>
    <col min="13031" max="13031" width="15.28515625" style="675" bestFit="1" customWidth="1"/>
    <col min="13032" max="13034" width="11.85546875" style="675" customWidth="1"/>
    <col min="13035" max="13035" width="19.140625" style="675" customWidth="1"/>
    <col min="13036" max="13036" width="15" style="675" customWidth="1"/>
    <col min="13037" max="13037" width="15.28515625" style="675" customWidth="1"/>
    <col min="13038" max="13040" width="18.85546875" style="675" customWidth="1"/>
    <col min="13041" max="13041" width="12.7109375" style="675" customWidth="1"/>
    <col min="13042" max="13042" width="13.7109375" style="675" customWidth="1"/>
    <col min="13043" max="13043" width="16.140625" style="675" customWidth="1"/>
    <col min="13044" max="13044" width="17" style="675" customWidth="1"/>
    <col min="13045" max="13045" width="15" style="675" customWidth="1"/>
    <col min="13046" max="13046" width="14.28515625" style="675" customWidth="1"/>
    <col min="13047" max="13047" width="14.85546875" style="675" customWidth="1"/>
    <col min="13048" max="13048" width="17.140625" style="675" customWidth="1"/>
    <col min="13049" max="13049" width="13.5703125" style="675" customWidth="1"/>
    <col min="13050" max="13051" width="14.85546875" style="675" customWidth="1"/>
    <col min="13052" max="13052" width="18.85546875" style="675" customWidth="1"/>
    <col min="13053" max="13053" width="19.42578125" style="675" customWidth="1"/>
    <col min="13054" max="13054" width="16.140625" style="675" customWidth="1"/>
    <col min="13055" max="13055" width="14.5703125" style="675" customWidth="1"/>
    <col min="13056" max="13056" width="20.28515625" style="675" customWidth="1"/>
    <col min="13057" max="13057" width="13.85546875" style="675" customWidth="1"/>
    <col min="13058" max="13058" width="19.140625" style="675" customWidth="1"/>
    <col min="13059" max="13059" width="19.7109375" style="675" customWidth="1"/>
    <col min="13060" max="13060" width="16.5703125" style="675" customWidth="1"/>
    <col min="13061" max="13061" width="19.140625" style="675" customWidth="1"/>
    <col min="13062" max="13064" width="16.5703125" style="675" customWidth="1"/>
    <col min="13065" max="13065" width="15.7109375" style="675" customWidth="1"/>
    <col min="13066" max="13066" width="19.42578125" style="675" customWidth="1"/>
    <col min="13067" max="13067" width="14.85546875" style="675" bestFit="1" customWidth="1"/>
    <col min="13068" max="13068" width="13.7109375" style="675" bestFit="1" customWidth="1"/>
    <col min="13069" max="13069" width="13" style="675" customWidth="1"/>
    <col min="13070" max="13070" width="18.42578125" style="675" customWidth="1"/>
    <col min="13071" max="13073" width="13.140625" style="675" customWidth="1"/>
    <col min="13074" max="13074" width="16.42578125" style="675" customWidth="1"/>
    <col min="13075" max="13075" width="13.140625" style="675" customWidth="1"/>
    <col min="13076" max="13076" width="15.28515625" style="675" customWidth="1"/>
    <col min="13077" max="13077" width="14" style="675" bestFit="1" customWidth="1"/>
    <col min="13078" max="13078" width="17.140625" style="675" customWidth="1"/>
    <col min="13079" max="13100" width="16.5703125" style="675" customWidth="1"/>
    <col min="13101" max="13101" width="20.140625" style="675" customWidth="1"/>
    <col min="13102" max="13102" width="13.28515625" style="675" customWidth="1"/>
    <col min="13103" max="13103" width="14.85546875" style="675" customWidth="1"/>
    <col min="13104" max="13104" width="13.85546875" style="675" customWidth="1"/>
    <col min="13105" max="13105" width="13.5703125" style="675" customWidth="1"/>
    <col min="13106" max="13106" width="13" style="675" customWidth="1"/>
    <col min="13107" max="13107" width="13.5703125" style="675" customWidth="1"/>
    <col min="13108" max="13108" width="7.7109375" style="675" bestFit="1" customWidth="1"/>
    <col min="13109" max="13278" width="9.140625" style="675"/>
    <col min="13279" max="13279" width="4.28515625" style="675" customWidth="1"/>
    <col min="13280" max="13280" width="10.140625" style="675" customWidth="1"/>
    <col min="13281" max="13281" width="8.85546875" style="675" customWidth="1"/>
    <col min="13282" max="13282" width="11.140625" style="675" customWidth="1"/>
    <col min="13283" max="13283" width="15" style="675" bestFit="1" customWidth="1"/>
    <col min="13284" max="13284" width="13.5703125" style="675" customWidth="1"/>
    <col min="13285" max="13285" width="11.42578125" style="675" bestFit="1" customWidth="1"/>
    <col min="13286" max="13286" width="11.28515625" style="675" customWidth="1"/>
    <col min="13287" max="13287" width="15.28515625" style="675" bestFit="1" customWidth="1"/>
    <col min="13288" max="13290" width="11.85546875" style="675" customWidth="1"/>
    <col min="13291" max="13291" width="19.140625" style="675" customWidth="1"/>
    <col min="13292" max="13292" width="15" style="675" customWidth="1"/>
    <col min="13293" max="13293" width="15.28515625" style="675" customWidth="1"/>
    <col min="13294" max="13296" width="18.85546875" style="675" customWidth="1"/>
    <col min="13297" max="13297" width="12.7109375" style="675" customWidth="1"/>
    <col min="13298" max="13298" width="13.7109375" style="675" customWidth="1"/>
    <col min="13299" max="13299" width="16.140625" style="675" customWidth="1"/>
    <col min="13300" max="13300" width="17" style="675" customWidth="1"/>
    <col min="13301" max="13301" width="15" style="675" customWidth="1"/>
    <col min="13302" max="13302" width="14.28515625" style="675" customWidth="1"/>
    <col min="13303" max="13303" width="14.85546875" style="675" customWidth="1"/>
    <col min="13304" max="13304" width="17.140625" style="675" customWidth="1"/>
    <col min="13305" max="13305" width="13.5703125" style="675" customWidth="1"/>
    <col min="13306" max="13307" width="14.85546875" style="675" customWidth="1"/>
    <col min="13308" max="13308" width="18.85546875" style="675" customWidth="1"/>
    <col min="13309" max="13309" width="19.42578125" style="675" customWidth="1"/>
    <col min="13310" max="13310" width="16.140625" style="675" customWidth="1"/>
    <col min="13311" max="13311" width="14.5703125" style="675" customWidth="1"/>
    <col min="13312" max="13312" width="20.28515625" style="675" customWidth="1"/>
    <col min="13313" max="13313" width="13.85546875" style="675" customWidth="1"/>
    <col min="13314" max="13314" width="19.140625" style="675" customWidth="1"/>
    <col min="13315" max="13315" width="19.7109375" style="675" customWidth="1"/>
    <col min="13316" max="13316" width="16.5703125" style="675" customWidth="1"/>
    <col min="13317" max="13317" width="19.140625" style="675" customWidth="1"/>
    <col min="13318" max="13320" width="16.5703125" style="675" customWidth="1"/>
    <col min="13321" max="13321" width="15.7109375" style="675" customWidth="1"/>
    <col min="13322" max="13322" width="19.42578125" style="675" customWidth="1"/>
    <col min="13323" max="13323" width="14.85546875" style="675" bestFit="1" customWidth="1"/>
    <col min="13324" max="13324" width="13.7109375" style="675" bestFit="1" customWidth="1"/>
    <col min="13325" max="13325" width="13" style="675" customWidth="1"/>
    <col min="13326" max="13326" width="18.42578125" style="675" customWidth="1"/>
    <col min="13327" max="13329" width="13.140625" style="675" customWidth="1"/>
    <col min="13330" max="13330" width="16.42578125" style="675" customWidth="1"/>
    <col min="13331" max="13331" width="13.140625" style="675" customWidth="1"/>
    <col min="13332" max="13332" width="15.28515625" style="675" customWidth="1"/>
    <col min="13333" max="13333" width="14" style="675" bestFit="1" customWidth="1"/>
    <col min="13334" max="13334" width="17.140625" style="675" customWidth="1"/>
    <col min="13335" max="13356" width="16.5703125" style="675" customWidth="1"/>
    <col min="13357" max="13357" width="20.140625" style="675" customWidth="1"/>
    <col min="13358" max="13358" width="13.28515625" style="675" customWidth="1"/>
    <col min="13359" max="13359" width="14.85546875" style="675" customWidth="1"/>
    <col min="13360" max="13360" width="13.85546875" style="675" customWidth="1"/>
    <col min="13361" max="13361" width="13.5703125" style="675" customWidth="1"/>
    <col min="13362" max="13362" width="13" style="675" customWidth="1"/>
    <col min="13363" max="13363" width="13.5703125" style="675" customWidth="1"/>
    <col min="13364" max="13364" width="7.7109375" style="675" bestFit="1" customWidth="1"/>
    <col min="13365" max="13534" width="9.140625" style="675"/>
    <col min="13535" max="13535" width="4.28515625" style="675" customWidth="1"/>
    <col min="13536" max="13536" width="10.140625" style="675" customWidth="1"/>
    <col min="13537" max="13537" width="8.85546875" style="675" customWidth="1"/>
    <col min="13538" max="13538" width="11.140625" style="675" customWidth="1"/>
    <col min="13539" max="13539" width="15" style="675" bestFit="1" customWidth="1"/>
    <col min="13540" max="13540" width="13.5703125" style="675" customWidth="1"/>
    <col min="13541" max="13541" width="11.42578125" style="675" bestFit="1" customWidth="1"/>
    <col min="13542" max="13542" width="11.28515625" style="675" customWidth="1"/>
    <col min="13543" max="13543" width="15.28515625" style="675" bestFit="1" customWidth="1"/>
    <col min="13544" max="13546" width="11.85546875" style="675" customWidth="1"/>
    <col min="13547" max="13547" width="19.140625" style="675" customWidth="1"/>
    <col min="13548" max="13548" width="15" style="675" customWidth="1"/>
    <col min="13549" max="13549" width="15.28515625" style="675" customWidth="1"/>
    <col min="13550" max="13552" width="18.85546875" style="675" customWidth="1"/>
    <col min="13553" max="13553" width="12.7109375" style="675" customWidth="1"/>
    <col min="13554" max="13554" width="13.7109375" style="675" customWidth="1"/>
    <col min="13555" max="13555" width="16.140625" style="675" customWidth="1"/>
    <col min="13556" max="13556" width="17" style="675" customWidth="1"/>
    <col min="13557" max="13557" width="15" style="675" customWidth="1"/>
    <col min="13558" max="13558" width="14.28515625" style="675" customWidth="1"/>
    <col min="13559" max="13559" width="14.85546875" style="675" customWidth="1"/>
    <col min="13560" max="13560" width="17.140625" style="675" customWidth="1"/>
    <col min="13561" max="13561" width="13.5703125" style="675" customWidth="1"/>
    <col min="13562" max="13563" width="14.85546875" style="675" customWidth="1"/>
    <col min="13564" max="13564" width="18.85546875" style="675" customWidth="1"/>
    <col min="13565" max="13565" width="19.42578125" style="675" customWidth="1"/>
    <col min="13566" max="13566" width="16.140625" style="675" customWidth="1"/>
    <col min="13567" max="13567" width="14.5703125" style="675" customWidth="1"/>
    <col min="13568" max="13568" width="20.28515625" style="675" customWidth="1"/>
    <col min="13569" max="13569" width="13.85546875" style="675" customWidth="1"/>
    <col min="13570" max="13570" width="19.140625" style="675" customWidth="1"/>
    <col min="13571" max="13571" width="19.7109375" style="675" customWidth="1"/>
    <col min="13572" max="13572" width="16.5703125" style="675" customWidth="1"/>
    <col min="13573" max="13573" width="19.140625" style="675" customWidth="1"/>
    <col min="13574" max="13576" width="16.5703125" style="675" customWidth="1"/>
    <col min="13577" max="13577" width="15.7109375" style="675" customWidth="1"/>
    <col min="13578" max="13578" width="19.42578125" style="675" customWidth="1"/>
    <col min="13579" max="13579" width="14.85546875" style="675" bestFit="1" customWidth="1"/>
    <col min="13580" max="13580" width="13.7109375" style="675" bestFit="1" customWidth="1"/>
    <col min="13581" max="13581" width="13" style="675" customWidth="1"/>
    <col min="13582" max="13582" width="18.42578125" style="675" customWidth="1"/>
    <col min="13583" max="13585" width="13.140625" style="675" customWidth="1"/>
    <col min="13586" max="13586" width="16.42578125" style="675" customWidth="1"/>
    <col min="13587" max="13587" width="13.140625" style="675" customWidth="1"/>
    <col min="13588" max="13588" width="15.28515625" style="675" customWidth="1"/>
    <col min="13589" max="13589" width="14" style="675" bestFit="1" customWidth="1"/>
    <col min="13590" max="13590" width="17.140625" style="675" customWidth="1"/>
    <col min="13591" max="13612" width="16.5703125" style="675" customWidth="1"/>
    <col min="13613" max="13613" width="20.140625" style="675" customWidth="1"/>
    <col min="13614" max="13614" width="13.28515625" style="675" customWidth="1"/>
    <col min="13615" max="13615" width="14.85546875" style="675" customWidth="1"/>
    <col min="13616" max="13616" width="13.85546875" style="675" customWidth="1"/>
    <col min="13617" max="13617" width="13.5703125" style="675" customWidth="1"/>
    <col min="13618" max="13618" width="13" style="675" customWidth="1"/>
    <col min="13619" max="13619" width="13.5703125" style="675" customWidth="1"/>
    <col min="13620" max="13620" width="7.7109375" style="675" bestFit="1" customWidth="1"/>
    <col min="13621" max="13790" width="9.140625" style="675"/>
    <col min="13791" max="13791" width="4.28515625" style="675" customWidth="1"/>
    <col min="13792" max="13792" width="10.140625" style="675" customWidth="1"/>
    <col min="13793" max="13793" width="8.85546875" style="675" customWidth="1"/>
    <col min="13794" max="13794" width="11.140625" style="675" customWidth="1"/>
    <col min="13795" max="13795" width="15" style="675" bestFit="1" customWidth="1"/>
    <col min="13796" max="13796" width="13.5703125" style="675" customWidth="1"/>
    <col min="13797" max="13797" width="11.42578125" style="675" bestFit="1" customWidth="1"/>
    <col min="13798" max="13798" width="11.28515625" style="675" customWidth="1"/>
    <col min="13799" max="13799" width="15.28515625" style="675" bestFit="1" customWidth="1"/>
    <col min="13800" max="13802" width="11.85546875" style="675" customWidth="1"/>
    <col min="13803" max="13803" width="19.140625" style="675" customWidth="1"/>
    <col min="13804" max="13804" width="15" style="675" customWidth="1"/>
    <col min="13805" max="13805" width="15.28515625" style="675" customWidth="1"/>
    <col min="13806" max="13808" width="18.85546875" style="675" customWidth="1"/>
    <col min="13809" max="13809" width="12.7109375" style="675" customWidth="1"/>
    <col min="13810" max="13810" width="13.7109375" style="675" customWidth="1"/>
    <col min="13811" max="13811" width="16.140625" style="675" customWidth="1"/>
    <col min="13812" max="13812" width="17" style="675" customWidth="1"/>
    <col min="13813" max="13813" width="15" style="675" customWidth="1"/>
    <col min="13814" max="13814" width="14.28515625" style="675" customWidth="1"/>
    <col min="13815" max="13815" width="14.85546875" style="675" customWidth="1"/>
    <col min="13816" max="13816" width="17.140625" style="675" customWidth="1"/>
    <col min="13817" max="13817" width="13.5703125" style="675" customWidth="1"/>
    <col min="13818" max="13819" width="14.85546875" style="675" customWidth="1"/>
    <col min="13820" max="13820" width="18.85546875" style="675" customWidth="1"/>
    <col min="13821" max="13821" width="19.42578125" style="675" customWidth="1"/>
    <col min="13822" max="13822" width="16.140625" style="675" customWidth="1"/>
    <col min="13823" max="13823" width="14.5703125" style="675" customWidth="1"/>
    <col min="13824" max="13824" width="20.28515625" style="675" customWidth="1"/>
    <col min="13825" max="13825" width="13.85546875" style="675" customWidth="1"/>
    <col min="13826" max="13826" width="19.140625" style="675" customWidth="1"/>
    <col min="13827" max="13827" width="19.7109375" style="675" customWidth="1"/>
    <col min="13828" max="13828" width="16.5703125" style="675" customWidth="1"/>
    <col min="13829" max="13829" width="19.140625" style="675" customWidth="1"/>
    <col min="13830" max="13832" width="16.5703125" style="675" customWidth="1"/>
    <col min="13833" max="13833" width="15.7109375" style="675" customWidth="1"/>
    <col min="13834" max="13834" width="19.42578125" style="675" customWidth="1"/>
    <col min="13835" max="13835" width="14.85546875" style="675" bestFit="1" customWidth="1"/>
    <col min="13836" max="13836" width="13.7109375" style="675" bestFit="1" customWidth="1"/>
    <col min="13837" max="13837" width="13" style="675" customWidth="1"/>
    <col min="13838" max="13838" width="18.42578125" style="675" customWidth="1"/>
    <col min="13839" max="13841" width="13.140625" style="675" customWidth="1"/>
    <col min="13842" max="13842" width="16.42578125" style="675" customWidth="1"/>
    <col min="13843" max="13843" width="13.140625" style="675" customWidth="1"/>
    <col min="13844" max="13844" width="15.28515625" style="675" customWidth="1"/>
    <col min="13845" max="13845" width="14" style="675" bestFit="1" customWidth="1"/>
    <col min="13846" max="13846" width="17.140625" style="675" customWidth="1"/>
    <col min="13847" max="13868" width="16.5703125" style="675" customWidth="1"/>
    <col min="13869" max="13869" width="20.140625" style="675" customWidth="1"/>
    <col min="13870" max="13870" width="13.28515625" style="675" customWidth="1"/>
    <col min="13871" max="13871" width="14.85546875" style="675" customWidth="1"/>
    <col min="13872" max="13872" width="13.85546875" style="675" customWidth="1"/>
    <col min="13873" max="13873" width="13.5703125" style="675" customWidth="1"/>
    <col min="13874" max="13874" width="13" style="675" customWidth="1"/>
    <col min="13875" max="13875" width="13.5703125" style="675" customWidth="1"/>
    <col min="13876" max="13876" width="7.7109375" style="675" bestFit="1" customWidth="1"/>
    <col min="13877" max="14046" width="9.140625" style="675"/>
    <col min="14047" max="14047" width="4.28515625" style="675" customWidth="1"/>
    <col min="14048" max="14048" width="10.140625" style="675" customWidth="1"/>
    <col min="14049" max="14049" width="8.85546875" style="675" customWidth="1"/>
    <col min="14050" max="14050" width="11.140625" style="675" customWidth="1"/>
    <col min="14051" max="14051" width="15" style="675" bestFit="1" customWidth="1"/>
    <col min="14052" max="14052" width="13.5703125" style="675" customWidth="1"/>
    <col min="14053" max="14053" width="11.42578125" style="675" bestFit="1" customWidth="1"/>
    <col min="14054" max="14054" width="11.28515625" style="675" customWidth="1"/>
    <col min="14055" max="14055" width="15.28515625" style="675" bestFit="1" customWidth="1"/>
    <col min="14056" max="14058" width="11.85546875" style="675" customWidth="1"/>
    <col min="14059" max="14059" width="19.140625" style="675" customWidth="1"/>
    <col min="14060" max="14060" width="15" style="675" customWidth="1"/>
    <col min="14061" max="14061" width="15.28515625" style="675" customWidth="1"/>
    <col min="14062" max="14064" width="18.85546875" style="675" customWidth="1"/>
    <col min="14065" max="14065" width="12.7109375" style="675" customWidth="1"/>
    <col min="14066" max="14066" width="13.7109375" style="675" customWidth="1"/>
    <col min="14067" max="14067" width="16.140625" style="675" customWidth="1"/>
    <col min="14068" max="14068" width="17" style="675" customWidth="1"/>
    <col min="14069" max="14069" width="15" style="675" customWidth="1"/>
    <col min="14070" max="14070" width="14.28515625" style="675" customWidth="1"/>
    <col min="14071" max="14071" width="14.85546875" style="675" customWidth="1"/>
    <col min="14072" max="14072" width="17.140625" style="675" customWidth="1"/>
    <col min="14073" max="14073" width="13.5703125" style="675" customWidth="1"/>
    <col min="14074" max="14075" width="14.85546875" style="675" customWidth="1"/>
    <col min="14076" max="14076" width="18.85546875" style="675" customWidth="1"/>
    <col min="14077" max="14077" width="19.42578125" style="675" customWidth="1"/>
    <col min="14078" max="14078" width="16.140625" style="675" customWidth="1"/>
    <col min="14079" max="14079" width="14.5703125" style="675" customWidth="1"/>
    <col min="14080" max="14080" width="20.28515625" style="675" customWidth="1"/>
    <col min="14081" max="14081" width="13.85546875" style="675" customWidth="1"/>
    <col min="14082" max="14082" width="19.140625" style="675" customWidth="1"/>
    <col min="14083" max="14083" width="19.7109375" style="675" customWidth="1"/>
    <col min="14084" max="14084" width="16.5703125" style="675" customWidth="1"/>
    <col min="14085" max="14085" width="19.140625" style="675" customWidth="1"/>
    <col min="14086" max="14088" width="16.5703125" style="675" customWidth="1"/>
    <col min="14089" max="14089" width="15.7109375" style="675" customWidth="1"/>
    <col min="14090" max="14090" width="19.42578125" style="675" customWidth="1"/>
    <col min="14091" max="14091" width="14.85546875" style="675" bestFit="1" customWidth="1"/>
    <col min="14092" max="14092" width="13.7109375" style="675" bestFit="1" customWidth="1"/>
    <col min="14093" max="14093" width="13" style="675" customWidth="1"/>
    <col min="14094" max="14094" width="18.42578125" style="675" customWidth="1"/>
    <col min="14095" max="14097" width="13.140625" style="675" customWidth="1"/>
    <col min="14098" max="14098" width="16.42578125" style="675" customWidth="1"/>
    <col min="14099" max="14099" width="13.140625" style="675" customWidth="1"/>
    <col min="14100" max="14100" width="15.28515625" style="675" customWidth="1"/>
    <col min="14101" max="14101" width="14" style="675" bestFit="1" customWidth="1"/>
    <col min="14102" max="14102" width="17.140625" style="675" customWidth="1"/>
    <col min="14103" max="14124" width="16.5703125" style="675" customWidth="1"/>
    <col min="14125" max="14125" width="20.140625" style="675" customWidth="1"/>
    <col min="14126" max="14126" width="13.28515625" style="675" customWidth="1"/>
    <col min="14127" max="14127" width="14.85546875" style="675" customWidth="1"/>
    <col min="14128" max="14128" width="13.85546875" style="675" customWidth="1"/>
    <col min="14129" max="14129" width="13.5703125" style="675" customWidth="1"/>
    <col min="14130" max="14130" width="13" style="675" customWidth="1"/>
    <col min="14131" max="14131" width="13.5703125" style="675" customWidth="1"/>
    <col min="14132" max="14132" width="7.7109375" style="675" bestFit="1" customWidth="1"/>
    <col min="14133" max="14302" width="9.140625" style="675"/>
    <col min="14303" max="14303" width="4.28515625" style="675" customWidth="1"/>
    <col min="14304" max="14304" width="10.140625" style="675" customWidth="1"/>
    <col min="14305" max="14305" width="8.85546875" style="675" customWidth="1"/>
    <col min="14306" max="14306" width="11.140625" style="675" customWidth="1"/>
    <col min="14307" max="14307" width="15" style="675" bestFit="1" customWidth="1"/>
    <col min="14308" max="14308" width="13.5703125" style="675" customWidth="1"/>
    <col min="14309" max="14309" width="11.42578125" style="675" bestFit="1" customWidth="1"/>
    <col min="14310" max="14310" width="11.28515625" style="675" customWidth="1"/>
    <col min="14311" max="14311" width="15.28515625" style="675" bestFit="1" customWidth="1"/>
    <col min="14312" max="14314" width="11.85546875" style="675" customWidth="1"/>
    <col min="14315" max="14315" width="19.140625" style="675" customWidth="1"/>
    <col min="14316" max="14316" width="15" style="675" customWidth="1"/>
    <col min="14317" max="14317" width="15.28515625" style="675" customWidth="1"/>
    <col min="14318" max="14320" width="18.85546875" style="675" customWidth="1"/>
    <col min="14321" max="14321" width="12.7109375" style="675" customWidth="1"/>
    <col min="14322" max="14322" width="13.7109375" style="675" customWidth="1"/>
    <col min="14323" max="14323" width="16.140625" style="675" customWidth="1"/>
    <col min="14324" max="14324" width="17" style="675" customWidth="1"/>
    <col min="14325" max="14325" width="15" style="675" customWidth="1"/>
    <col min="14326" max="14326" width="14.28515625" style="675" customWidth="1"/>
    <col min="14327" max="14327" width="14.85546875" style="675" customWidth="1"/>
    <col min="14328" max="14328" width="17.140625" style="675" customWidth="1"/>
    <col min="14329" max="14329" width="13.5703125" style="675" customWidth="1"/>
    <col min="14330" max="14331" width="14.85546875" style="675" customWidth="1"/>
    <col min="14332" max="14332" width="18.85546875" style="675" customWidth="1"/>
    <col min="14333" max="14333" width="19.42578125" style="675" customWidth="1"/>
    <col min="14334" max="14334" width="16.140625" style="675" customWidth="1"/>
    <col min="14335" max="14335" width="14.5703125" style="675" customWidth="1"/>
    <col min="14336" max="14336" width="20.28515625" style="675" customWidth="1"/>
    <col min="14337" max="14337" width="13.85546875" style="675" customWidth="1"/>
    <col min="14338" max="14338" width="19.140625" style="675" customWidth="1"/>
    <col min="14339" max="14339" width="19.7109375" style="675" customWidth="1"/>
    <col min="14340" max="14340" width="16.5703125" style="675" customWidth="1"/>
    <col min="14341" max="14341" width="19.140625" style="675" customWidth="1"/>
    <col min="14342" max="14344" width="16.5703125" style="675" customWidth="1"/>
    <col min="14345" max="14345" width="15.7109375" style="675" customWidth="1"/>
    <col min="14346" max="14346" width="19.42578125" style="675" customWidth="1"/>
    <col min="14347" max="14347" width="14.85546875" style="675" bestFit="1" customWidth="1"/>
    <col min="14348" max="14348" width="13.7109375" style="675" bestFit="1" customWidth="1"/>
    <col min="14349" max="14349" width="13" style="675" customWidth="1"/>
    <col min="14350" max="14350" width="18.42578125" style="675" customWidth="1"/>
    <col min="14351" max="14353" width="13.140625" style="675" customWidth="1"/>
    <col min="14354" max="14354" width="16.42578125" style="675" customWidth="1"/>
    <col min="14355" max="14355" width="13.140625" style="675" customWidth="1"/>
    <col min="14356" max="14356" width="15.28515625" style="675" customWidth="1"/>
    <col min="14357" max="14357" width="14" style="675" bestFit="1" customWidth="1"/>
    <col min="14358" max="14358" width="17.140625" style="675" customWidth="1"/>
    <col min="14359" max="14380" width="16.5703125" style="675" customWidth="1"/>
    <col min="14381" max="14381" width="20.140625" style="675" customWidth="1"/>
    <col min="14382" max="14382" width="13.28515625" style="675" customWidth="1"/>
    <col min="14383" max="14383" width="14.85546875" style="675" customWidth="1"/>
    <col min="14384" max="14384" width="13.85546875" style="675" customWidth="1"/>
    <col min="14385" max="14385" width="13.5703125" style="675" customWidth="1"/>
    <col min="14386" max="14386" width="13" style="675" customWidth="1"/>
    <col min="14387" max="14387" width="13.5703125" style="675" customWidth="1"/>
    <col min="14388" max="14388" width="7.7109375" style="675" bestFit="1" customWidth="1"/>
    <col min="14389" max="14558" width="9.140625" style="675"/>
    <col min="14559" max="14559" width="4.28515625" style="675" customWidth="1"/>
    <col min="14560" max="14560" width="10.140625" style="675" customWidth="1"/>
    <col min="14561" max="14561" width="8.85546875" style="675" customWidth="1"/>
    <col min="14562" max="14562" width="11.140625" style="675" customWidth="1"/>
    <col min="14563" max="14563" width="15" style="675" bestFit="1" customWidth="1"/>
    <col min="14564" max="14564" width="13.5703125" style="675" customWidth="1"/>
    <col min="14565" max="14565" width="11.42578125" style="675" bestFit="1" customWidth="1"/>
    <col min="14566" max="14566" width="11.28515625" style="675" customWidth="1"/>
    <col min="14567" max="14567" width="15.28515625" style="675" bestFit="1" customWidth="1"/>
    <col min="14568" max="14570" width="11.85546875" style="675" customWidth="1"/>
    <col min="14571" max="14571" width="19.140625" style="675" customWidth="1"/>
    <col min="14572" max="14572" width="15" style="675" customWidth="1"/>
    <col min="14573" max="14573" width="15.28515625" style="675" customWidth="1"/>
    <col min="14574" max="14576" width="18.85546875" style="675" customWidth="1"/>
    <col min="14577" max="14577" width="12.7109375" style="675" customWidth="1"/>
    <col min="14578" max="14578" width="13.7109375" style="675" customWidth="1"/>
    <col min="14579" max="14579" width="16.140625" style="675" customWidth="1"/>
    <col min="14580" max="14580" width="17" style="675" customWidth="1"/>
    <col min="14581" max="14581" width="15" style="675" customWidth="1"/>
    <col min="14582" max="14582" width="14.28515625" style="675" customWidth="1"/>
    <col min="14583" max="14583" width="14.85546875" style="675" customWidth="1"/>
    <col min="14584" max="14584" width="17.140625" style="675" customWidth="1"/>
    <col min="14585" max="14585" width="13.5703125" style="675" customWidth="1"/>
    <col min="14586" max="14587" width="14.85546875" style="675" customWidth="1"/>
    <col min="14588" max="14588" width="18.85546875" style="675" customWidth="1"/>
    <col min="14589" max="14589" width="19.42578125" style="675" customWidth="1"/>
    <col min="14590" max="14590" width="16.140625" style="675" customWidth="1"/>
    <col min="14591" max="14591" width="14.5703125" style="675" customWidth="1"/>
    <col min="14592" max="14592" width="20.28515625" style="675" customWidth="1"/>
    <col min="14593" max="14593" width="13.85546875" style="675" customWidth="1"/>
    <col min="14594" max="14594" width="19.140625" style="675" customWidth="1"/>
    <col min="14595" max="14595" width="19.7109375" style="675" customWidth="1"/>
    <col min="14596" max="14596" width="16.5703125" style="675" customWidth="1"/>
    <col min="14597" max="14597" width="19.140625" style="675" customWidth="1"/>
    <col min="14598" max="14600" width="16.5703125" style="675" customWidth="1"/>
    <col min="14601" max="14601" width="15.7109375" style="675" customWidth="1"/>
    <col min="14602" max="14602" width="19.42578125" style="675" customWidth="1"/>
    <col min="14603" max="14603" width="14.85546875" style="675" bestFit="1" customWidth="1"/>
    <col min="14604" max="14604" width="13.7109375" style="675" bestFit="1" customWidth="1"/>
    <col min="14605" max="14605" width="13" style="675" customWidth="1"/>
    <col min="14606" max="14606" width="18.42578125" style="675" customWidth="1"/>
    <col min="14607" max="14609" width="13.140625" style="675" customWidth="1"/>
    <col min="14610" max="14610" width="16.42578125" style="675" customWidth="1"/>
    <col min="14611" max="14611" width="13.140625" style="675" customWidth="1"/>
    <col min="14612" max="14612" width="15.28515625" style="675" customWidth="1"/>
    <col min="14613" max="14613" width="14" style="675" bestFit="1" customWidth="1"/>
    <col min="14614" max="14614" width="17.140625" style="675" customWidth="1"/>
    <col min="14615" max="14636" width="16.5703125" style="675" customWidth="1"/>
    <col min="14637" max="14637" width="20.140625" style="675" customWidth="1"/>
    <col min="14638" max="14638" width="13.28515625" style="675" customWidth="1"/>
    <col min="14639" max="14639" width="14.85546875" style="675" customWidth="1"/>
    <col min="14640" max="14640" width="13.85546875" style="675" customWidth="1"/>
    <col min="14641" max="14641" width="13.5703125" style="675" customWidth="1"/>
    <col min="14642" max="14642" width="13" style="675" customWidth="1"/>
    <col min="14643" max="14643" width="13.5703125" style="675" customWidth="1"/>
    <col min="14644" max="14644" width="7.7109375" style="675" bestFit="1" customWidth="1"/>
    <col min="14645" max="14814" width="9.140625" style="675"/>
    <col min="14815" max="14815" width="4.28515625" style="675" customWidth="1"/>
    <col min="14816" max="14816" width="10.140625" style="675" customWidth="1"/>
    <col min="14817" max="14817" width="8.85546875" style="675" customWidth="1"/>
    <col min="14818" max="14818" width="11.140625" style="675" customWidth="1"/>
    <col min="14819" max="14819" width="15" style="675" bestFit="1" customWidth="1"/>
    <col min="14820" max="14820" width="13.5703125" style="675" customWidth="1"/>
    <col min="14821" max="14821" width="11.42578125" style="675" bestFit="1" customWidth="1"/>
    <col min="14822" max="14822" width="11.28515625" style="675" customWidth="1"/>
    <col min="14823" max="14823" width="15.28515625" style="675" bestFit="1" customWidth="1"/>
    <col min="14824" max="14826" width="11.85546875" style="675" customWidth="1"/>
    <col min="14827" max="14827" width="19.140625" style="675" customWidth="1"/>
    <col min="14828" max="14828" width="15" style="675" customWidth="1"/>
    <col min="14829" max="14829" width="15.28515625" style="675" customWidth="1"/>
    <col min="14830" max="14832" width="18.85546875" style="675" customWidth="1"/>
    <col min="14833" max="14833" width="12.7109375" style="675" customWidth="1"/>
    <col min="14834" max="14834" width="13.7109375" style="675" customWidth="1"/>
    <col min="14835" max="14835" width="16.140625" style="675" customWidth="1"/>
    <col min="14836" max="14836" width="17" style="675" customWidth="1"/>
    <col min="14837" max="14837" width="15" style="675" customWidth="1"/>
    <col min="14838" max="14838" width="14.28515625" style="675" customWidth="1"/>
    <col min="14839" max="14839" width="14.85546875" style="675" customWidth="1"/>
    <col min="14840" max="14840" width="17.140625" style="675" customWidth="1"/>
    <col min="14841" max="14841" width="13.5703125" style="675" customWidth="1"/>
    <col min="14842" max="14843" width="14.85546875" style="675" customWidth="1"/>
    <col min="14844" max="14844" width="18.85546875" style="675" customWidth="1"/>
    <col min="14845" max="14845" width="19.42578125" style="675" customWidth="1"/>
    <col min="14846" max="14846" width="16.140625" style="675" customWidth="1"/>
    <col min="14847" max="14847" width="14.5703125" style="675" customWidth="1"/>
    <col min="14848" max="14848" width="20.28515625" style="675" customWidth="1"/>
    <col min="14849" max="14849" width="13.85546875" style="675" customWidth="1"/>
    <col min="14850" max="14850" width="19.140625" style="675" customWidth="1"/>
    <col min="14851" max="14851" width="19.7109375" style="675" customWidth="1"/>
    <col min="14852" max="14852" width="16.5703125" style="675" customWidth="1"/>
    <col min="14853" max="14853" width="19.140625" style="675" customWidth="1"/>
    <col min="14854" max="14856" width="16.5703125" style="675" customWidth="1"/>
    <col min="14857" max="14857" width="15.7109375" style="675" customWidth="1"/>
    <col min="14858" max="14858" width="19.42578125" style="675" customWidth="1"/>
    <col min="14859" max="14859" width="14.85546875" style="675" bestFit="1" customWidth="1"/>
    <col min="14860" max="14860" width="13.7109375" style="675" bestFit="1" customWidth="1"/>
    <col min="14861" max="14861" width="13" style="675" customWidth="1"/>
    <col min="14862" max="14862" width="18.42578125" style="675" customWidth="1"/>
    <col min="14863" max="14865" width="13.140625" style="675" customWidth="1"/>
    <col min="14866" max="14866" width="16.42578125" style="675" customWidth="1"/>
    <col min="14867" max="14867" width="13.140625" style="675" customWidth="1"/>
    <col min="14868" max="14868" width="15.28515625" style="675" customWidth="1"/>
    <col min="14869" max="14869" width="14" style="675" bestFit="1" customWidth="1"/>
    <col min="14870" max="14870" width="17.140625" style="675" customWidth="1"/>
    <col min="14871" max="14892" width="16.5703125" style="675" customWidth="1"/>
    <col min="14893" max="14893" width="20.140625" style="675" customWidth="1"/>
    <col min="14894" max="14894" width="13.28515625" style="675" customWidth="1"/>
    <col min="14895" max="14895" width="14.85546875" style="675" customWidth="1"/>
    <col min="14896" max="14896" width="13.85546875" style="675" customWidth="1"/>
    <col min="14897" max="14897" width="13.5703125" style="675" customWidth="1"/>
    <col min="14898" max="14898" width="13" style="675" customWidth="1"/>
    <col min="14899" max="14899" width="13.5703125" style="675" customWidth="1"/>
    <col min="14900" max="14900" width="7.7109375" style="675" bestFit="1" customWidth="1"/>
    <col min="14901" max="15070" width="9.140625" style="675"/>
    <col min="15071" max="15071" width="4.28515625" style="675" customWidth="1"/>
    <col min="15072" max="15072" width="10.140625" style="675" customWidth="1"/>
    <col min="15073" max="15073" width="8.85546875" style="675" customWidth="1"/>
    <col min="15074" max="15074" width="11.140625" style="675" customWidth="1"/>
    <col min="15075" max="15075" width="15" style="675" bestFit="1" customWidth="1"/>
    <col min="15076" max="15076" width="13.5703125" style="675" customWidth="1"/>
    <col min="15077" max="15077" width="11.42578125" style="675" bestFit="1" customWidth="1"/>
    <col min="15078" max="15078" width="11.28515625" style="675" customWidth="1"/>
    <col min="15079" max="15079" width="15.28515625" style="675" bestFit="1" customWidth="1"/>
    <col min="15080" max="15082" width="11.85546875" style="675" customWidth="1"/>
    <col min="15083" max="15083" width="19.140625" style="675" customWidth="1"/>
    <col min="15084" max="15084" width="15" style="675" customWidth="1"/>
    <col min="15085" max="15085" width="15.28515625" style="675" customWidth="1"/>
    <col min="15086" max="15088" width="18.85546875" style="675" customWidth="1"/>
    <col min="15089" max="15089" width="12.7109375" style="675" customWidth="1"/>
    <col min="15090" max="15090" width="13.7109375" style="675" customWidth="1"/>
    <col min="15091" max="15091" width="16.140625" style="675" customWidth="1"/>
    <col min="15092" max="15092" width="17" style="675" customWidth="1"/>
    <col min="15093" max="15093" width="15" style="675" customWidth="1"/>
    <col min="15094" max="15094" width="14.28515625" style="675" customWidth="1"/>
    <col min="15095" max="15095" width="14.85546875" style="675" customWidth="1"/>
    <col min="15096" max="15096" width="17.140625" style="675" customWidth="1"/>
    <col min="15097" max="15097" width="13.5703125" style="675" customWidth="1"/>
    <col min="15098" max="15099" width="14.85546875" style="675" customWidth="1"/>
    <col min="15100" max="15100" width="18.85546875" style="675" customWidth="1"/>
    <col min="15101" max="15101" width="19.42578125" style="675" customWidth="1"/>
    <col min="15102" max="15102" width="16.140625" style="675" customWidth="1"/>
    <col min="15103" max="15103" width="14.5703125" style="675" customWidth="1"/>
    <col min="15104" max="15104" width="20.28515625" style="675" customWidth="1"/>
    <col min="15105" max="15105" width="13.85546875" style="675" customWidth="1"/>
    <col min="15106" max="15106" width="19.140625" style="675" customWidth="1"/>
    <col min="15107" max="15107" width="19.7109375" style="675" customWidth="1"/>
    <col min="15108" max="15108" width="16.5703125" style="675" customWidth="1"/>
    <col min="15109" max="15109" width="19.140625" style="675" customWidth="1"/>
    <col min="15110" max="15112" width="16.5703125" style="675" customWidth="1"/>
    <col min="15113" max="15113" width="15.7109375" style="675" customWidth="1"/>
    <col min="15114" max="15114" width="19.42578125" style="675" customWidth="1"/>
    <col min="15115" max="15115" width="14.85546875" style="675" bestFit="1" customWidth="1"/>
    <col min="15116" max="15116" width="13.7109375" style="675" bestFit="1" customWidth="1"/>
    <col min="15117" max="15117" width="13" style="675" customWidth="1"/>
    <col min="15118" max="15118" width="18.42578125" style="675" customWidth="1"/>
    <col min="15119" max="15121" width="13.140625" style="675" customWidth="1"/>
    <col min="15122" max="15122" width="16.42578125" style="675" customWidth="1"/>
    <col min="15123" max="15123" width="13.140625" style="675" customWidth="1"/>
    <col min="15124" max="15124" width="15.28515625" style="675" customWidth="1"/>
    <col min="15125" max="15125" width="14" style="675" bestFit="1" customWidth="1"/>
    <col min="15126" max="15126" width="17.140625" style="675" customWidth="1"/>
    <col min="15127" max="15148" width="16.5703125" style="675" customWidth="1"/>
    <col min="15149" max="15149" width="20.140625" style="675" customWidth="1"/>
    <col min="15150" max="15150" width="13.28515625" style="675" customWidth="1"/>
    <col min="15151" max="15151" width="14.85546875" style="675" customWidth="1"/>
    <col min="15152" max="15152" width="13.85546875" style="675" customWidth="1"/>
    <col min="15153" max="15153" width="13.5703125" style="675" customWidth="1"/>
    <col min="15154" max="15154" width="13" style="675" customWidth="1"/>
    <col min="15155" max="15155" width="13.5703125" style="675" customWidth="1"/>
    <col min="15156" max="15156" width="7.7109375" style="675" bestFit="1" customWidth="1"/>
    <col min="15157" max="15326" width="9.140625" style="675"/>
    <col min="15327" max="15327" width="4.28515625" style="675" customWidth="1"/>
    <col min="15328" max="15328" width="10.140625" style="675" customWidth="1"/>
    <col min="15329" max="15329" width="8.85546875" style="675" customWidth="1"/>
    <col min="15330" max="15330" width="11.140625" style="675" customWidth="1"/>
    <col min="15331" max="15331" width="15" style="675" bestFit="1" customWidth="1"/>
    <col min="15332" max="15332" width="13.5703125" style="675" customWidth="1"/>
    <col min="15333" max="15333" width="11.42578125" style="675" bestFit="1" customWidth="1"/>
    <col min="15334" max="15334" width="11.28515625" style="675" customWidth="1"/>
    <col min="15335" max="15335" width="15.28515625" style="675" bestFit="1" customWidth="1"/>
    <col min="15336" max="15338" width="11.85546875" style="675" customWidth="1"/>
    <col min="15339" max="15339" width="19.140625" style="675" customWidth="1"/>
    <col min="15340" max="15340" width="15" style="675" customWidth="1"/>
    <col min="15341" max="15341" width="15.28515625" style="675" customWidth="1"/>
    <col min="15342" max="15344" width="18.85546875" style="675" customWidth="1"/>
    <col min="15345" max="15345" width="12.7109375" style="675" customWidth="1"/>
    <col min="15346" max="15346" width="13.7109375" style="675" customWidth="1"/>
    <col min="15347" max="15347" width="16.140625" style="675" customWidth="1"/>
    <col min="15348" max="15348" width="17" style="675" customWidth="1"/>
    <col min="15349" max="15349" width="15" style="675" customWidth="1"/>
    <col min="15350" max="15350" width="14.28515625" style="675" customWidth="1"/>
    <col min="15351" max="15351" width="14.85546875" style="675" customWidth="1"/>
    <col min="15352" max="15352" width="17.140625" style="675" customWidth="1"/>
    <col min="15353" max="15353" width="13.5703125" style="675" customWidth="1"/>
    <col min="15354" max="15355" width="14.85546875" style="675" customWidth="1"/>
    <col min="15356" max="15356" width="18.85546875" style="675" customWidth="1"/>
    <col min="15357" max="15357" width="19.42578125" style="675" customWidth="1"/>
    <col min="15358" max="15358" width="16.140625" style="675" customWidth="1"/>
    <col min="15359" max="15359" width="14.5703125" style="675" customWidth="1"/>
    <col min="15360" max="15360" width="20.28515625" style="675" customWidth="1"/>
    <col min="15361" max="15361" width="13.85546875" style="675" customWidth="1"/>
    <col min="15362" max="15362" width="19.140625" style="675" customWidth="1"/>
    <col min="15363" max="15363" width="19.7109375" style="675" customWidth="1"/>
    <col min="15364" max="15364" width="16.5703125" style="675" customWidth="1"/>
    <col min="15365" max="15365" width="19.140625" style="675" customWidth="1"/>
    <col min="15366" max="15368" width="16.5703125" style="675" customWidth="1"/>
    <col min="15369" max="15369" width="15.7109375" style="675" customWidth="1"/>
    <col min="15370" max="15370" width="19.42578125" style="675" customWidth="1"/>
    <col min="15371" max="15371" width="14.85546875" style="675" bestFit="1" customWidth="1"/>
    <col min="15372" max="15372" width="13.7109375" style="675" bestFit="1" customWidth="1"/>
    <col min="15373" max="15373" width="13" style="675" customWidth="1"/>
    <col min="15374" max="15374" width="18.42578125" style="675" customWidth="1"/>
    <col min="15375" max="15377" width="13.140625" style="675" customWidth="1"/>
    <col min="15378" max="15378" width="16.42578125" style="675" customWidth="1"/>
    <col min="15379" max="15379" width="13.140625" style="675" customWidth="1"/>
    <col min="15380" max="15380" width="15.28515625" style="675" customWidth="1"/>
    <col min="15381" max="15381" width="14" style="675" bestFit="1" customWidth="1"/>
    <col min="15382" max="15382" width="17.140625" style="675" customWidth="1"/>
    <col min="15383" max="15404" width="16.5703125" style="675" customWidth="1"/>
    <col min="15405" max="15405" width="20.140625" style="675" customWidth="1"/>
    <col min="15406" max="15406" width="13.28515625" style="675" customWidth="1"/>
    <col min="15407" max="15407" width="14.85546875" style="675" customWidth="1"/>
    <col min="15408" max="15408" width="13.85546875" style="675" customWidth="1"/>
    <col min="15409" max="15409" width="13.5703125" style="675" customWidth="1"/>
    <col min="15410" max="15410" width="13" style="675" customWidth="1"/>
    <col min="15411" max="15411" width="13.5703125" style="675" customWidth="1"/>
    <col min="15412" max="15412" width="7.7109375" style="675" bestFit="1" customWidth="1"/>
    <col min="15413" max="15582" width="9.140625" style="675"/>
    <col min="15583" max="15583" width="4.28515625" style="675" customWidth="1"/>
    <col min="15584" max="15584" width="10.140625" style="675" customWidth="1"/>
    <col min="15585" max="15585" width="8.85546875" style="675" customWidth="1"/>
    <col min="15586" max="15586" width="11.140625" style="675" customWidth="1"/>
    <col min="15587" max="15587" width="15" style="675" bestFit="1" customWidth="1"/>
    <col min="15588" max="15588" width="13.5703125" style="675" customWidth="1"/>
    <col min="15589" max="15589" width="11.42578125" style="675" bestFit="1" customWidth="1"/>
    <col min="15590" max="15590" width="11.28515625" style="675" customWidth="1"/>
    <col min="15591" max="15591" width="15.28515625" style="675" bestFit="1" customWidth="1"/>
    <col min="15592" max="15594" width="11.85546875" style="675" customWidth="1"/>
    <col min="15595" max="15595" width="19.140625" style="675" customWidth="1"/>
    <col min="15596" max="15596" width="15" style="675" customWidth="1"/>
    <col min="15597" max="15597" width="15.28515625" style="675" customWidth="1"/>
    <col min="15598" max="15600" width="18.85546875" style="675" customWidth="1"/>
    <col min="15601" max="15601" width="12.7109375" style="675" customWidth="1"/>
    <col min="15602" max="15602" width="13.7109375" style="675" customWidth="1"/>
    <col min="15603" max="15603" width="16.140625" style="675" customWidth="1"/>
    <col min="15604" max="15604" width="17" style="675" customWidth="1"/>
    <col min="15605" max="15605" width="15" style="675" customWidth="1"/>
    <col min="15606" max="15606" width="14.28515625" style="675" customWidth="1"/>
    <col min="15607" max="15607" width="14.85546875" style="675" customWidth="1"/>
    <col min="15608" max="15608" width="17.140625" style="675" customWidth="1"/>
    <col min="15609" max="15609" width="13.5703125" style="675" customWidth="1"/>
    <col min="15610" max="15611" width="14.85546875" style="675" customWidth="1"/>
    <col min="15612" max="15612" width="18.85546875" style="675" customWidth="1"/>
    <col min="15613" max="15613" width="19.42578125" style="675" customWidth="1"/>
    <col min="15614" max="15614" width="16.140625" style="675" customWidth="1"/>
    <col min="15615" max="15615" width="14.5703125" style="675" customWidth="1"/>
    <col min="15616" max="15616" width="20.28515625" style="675" customWidth="1"/>
    <col min="15617" max="15617" width="13.85546875" style="675" customWidth="1"/>
    <col min="15618" max="15618" width="19.140625" style="675" customWidth="1"/>
    <col min="15619" max="15619" width="19.7109375" style="675" customWidth="1"/>
    <col min="15620" max="15620" width="16.5703125" style="675" customWidth="1"/>
    <col min="15621" max="15621" width="19.140625" style="675" customWidth="1"/>
    <col min="15622" max="15624" width="16.5703125" style="675" customWidth="1"/>
    <col min="15625" max="15625" width="15.7109375" style="675" customWidth="1"/>
    <col min="15626" max="15626" width="19.42578125" style="675" customWidth="1"/>
    <col min="15627" max="15627" width="14.85546875" style="675" bestFit="1" customWidth="1"/>
    <col min="15628" max="15628" width="13.7109375" style="675" bestFit="1" customWidth="1"/>
    <col min="15629" max="15629" width="13" style="675" customWidth="1"/>
    <col min="15630" max="15630" width="18.42578125" style="675" customWidth="1"/>
    <col min="15631" max="15633" width="13.140625" style="675" customWidth="1"/>
    <col min="15634" max="15634" width="16.42578125" style="675" customWidth="1"/>
    <col min="15635" max="15635" width="13.140625" style="675" customWidth="1"/>
    <col min="15636" max="15636" width="15.28515625" style="675" customWidth="1"/>
    <col min="15637" max="15637" width="14" style="675" bestFit="1" customWidth="1"/>
    <col min="15638" max="15638" width="17.140625" style="675" customWidth="1"/>
    <col min="15639" max="15660" width="16.5703125" style="675" customWidth="1"/>
    <col min="15661" max="15661" width="20.140625" style="675" customWidth="1"/>
    <col min="15662" max="15662" width="13.28515625" style="675" customWidth="1"/>
    <col min="15663" max="15663" width="14.85546875" style="675" customWidth="1"/>
    <col min="15664" max="15664" width="13.85546875" style="675" customWidth="1"/>
    <col min="15665" max="15665" width="13.5703125" style="675" customWidth="1"/>
    <col min="15666" max="15666" width="13" style="675" customWidth="1"/>
    <col min="15667" max="15667" width="13.5703125" style="675" customWidth="1"/>
    <col min="15668" max="15668" width="7.7109375" style="675" bestFit="1" customWidth="1"/>
    <col min="15669" max="15838" width="9.140625" style="675"/>
    <col min="15839" max="15839" width="4.28515625" style="675" customWidth="1"/>
    <col min="15840" max="15840" width="10.140625" style="675" customWidth="1"/>
    <col min="15841" max="15841" width="8.85546875" style="675" customWidth="1"/>
    <col min="15842" max="15842" width="11.140625" style="675" customWidth="1"/>
    <col min="15843" max="15843" width="15" style="675" bestFit="1" customWidth="1"/>
    <col min="15844" max="15844" width="13.5703125" style="675" customWidth="1"/>
    <col min="15845" max="15845" width="11.42578125" style="675" bestFit="1" customWidth="1"/>
    <col min="15846" max="15846" width="11.28515625" style="675" customWidth="1"/>
    <col min="15847" max="15847" width="15.28515625" style="675" bestFit="1" customWidth="1"/>
    <col min="15848" max="15850" width="11.85546875" style="675" customWidth="1"/>
    <col min="15851" max="15851" width="19.140625" style="675" customWidth="1"/>
    <col min="15852" max="15852" width="15" style="675" customWidth="1"/>
    <col min="15853" max="15853" width="15.28515625" style="675" customWidth="1"/>
    <col min="15854" max="15856" width="18.85546875" style="675" customWidth="1"/>
    <col min="15857" max="15857" width="12.7109375" style="675" customWidth="1"/>
    <col min="15858" max="15858" width="13.7109375" style="675" customWidth="1"/>
    <col min="15859" max="15859" width="16.140625" style="675" customWidth="1"/>
    <col min="15860" max="15860" width="17" style="675" customWidth="1"/>
    <col min="15861" max="15861" width="15" style="675" customWidth="1"/>
    <col min="15862" max="15862" width="14.28515625" style="675" customWidth="1"/>
    <col min="15863" max="15863" width="14.85546875" style="675" customWidth="1"/>
    <col min="15864" max="15864" width="17.140625" style="675" customWidth="1"/>
    <col min="15865" max="15865" width="13.5703125" style="675" customWidth="1"/>
    <col min="15866" max="15867" width="14.85546875" style="675" customWidth="1"/>
    <col min="15868" max="15868" width="18.85546875" style="675" customWidth="1"/>
    <col min="15869" max="15869" width="19.42578125" style="675" customWidth="1"/>
    <col min="15870" max="15870" width="16.140625" style="675" customWidth="1"/>
    <col min="15871" max="15871" width="14.5703125" style="675" customWidth="1"/>
    <col min="15872" max="15872" width="20.28515625" style="675" customWidth="1"/>
    <col min="15873" max="15873" width="13.85546875" style="675" customWidth="1"/>
    <col min="15874" max="15874" width="19.140625" style="675" customWidth="1"/>
    <col min="15875" max="15875" width="19.7109375" style="675" customWidth="1"/>
    <col min="15876" max="15876" width="16.5703125" style="675" customWidth="1"/>
    <col min="15877" max="15877" width="19.140625" style="675" customWidth="1"/>
    <col min="15878" max="15880" width="16.5703125" style="675" customWidth="1"/>
    <col min="15881" max="15881" width="15.7109375" style="675" customWidth="1"/>
    <col min="15882" max="15882" width="19.42578125" style="675" customWidth="1"/>
    <col min="15883" max="15883" width="14.85546875" style="675" bestFit="1" customWidth="1"/>
    <col min="15884" max="15884" width="13.7109375" style="675" bestFit="1" customWidth="1"/>
    <col min="15885" max="15885" width="13" style="675" customWidth="1"/>
    <col min="15886" max="15886" width="18.42578125" style="675" customWidth="1"/>
    <col min="15887" max="15889" width="13.140625" style="675" customWidth="1"/>
    <col min="15890" max="15890" width="16.42578125" style="675" customWidth="1"/>
    <col min="15891" max="15891" width="13.140625" style="675" customWidth="1"/>
    <col min="15892" max="15892" width="15.28515625" style="675" customWidth="1"/>
    <col min="15893" max="15893" width="14" style="675" bestFit="1" customWidth="1"/>
    <col min="15894" max="15894" width="17.140625" style="675" customWidth="1"/>
    <col min="15895" max="15916" width="16.5703125" style="675" customWidth="1"/>
    <col min="15917" max="15917" width="20.140625" style="675" customWidth="1"/>
    <col min="15918" max="15918" width="13.28515625" style="675" customWidth="1"/>
    <col min="15919" max="15919" width="14.85546875" style="675" customWidth="1"/>
    <col min="15920" max="15920" width="13.85546875" style="675" customWidth="1"/>
    <col min="15921" max="15921" width="13.5703125" style="675" customWidth="1"/>
    <col min="15922" max="15922" width="13" style="675" customWidth="1"/>
    <col min="15923" max="15923" width="13.5703125" style="675" customWidth="1"/>
    <col min="15924" max="15924" width="7.7109375" style="675" bestFit="1" customWidth="1"/>
    <col min="15925" max="16094" width="9.140625" style="675"/>
    <col min="16095" max="16095" width="4.28515625" style="675" customWidth="1"/>
    <col min="16096" max="16096" width="10.140625" style="675" customWidth="1"/>
    <col min="16097" max="16097" width="8.85546875" style="675" customWidth="1"/>
    <col min="16098" max="16098" width="11.140625" style="675" customWidth="1"/>
    <col min="16099" max="16099" width="15" style="675" bestFit="1" customWidth="1"/>
    <col min="16100" max="16100" width="13.5703125" style="675" customWidth="1"/>
    <col min="16101" max="16101" width="11.42578125" style="675" bestFit="1" customWidth="1"/>
    <col min="16102" max="16102" width="11.28515625" style="675" customWidth="1"/>
    <col min="16103" max="16103" width="15.28515625" style="675" bestFit="1" customWidth="1"/>
    <col min="16104" max="16106" width="11.85546875" style="675" customWidth="1"/>
    <col min="16107" max="16107" width="19.140625" style="675" customWidth="1"/>
    <col min="16108" max="16108" width="15" style="675" customWidth="1"/>
    <col min="16109" max="16109" width="15.28515625" style="675" customWidth="1"/>
    <col min="16110" max="16112" width="18.85546875" style="675" customWidth="1"/>
    <col min="16113" max="16113" width="12.7109375" style="675" customWidth="1"/>
    <col min="16114" max="16114" width="13.7109375" style="675" customWidth="1"/>
    <col min="16115" max="16115" width="16.140625" style="675" customWidth="1"/>
    <col min="16116" max="16116" width="17" style="675" customWidth="1"/>
    <col min="16117" max="16117" width="15" style="675" customWidth="1"/>
    <col min="16118" max="16118" width="14.28515625" style="675" customWidth="1"/>
    <col min="16119" max="16119" width="14.85546875" style="675" customWidth="1"/>
    <col min="16120" max="16120" width="17.140625" style="675" customWidth="1"/>
    <col min="16121" max="16121" width="13.5703125" style="675" customWidth="1"/>
    <col min="16122" max="16123" width="14.85546875" style="675" customWidth="1"/>
    <col min="16124" max="16124" width="18.85546875" style="675" customWidth="1"/>
    <col min="16125" max="16125" width="19.42578125" style="675" customWidth="1"/>
    <col min="16126" max="16126" width="16.140625" style="675" customWidth="1"/>
    <col min="16127" max="16127" width="14.5703125" style="675" customWidth="1"/>
    <col min="16128" max="16128" width="20.28515625" style="675" customWidth="1"/>
    <col min="16129" max="16129" width="13.85546875" style="675" customWidth="1"/>
    <col min="16130" max="16130" width="19.140625" style="675" customWidth="1"/>
    <col min="16131" max="16131" width="19.7109375" style="675" customWidth="1"/>
    <col min="16132" max="16132" width="16.5703125" style="675" customWidth="1"/>
    <col min="16133" max="16133" width="19.140625" style="675" customWidth="1"/>
    <col min="16134" max="16136" width="16.5703125" style="675" customWidth="1"/>
    <col min="16137" max="16137" width="15.7109375" style="675" customWidth="1"/>
    <col min="16138" max="16138" width="19.42578125" style="675" customWidth="1"/>
    <col min="16139" max="16139" width="14.85546875" style="675" bestFit="1" customWidth="1"/>
    <col min="16140" max="16140" width="13.7109375" style="675" bestFit="1" customWidth="1"/>
    <col min="16141" max="16141" width="13" style="675" customWidth="1"/>
    <col min="16142" max="16142" width="18.42578125" style="675" customWidth="1"/>
    <col min="16143" max="16145" width="13.140625" style="675" customWidth="1"/>
    <col min="16146" max="16146" width="16.42578125" style="675" customWidth="1"/>
    <col min="16147" max="16147" width="13.140625" style="675" customWidth="1"/>
    <col min="16148" max="16148" width="15.28515625" style="675" customWidth="1"/>
    <col min="16149" max="16149" width="14" style="675" bestFit="1" customWidth="1"/>
    <col min="16150" max="16150" width="17.140625" style="675" customWidth="1"/>
    <col min="16151" max="16172" width="16.5703125" style="675" customWidth="1"/>
    <col min="16173" max="16173" width="20.140625" style="675" customWidth="1"/>
    <col min="16174" max="16174" width="13.28515625" style="675" customWidth="1"/>
    <col min="16175" max="16175" width="14.85546875" style="675" customWidth="1"/>
    <col min="16176" max="16176" width="13.85546875" style="675" customWidth="1"/>
    <col min="16177" max="16177" width="13.5703125" style="675" customWidth="1"/>
    <col min="16178" max="16178" width="13" style="675" customWidth="1"/>
    <col min="16179" max="16179" width="13.5703125" style="675" customWidth="1"/>
    <col min="16180" max="16180" width="7.7109375" style="675" bestFit="1" customWidth="1"/>
    <col min="16181" max="16384" width="9.140625" style="675"/>
  </cols>
  <sheetData>
    <row r="1" spans="2:65" s="640" customFormat="1" ht="29.25" customHeight="1">
      <c r="B1" s="792" t="s">
        <v>372</v>
      </c>
      <c r="P1" s="1011"/>
      <c r="AR1" s="1012"/>
      <c r="AS1" s="1012"/>
      <c r="AT1" s="1012"/>
      <c r="AU1" s="1012"/>
      <c r="AV1" s="1012"/>
      <c r="AW1" s="1012"/>
      <c r="AX1" s="1012"/>
      <c r="AY1" s="1012"/>
      <c r="AZ1" s="1012"/>
      <c r="BA1" s="1013"/>
      <c r="BH1" s="1014"/>
      <c r="BI1" s="1014"/>
    </row>
    <row r="2" spans="2:65" s="640" customFormat="1" ht="15.75" customHeight="1">
      <c r="B2" s="646"/>
      <c r="C2" s="647"/>
      <c r="D2" s="646"/>
      <c r="E2" s="646"/>
      <c r="F2" s="646"/>
      <c r="G2" s="646"/>
      <c r="H2" s="646"/>
      <c r="I2" s="646"/>
      <c r="J2" s="646"/>
      <c r="K2" s="1015"/>
      <c r="L2" s="1016"/>
      <c r="M2" s="1017">
        <f>M14-M15</f>
        <v>51616928.36945454</v>
      </c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789"/>
      <c r="AS2" s="789"/>
      <c r="AT2" s="789"/>
      <c r="AU2" s="789"/>
      <c r="AV2" s="789"/>
      <c r="AW2" s="789"/>
      <c r="AX2" s="789"/>
      <c r="AY2" s="789"/>
      <c r="AZ2" s="789"/>
      <c r="BA2" s="1018"/>
      <c r="BB2" s="653"/>
      <c r="BC2" s="653"/>
      <c r="BD2" s="653"/>
      <c r="BE2" s="653"/>
      <c r="BF2" s="653"/>
      <c r="BG2" s="653"/>
      <c r="BH2" s="1019"/>
      <c r="BI2" s="1019"/>
      <c r="BJ2" s="653"/>
      <c r="BK2" s="653"/>
      <c r="BL2" s="653"/>
      <c r="BM2" s="653"/>
    </row>
    <row r="3" spans="2:65" ht="15.75" customHeight="1">
      <c r="B3" s="1020"/>
      <c r="C3" s="1020"/>
      <c r="D3" s="1020"/>
      <c r="E3" s="1020"/>
      <c r="F3" s="1020"/>
      <c r="G3" s="1020"/>
      <c r="H3" s="1020"/>
      <c r="I3" s="1020"/>
      <c r="J3" s="1020"/>
      <c r="K3" s="1021"/>
      <c r="L3" s="1022"/>
      <c r="M3" s="1023"/>
      <c r="N3" s="1024"/>
      <c r="O3" s="1024"/>
      <c r="P3" s="1024"/>
      <c r="Q3" s="1024"/>
      <c r="R3" s="1024"/>
      <c r="S3" s="665"/>
      <c r="T3" s="665"/>
      <c r="U3" s="665"/>
      <c r="V3" s="665"/>
      <c r="W3" s="665"/>
      <c r="X3" s="665"/>
      <c r="Y3" s="665"/>
      <c r="Z3" s="665"/>
      <c r="AA3" s="665"/>
      <c r="AB3" s="665"/>
      <c r="AC3" s="665"/>
      <c r="AD3" s="665"/>
      <c r="AE3" s="665"/>
      <c r="AF3" s="665"/>
      <c r="AG3" s="665"/>
      <c r="AH3" s="665"/>
      <c r="AI3" s="665"/>
      <c r="AJ3" s="665"/>
      <c r="AK3" s="665"/>
      <c r="AL3" s="665"/>
      <c r="AM3" s="665"/>
      <c r="AN3" s="665"/>
      <c r="AO3" s="665"/>
      <c r="AP3" s="665"/>
      <c r="AQ3" s="665"/>
      <c r="AR3" s="1025"/>
      <c r="AS3" s="1025"/>
      <c r="AT3" s="1025"/>
      <c r="AU3" s="1025"/>
      <c r="AV3" s="1025"/>
      <c r="AW3" s="1025"/>
      <c r="AX3" s="1025"/>
      <c r="AY3" s="1025"/>
      <c r="AZ3" s="1025"/>
      <c r="BA3" s="1027"/>
      <c r="BB3" s="665"/>
      <c r="BC3" s="665"/>
      <c r="BD3" s="665"/>
      <c r="BE3" s="665"/>
      <c r="BF3" s="665"/>
      <c r="BG3" s="665"/>
      <c r="BH3" s="1028"/>
      <c r="BI3" s="1028"/>
      <c r="BJ3" s="665"/>
      <c r="BK3" s="665"/>
      <c r="BL3" s="665"/>
      <c r="BM3" s="665"/>
    </row>
    <row r="4" spans="2:65" s="1032" customFormat="1" ht="18" customHeight="1">
      <c r="B4" s="1588" t="s">
        <v>61</v>
      </c>
      <c r="C4" s="1588"/>
      <c r="D4" s="1588"/>
      <c r="E4" s="1588"/>
      <c r="F4" s="1588"/>
      <c r="G4" s="1588"/>
      <c r="H4" s="1588" t="s">
        <v>62</v>
      </c>
      <c r="I4" s="1588"/>
      <c r="J4" s="1588"/>
      <c r="K4" s="1588"/>
      <c r="L4" s="1588"/>
      <c r="M4" s="1588"/>
      <c r="N4" s="1588"/>
      <c r="O4" s="1588"/>
      <c r="P4" s="1588"/>
      <c r="Q4" s="1588"/>
      <c r="R4" s="1588"/>
      <c r="S4" s="1588"/>
      <c r="T4" s="1588"/>
      <c r="U4" s="1588"/>
      <c r="V4" s="1588"/>
      <c r="W4" s="1588"/>
      <c r="X4" s="1588"/>
      <c r="Y4" s="1588"/>
      <c r="Z4" s="1588"/>
      <c r="AA4" s="1588"/>
      <c r="AB4" s="1588"/>
      <c r="AC4" s="1588"/>
      <c r="AD4" s="1588"/>
      <c r="AE4" s="1588"/>
      <c r="AF4" s="1588"/>
      <c r="AG4" s="1588"/>
      <c r="AH4" s="1588"/>
      <c r="AI4" s="1588"/>
      <c r="AJ4" s="1588"/>
      <c r="AK4" s="1588"/>
      <c r="AL4" s="1588"/>
      <c r="AM4" s="1004"/>
      <c r="AN4" s="1004"/>
      <c r="AO4" s="1004"/>
      <c r="AP4" s="1004"/>
      <c r="AQ4" s="1004"/>
      <c r="AR4" s="1029"/>
      <c r="AS4" s="1029"/>
      <c r="AT4" s="1029"/>
      <c r="AU4" s="1029"/>
      <c r="AV4" s="1029"/>
      <c r="AW4" s="1029"/>
      <c r="AX4" s="1029"/>
      <c r="AY4" s="1029"/>
      <c r="AZ4" s="1029"/>
      <c r="BA4" s="1030"/>
      <c r="BB4" s="1004"/>
      <c r="BC4" s="1004"/>
      <c r="BD4" s="1004"/>
      <c r="BE4" s="1004"/>
      <c r="BF4" s="1004"/>
      <c r="BG4" s="1004"/>
      <c r="BH4" s="1031"/>
      <c r="BI4" s="1031"/>
      <c r="BJ4" s="1004"/>
      <c r="BK4" s="1004"/>
      <c r="BL4" s="1004"/>
      <c r="BM4" s="1004"/>
    </row>
    <row r="5" spans="2:65" s="1036" customFormat="1" ht="15.75" customHeight="1">
      <c r="B5" s="1591" t="s">
        <v>63</v>
      </c>
      <c r="C5" s="1591"/>
      <c r="D5" s="1591"/>
      <c r="E5" s="1589"/>
      <c r="F5" s="1589"/>
      <c r="G5" s="1589"/>
      <c r="H5" s="1590" t="s">
        <v>65</v>
      </c>
      <c r="I5" s="1590"/>
      <c r="J5" s="1590"/>
      <c r="K5" s="1585" t="s">
        <v>66</v>
      </c>
      <c r="L5" s="1585"/>
      <c r="M5" s="1585"/>
      <c r="N5" s="1585" t="s">
        <v>67</v>
      </c>
      <c r="O5" s="1585"/>
      <c r="P5" s="1585"/>
      <c r="Q5" s="1585" t="s">
        <v>68</v>
      </c>
      <c r="R5" s="1585"/>
      <c r="S5" s="1585"/>
      <c r="T5" s="1585"/>
      <c r="U5" s="1585"/>
      <c r="V5" s="1073"/>
      <c r="W5" s="1585" t="s">
        <v>69</v>
      </c>
      <c r="X5" s="1585"/>
      <c r="Y5" s="1585"/>
      <c r="Z5" s="1585"/>
      <c r="AA5" s="1585"/>
      <c r="AB5" s="1073"/>
      <c r="AC5" s="1585" t="s">
        <v>70</v>
      </c>
      <c r="AD5" s="1585"/>
      <c r="AE5" s="1585"/>
      <c r="AF5" s="1585"/>
      <c r="AG5" s="1585"/>
      <c r="AH5" s="1585"/>
      <c r="AI5" s="1585"/>
      <c r="AJ5" s="1585"/>
      <c r="AK5" s="1585"/>
      <c r="AL5" s="1585"/>
      <c r="AM5" s="1005"/>
      <c r="AN5" s="1005"/>
      <c r="AO5" s="1005"/>
      <c r="AP5" s="1005"/>
      <c r="AQ5" s="1005"/>
      <c r="AR5" s="1033"/>
      <c r="AS5" s="1033"/>
      <c r="AT5" s="1033"/>
      <c r="AU5" s="1033"/>
      <c r="AV5" s="1033"/>
      <c r="AW5" s="1033"/>
      <c r="AX5" s="1033"/>
      <c r="AY5" s="1033"/>
      <c r="AZ5" s="1033"/>
      <c r="BA5" s="1034"/>
      <c r="BB5" s="1005"/>
      <c r="BC5" s="1005"/>
      <c r="BD5" s="1005"/>
      <c r="BE5" s="1005"/>
      <c r="BF5" s="1005"/>
      <c r="BG5" s="1005"/>
      <c r="BH5" s="1035"/>
      <c r="BI5" s="1035"/>
      <c r="BJ5" s="1005"/>
      <c r="BK5" s="1005"/>
      <c r="BL5" s="1005"/>
      <c r="BM5" s="1005"/>
    </row>
    <row r="6" spans="2:65" s="1036" customFormat="1" ht="15.75" customHeight="1">
      <c r="B6" s="1592" t="s">
        <v>71</v>
      </c>
      <c r="C6" s="1592"/>
      <c r="D6" s="1592"/>
      <c r="E6" s="1593"/>
      <c r="F6" s="1593"/>
      <c r="G6" s="1593"/>
      <c r="H6" s="1594" t="s">
        <v>72</v>
      </c>
      <c r="I6" s="1594"/>
      <c r="J6" s="1062">
        <f>AL26</f>
        <v>4908835.3984737359</v>
      </c>
      <c r="K6" s="1592" t="s">
        <v>73</v>
      </c>
      <c r="L6" s="1592"/>
      <c r="M6" s="1068">
        <f>Input　seet!D12</f>
        <v>234235236</v>
      </c>
      <c r="N6" s="1594" t="s">
        <v>74</v>
      </c>
      <c r="O6" s="1594"/>
      <c r="P6" s="1074">
        <f>Input　seet!D15+Input　seet!D16</f>
        <v>0</v>
      </c>
      <c r="Q6" s="1586" t="s">
        <v>75</v>
      </c>
      <c r="R6" s="1586"/>
      <c r="S6" s="1586"/>
      <c r="T6" s="1061" t="s">
        <v>76</v>
      </c>
      <c r="U6" s="1061" t="s">
        <v>77</v>
      </c>
      <c r="V6" s="1061"/>
      <c r="W6" s="1565" t="s">
        <v>75</v>
      </c>
      <c r="X6" s="1565"/>
      <c r="Y6" s="1565"/>
      <c r="Z6" s="1061" t="s">
        <v>76</v>
      </c>
      <c r="AA6" s="1565" t="s">
        <v>77</v>
      </c>
      <c r="AB6" s="1565"/>
      <c r="AC6" s="1565" t="s">
        <v>78</v>
      </c>
      <c r="AD6" s="1565"/>
      <c r="AE6" s="1565"/>
      <c r="AF6" s="1061" t="s">
        <v>79</v>
      </c>
      <c r="AG6" s="1061" t="s">
        <v>80</v>
      </c>
      <c r="AH6" s="1587" t="s">
        <v>81</v>
      </c>
      <c r="AI6" s="1587"/>
      <c r="AJ6" s="1587"/>
      <c r="AK6" s="1587"/>
      <c r="AL6" s="1061" t="s">
        <v>80</v>
      </c>
      <c r="AM6" s="1005"/>
      <c r="AN6" s="1005"/>
      <c r="AO6" s="1005"/>
      <c r="AP6" s="1005"/>
      <c r="AQ6" s="1005"/>
      <c r="AR6" s="1033"/>
      <c r="AS6" s="1033"/>
      <c r="AT6" s="1033"/>
      <c r="AU6" s="1033"/>
      <c r="AV6" s="1033"/>
      <c r="AW6" s="1033"/>
      <c r="AX6" s="1033"/>
      <c r="AY6" s="1033"/>
      <c r="AZ6" s="1033"/>
      <c r="BA6" s="1034"/>
      <c r="BB6" s="1005"/>
      <c r="BC6" s="1005"/>
      <c r="BD6" s="1005"/>
      <c r="BE6" s="1005"/>
      <c r="BF6" s="1005"/>
      <c r="BG6" s="1005"/>
      <c r="BH6" s="1035"/>
      <c r="BI6" s="1035"/>
      <c r="BJ6" s="1005"/>
      <c r="BK6" s="1005"/>
      <c r="BL6" s="1005"/>
      <c r="BM6" s="1005"/>
    </row>
    <row r="7" spans="2:65" s="1036" customFormat="1" ht="15.75" customHeight="1">
      <c r="B7" s="1592" t="s">
        <v>82</v>
      </c>
      <c r="C7" s="1592"/>
      <c r="D7" s="1592"/>
      <c r="E7" s="1059">
        <v>1</v>
      </c>
      <c r="F7" s="1060">
        <v>1</v>
      </c>
      <c r="G7" s="1061">
        <v>2018</v>
      </c>
      <c r="H7" s="1594" t="s">
        <v>83</v>
      </c>
      <c r="I7" s="1594"/>
      <c r="J7" s="1063">
        <f>Calculation!D12</f>
        <v>48</v>
      </c>
      <c r="K7" s="1592" t="s">
        <v>84</v>
      </c>
      <c r="L7" s="1592"/>
      <c r="M7" s="1068">
        <f>-Input　seet!D13</f>
        <v>-2500000</v>
      </c>
      <c r="N7" s="1594" t="s">
        <v>85</v>
      </c>
      <c r="O7" s="1594"/>
      <c r="P7" s="1074">
        <f>Input　seet!D18+Input　seet!D19</f>
        <v>0</v>
      </c>
      <c r="Q7" s="1600" t="s">
        <v>86</v>
      </c>
      <c r="R7" s="1600"/>
      <c r="S7" s="1600"/>
      <c r="T7" s="1075">
        <v>2500</v>
      </c>
      <c r="U7" s="1075">
        <f>IF(T7&gt;0,T7*J7,0)</f>
        <v>120000</v>
      </c>
      <c r="V7" s="1599" t="s">
        <v>235</v>
      </c>
      <c r="W7" s="1599"/>
      <c r="X7" s="1599"/>
      <c r="Y7" s="1599"/>
      <c r="Z7" s="1075"/>
      <c r="AA7" s="1606"/>
      <c r="AB7" s="1606"/>
      <c r="AC7" s="1599" t="s">
        <v>88</v>
      </c>
      <c r="AD7" s="1599"/>
      <c r="AE7" s="1599"/>
      <c r="AF7" s="1231"/>
      <c r="AG7" s="1075">
        <f>AF7*M8</f>
        <v>0</v>
      </c>
      <c r="AH7" s="1594" t="s">
        <v>89</v>
      </c>
      <c r="AI7" s="1594"/>
      <c r="AJ7" s="1594"/>
      <c r="AK7" s="1594"/>
      <c r="AL7" s="1075">
        <f>AF7*M9</f>
        <v>0</v>
      </c>
      <c r="AM7" s="1006"/>
      <c r="AN7" s="1006"/>
      <c r="AO7" s="1006"/>
      <c r="AP7" s="1006"/>
      <c r="AQ7" s="1006"/>
      <c r="AR7" s="1037"/>
      <c r="AS7" s="1037"/>
      <c r="AT7" s="1037"/>
      <c r="AU7" s="1037"/>
      <c r="AV7" s="1037"/>
      <c r="AW7" s="1037"/>
      <c r="AX7" s="1037"/>
      <c r="AY7" s="1037"/>
      <c r="AZ7" s="1037"/>
      <c r="BA7" s="1038"/>
      <c r="BB7" s="1006"/>
      <c r="BC7" s="1006"/>
      <c r="BD7" s="1006"/>
      <c r="BE7" s="1006"/>
      <c r="BF7" s="1006"/>
      <c r="BG7" s="1006"/>
      <c r="BH7" s="1039"/>
      <c r="BI7" s="1039"/>
      <c r="BJ7" s="1006"/>
      <c r="BK7" s="1006"/>
      <c r="BL7" s="1006"/>
      <c r="BM7" s="1006"/>
    </row>
    <row r="8" spans="2:65" s="1036" customFormat="1" ht="15.75" customHeight="1">
      <c r="B8" s="1592" t="s">
        <v>90</v>
      </c>
      <c r="C8" s="1592"/>
      <c r="D8" s="1592"/>
      <c r="E8" s="1059">
        <v>1</v>
      </c>
      <c r="F8" s="1060">
        <v>1</v>
      </c>
      <c r="G8" s="1059">
        <f>G7</f>
        <v>2018</v>
      </c>
      <c r="H8" s="1592" t="s">
        <v>92</v>
      </c>
      <c r="I8" s="1592"/>
      <c r="J8" s="1064" t="s">
        <v>93</v>
      </c>
      <c r="K8" s="1592" t="s">
        <v>94</v>
      </c>
      <c r="L8" s="1592"/>
      <c r="M8" s="1069">
        <f>M6+M7</f>
        <v>231735236</v>
      </c>
      <c r="N8" s="1594" t="s">
        <v>376</v>
      </c>
      <c r="O8" s="1594"/>
      <c r="P8" s="1074">
        <f>Input　seet!D40</f>
        <v>0</v>
      </c>
      <c r="Q8" s="1600" t="s">
        <v>96</v>
      </c>
      <c r="R8" s="1600"/>
      <c r="S8" s="1600"/>
      <c r="T8" s="1075"/>
      <c r="U8" s="1075">
        <f>IF(T8&gt;0,T8*J7,0)</f>
        <v>0</v>
      </c>
      <c r="V8" s="1599" t="s">
        <v>350</v>
      </c>
      <c r="W8" s="1599"/>
      <c r="X8" s="1599"/>
      <c r="Y8" s="1599"/>
      <c r="Z8" s="1075"/>
      <c r="AA8" s="1606">
        <f>Input　seet!D28</f>
        <v>0</v>
      </c>
      <c r="AB8" s="1606"/>
      <c r="AC8" s="1599" t="s">
        <v>98</v>
      </c>
      <c r="AD8" s="1599"/>
      <c r="AE8" s="1599"/>
      <c r="AF8" s="1231"/>
      <c r="AG8" s="1075">
        <f>AF8*P6</f>
        <v>0</v>
      </c>
      <c r="AH8" s="1594" t="s">
        <v>99</v>
      </c>
      <c r="AI8" s="1594"/>
      <c r="AJ8" s="1594"/>
      <c r="AK8" s="1594"/>
      <c r="AL8" s="1075">
        <f>AF8*P11</f>
        <v>0</v>
      </c>
      <c r="AM8" s="1006"/>
      <c r="AN8" s="1006"/>
      <c r="AO8" s="1006"/>
      <c r="AP8" s="1006"/>
      <c r="AQ8" s="1006"/>
      <c r="AR8" s="1037"/>
      <c r="AS8" s="1037"/>
      <c r="AT8" s="1037"/>
      <c r="AU8" s="1037"/>
      <c r="AV8" s="1037"/>
      <c r="AW8" s="1037"/>
      <c r="AX8" s="1037"/>
      <c r="AY8" s="1037"/>
      <c r="AZ8" s="1037"/>
      <c r="BA8" s="1038"/>
      <c r="BB8" s="1006"/>
      <c r="BC8" s="1006"/>
      <c r="BD8" s="1006"/>
      <c r="BE8" s="1006"/>
      <c r="BF8" s="1006"/>
      <c r="BG8" s="1006"/>
      <c r="BH8" s="1039"/>
      <c r="BI8" s="1039"/>
      <c r="BJ8" s="1006"/>
      <c r="BK8" s="1006"/>
      <c r="BL8" s="1006"/>
      <c r="BM8" s="1006"/>
    </row>
    <row r="9" spans="2:65" s="1036" customFormat="1" ht="15.75" customHeight="1">
      <c r="B9" s="1595"/>
      <c r="C9" s="1595"/>
      <c r="D9" s="1595"/>
      <c r="E9" s="1593"/>
      <c r="F9" s="1593"/>
      <c r="G9" s="1593"/>
      <c r="H9" s="1592" t="s">
        <v>100</v>
      </c>
      <c r="I9" s="1592"/>
      <c r="J9" s="1064" t="s">
        <v>101</v>
      </c>
      <c r="K9" s="1592" t="s">
        <v>102</v>
      </c>
      <c r="L9" s="1592"/>
      <c r="M9" s="1070">
        <f>Input　seet!D14</f>
        <v>23423523.600576535</v>
      </c>
      <c r="N9" s="1594"/>
      <c r="O9" s="1594"/>
      <c r="P9" s="1074"/>
      <c r="Q9" s="1601" t="s">
        <v>103</v>
      </c>
      <c r="R9" s="1601"/>
      <c r="S9" s="1601"/>
      <c r="T9" s="1075">
        <v>0</v>
      </c>
      <c r="U9" s="1075">
        <f>IF(T9&gt;0,T9*J7,0)</f>
        <v>0</v>
      </c>
      <c r="V9" s="1599" t="s">
        <v>104</v>
      </c>
      <c r="W9" s="1599"/>
      <c r="X9" s="1599"/>
      <c r="Y9" s="1599"/>
      <c r="Z9" s="1075"/>
      <c r="AA9" s="1606">
        <f>Input　seet!D37</f>
        <v>1285000</v>
      </c>
      <c r="AB9" s="1606"/>
      <c r="AC9" s="1599" t="s">
        <v>105</v>
      </c>
      <c r="AD9" s="1599"/>
      <c r="AE9" s="1599"/>
      <c r="AF9" s="1231"/>
      <c r="AG9" s="1075">
        <f>AF9*P7</f>
        <v>0</v>
      </c>
      <c r="AH9" s="1594" t="s">
        <v>106</v>
      </c>
      <c r="AI9" s="1594"/>
      <c r="AJ9" s="1594"/>
      <c r="AK9" s="1594"/>
      <c r="AL9" s="1075">
        <f>AF9*P12</f>
        <v>0</v>
      </c>
      <c r="AM9" s="1006"/>
      <c r="AN9" s="1006"/>
      <c r="AO9" s="1006"/>
      <c r="AP9" s="1006"/>
      <c r="AQ9" s="1006"/>
      <c r="AR9" s="1037"/>
      <c r="AS9" s="1037"/>
      <c r="AT9" s="1037"/>
      <c r="AU9" s="1037"/>
      <c r="AV9" s="1037"/>
      <c r="AW9" s="1037"/>
      <c r="AX9" s="1037"/>
      <c r="AY9" s="1037"/>
      <c r="AZ9" s="1037"/>
      <c r="BA9" s="1038"/>
      <c r="BB9" s="1006"/>
      <c r="BC9" s="1006"/>
      <c r="BD9" s="1006"/>
      <c r="BE9" s="1006"/>
      <c r="BF9" s="1006"/>
      <c r="BG9" s="1006"/>
      <c r="BH9" s="1039"/>
      <c r="BI9" s="1039"/>
      <c r="BJ9" s="1006"/>
      <c r="BK9" s="1006"/>
      <c r="BL9" s="1006"/>
      <c r="BM9" s="1006"/>
    </row>
    <row r="10" spans="2:65" s="1036" customFormat="1" ht="15.75" customHeight="1">
      <c r="B10" s="1594" t="s">
        <v>107</v>
      </c>
      <c r="C10" s="1594"/>
      <c r="D10" s="1594"/>
      <c r="E10" s="1594"/>
      <c r="F10" s="1594"/>
      <c r="G10" s="1101">
        <f>G14+5%</f>
        <v>0.1348</v>
      </c>
      <c r="H10" s="1592" t="s">
        <v>108</v>
      </c>
      <c r="I10" s="1592"/>
      <c r="J10" s="1064">
        <f>Calculation!C46</f>
        <v>15</v>
      </c>
      <c r="K10" s="1592" t="s">
        <v>109</v>
      </c>
      <c r="L10" s="1592"/>
      <c r="M10" s="1071"/>
      <c r="N10" s="1594" t="s">
        <v>110</v>
      </c>
      <c r="O10" s="1594"/>
      <c r="P10" s="1074">
        <f>P6+P7+P8</f>
        <v>0</v>
      </c>
      <c r="Q10" s="1601" t="s">
        <v>111</v>
      </c>
      <c r="R10" s="1601"/>
      <c r="S10" s="1601"/>
      <c r="T10" s="1076"/>
      <c r="U10" s="1075">
        <f>IF(T10&gt;0,T10*J7,0)</f>
        <v>0</v>
      </c>
      <c r="V10" s="1599" t="s">
        <v>112</v>
      </c>
      <c r="W10" s="1599"/>
      <c r="X10" s="1599"/>
      <c r="Y10" s="1077">
        <v>4.8611111111111112E-2</v>
      </c>
      <c r="Z10" s="1075"/>
      <c r="AA10" s="1606">
        <f>Input　seet!D34</f>
        <v>5242500</v>
      </c>
      <c r="AB10" s="1606"/>
      <c r="AC10" s="1599" t="s">
        <v>380</v>
      </c>
      <c r="AD10" s="1599"/>
      <c r="AE10" s="1599"/>
      <c r="AF10" s="1075"/>
      <c r="AG10" s="1232">
        <v>3</v>
      </c>
      <c r="AH10" s="1594" t="s">
        <v>114</v>
      </c>
      <c r="AI10" s="1594"/>
      <c r="AJ10" s="1594"/>
      <c r="AK10" s="1594"/>
      <c r="AL10" s="1075">
        <f>AG10</f>
        <v>3</v>
      </c>
      <c r="AM10" s="1006"/>
      <c r="AN10" s="1006"/>
      <c r="AO10" s="1006"/>
      <c r="AP10" s="1006"/>
      <c r="AQ10" s="1006"/>
      <c r="AR10" s="1037"/>
      <c r="AS10" s="1037"/>
      <c r="AT10" s="1037"/>
      <c r="AU10" s="1037"/>
      <c r="AV10" s="1037"/>
      <c r="AW10" s="1037"/>
      <c r="AX10" s="1037"/>
      <c r="AY10" s="1037"/>
      <c r="AZ10" s="1037"/>
      <c r="BA10" s="1038"/>
      <c r="BB10" s="1006"/>
      <c r="BC10" s="1006"/>
      <c r="BD10" s="1006"/>
      <c r="BE10" s="1006"/>
      <c r="BF10" s="1006"/>
      <c r="BG10" s="1006"/>
      <c r="BH10" s="1039"/>
      <c r="BI10" s="1039"/>
      <c r="BJ10" s="1006"/>
      <c r="BK10" s="1006"/>
      <c r="BL10" s="1006"/>
      <c r="BM10" s="1006"/>
    </row>
    <row r="11" spans="2:65" s="1036" customFormat="1" ht="15.75" customHeight="1">
      <c r="B11" s="1594" t="s">
        <v>115</v>
      </c>
      <c r="C11" s="1594"/>
      <c r="D11" s="1594"/>
      <c r="E11" s="1594"/>
      <c r="F11" s="1594"/>
      <c r="G11" s="1102"/>
      <c r="H11" s="1592"/>
      <c r="I11" s="1592"/>
      <c r="J11" s="1065"/>
      <c r="K11" s="1597" t="s">
        <v>116</v>
      </c>
      <c r="L11" s="1597"/>
      <c r="M11" s="1072">
        <f>Input　seet!D43</f>
        <v>0</v>
      </c>
      <c r="N11" s="1594" t="s">
        <v>117</v>
      </c>
      <c r="O11" s="1594"/>
      <c r="P11" s="1074">
        <f>Input　seet!D17</f>
        <v>0</v>
      </c>
      <c r="Q11" s="1601" t="s">
        <v>118</v>
      </c>
      <c r="R11" s="1601"/>
      <c r="S11" s="1601"/>
      <c r="T11" s="1076">
        <f>Input　seet!D32</f>
        <v>0</v>
      </c>
      <c r="U11" s="1075">
        <f>IF(T11&gt;0,T11*J7,0)</f>
        <v>0</v>
      </c>
      <c r="V11" s="1599" t="s">
        <v>236</v>
      </c>
      <c r="W11" s="1599"/>
      <c r="X11" s="1599"/>
      <c r="Y11" s="1599"/>
      <c r="Z11" s="1075"/>
      <c r="AA11" s="1606">
        <f>AA8*25%</f>
        <v>0</v>
      </c>
      <c r="AB11" s="1606"/>
      <c r="AC11" s="1599" t="s">
        <v>381</v>
      </c>
      <c r="AD11" s="1599"/>
      <c r="AE11" s="1599"/>
      <c r="AF11" s="1075"/>
      <c r="AG11" s="1232">
        <v>3</v>
      </c>
      <c r="AH11" s="1594" t="s">
        <v>121</v>
      </c>
      <c r="AI11" s="1594"/>
      <c r="AJ11" s="1594"/>
      <c r="AK11" s="1594"/>
      <c r="AL11" s="1075">
        <f>AG11</f>
        <v>3</v>
      </c>
      <c r="AM11" s="1006"/>
      <c r="AN11" s="1006"/>
      <c r="AO11" s="1006"/>
      <c r="AP11" s="1006"/>
      <c r="AQ11" s="1006"/>
      <c r="AR11" s="1037"/>
      <c r="AS11" s="1037"/>
      <c r="AT11" s="1037"/>
      <c r="AU11" s="1037"/>
      <c r="AV11" s="1037"/>
      <c r="AW11" s="1037"/>
      <c r="AX11" s="1037"/>
      <c r="AY11" s="1037"/>
      <c r="AZ11" s="1037"/>
      <c r="BA11" s="1038"/>
      <c r="BB11" s="1006"/>
      <c r="BC11" s="1006"/>
      <c r="BD11" s="1006"/>
      <c r="BE11" s="1006"/>
      <c r="BF11" s="1006"/>
      <c r="BG11" s="1006"/>
      <c r="BH11" s="1039"/>
      <c r="BI11" s="1039"/>
      <c r="BJ11" s="1006"/>
      <c r="BK11" s="1006"/>
      <c r="BL11" s="1006"/>
      <c r="BM11" s="1006"/>
    </row>
    <row r="12" spans="2:65" s="1036" customFormat="1" ht="15.75" customHeight="1">
      <c r="B12" s="1594" t="s">
        <v>122</v>
      </c>
      <c r="C12" s="1594"/>
      <c r="D12" s="1594"/>
      <c r="E12" s="1594"/>
      <c r="F12" s="1594"/>
      <c r="G12" s="1102"/>
      <c r="H12" s="1596" t="s">
        <v>123</v>
      </c>
      <c r="I12" s="1596"/>
      <c r="J12" s="1064"/>
      <c r="K12" s="1592" t="s">
        <v>124</v>
      </c>
      <c r="L12" s="1592"/>
      <c r="M12" s="1069">
        <f>M11*10%</f>
        <v>0</v>
      </c>
      <c r="N12" s="1594" t="s">
        <v>125</v>
      </c>
      <c r="O12" s="1594"/>
      <c r="P12" s="1078">
        <f>Input　seet!D20</f>
        <v>0</v>
      </c>
      <c r="Q12" s="1602"/>
      <c r="R12" s="1602"/>
      <c r="S12" s="1602"/>
      <c r="T12" s="1607"/>
      <c r="U12" s="1607"/>
      <c r="V12" s="1563"/>
      <c r="W12" s="1563"/>
      <c r="X12" s="1563"/>
      <c r="Y12" s="1563"/>
      <c r="Z12" s="1563"/>
      <c r="AA12" s="1606"/>
      <c r="AB12" s="1606"/>
      <c r="AC12" s="1599" t="s">
        <v>382</v>
      </c>
      <c r="AD12" s="1599"/>
      <c r="AE12" s="1599"/>
      <c r="AF12" s="1075"/>
      <c r="AG12" s="1232">
        <v>3</v>
      </c>
      <c r="AH12" s="1594" t="s">
        <v>127</v>
      </c>
      <c r="AI12" s="1594"/>
      <c r="AJ12" s="1594"/>
      <c r="AK12" s="1594"/>
      <c r="AL12" s="1075">
        <f>AG12</f>
        <v>3</v>
      </c>
      <c r="AM12" s="1006"/>
      <c r="AN12" s="1006"/>
      <c r="AO12" s="1006"/>
      <c r="AP12" s="1006"/>
      <c r="AQ12" s="1006"/>
      <c r="AR12" s="1037"/>
      <c r="AS12" s="1037"/>
      <c r="AT12" s="1037"/>
      <c r="AU12" s="1037"/>
      <c r="AV12" s="1037"/>
      <c r="AW12" s="1037"/>
      <c r="AX12" s="1037"/>
      <c r="AY12" s="1037"/>
      <c r="AZ12" s="1037"/>
      <c r="BA12" s="1038"/>
      <c r="BB12" s="1006"/>
      <c r="BC12" s="1006"/>
      <c r="BD12" s="1006"/>
      <c r="BE12" s="1006"/>
      <c r="BF12" s="1006"/>
      <c r="BG12" s="1006"/>
      <c r="BH12" s="1039"/>
      <c r="BI12" s="1039"/>
      <c r="BJ12" s="1006"/>
      <c r="BK12" s="1006"/>
      <c r="BL12" s="1006"/>
      <c r="BM12" s="1006"/>
    </row>
    <row r="13" spans="2:65" s="1036" customFormat="1" ht="15.75" customHeight="1">
      <c r="B13" s="1594" t="s">
        <v>128</v>
      </c>
      <c r="C13" s="1594"/>
      <c r="D13" s="1594"/>
      <c r="E13" s="1594"/>
      <c r="F13" s="1594"/>
      <c r="G13" s="1102">
        <f>Calculation!D13</f>
        <v>0.12759999999999999</v>
      </c>
      <c r="H13" s="1592"/>
      <c r="I13" s="1592"/>
      <c r="J13" s="1066"/>
      <c r="K13" s="1598" t="s">
        <v>129</v>
      </c>
      <c r="L13" s="1598"/>
      <c r="M13" s="1069">
        <f>M11*15%</f>
        <v>0</v>
      </c>
      <c r="N13" s="1594" t="s">
        <v>130</v>
      </c>
      <c r="O13" s="1594"/>
      <c r="P13" s="1078"/>
      <c r="Q13" s="1569" t="s">
        <v>131</v>
      </c>
      <c r="R13" s="1569"/>
      <c r="S13" s="1569"/>
      <c r="T13" s="1584"/>
      <c r="U13" s="1584"/>
      <c r="V13" s="1563"/>
      <c r="W13" s="1563"/>
      <c r="X13" s="1563"/>
      <c r="Y13" s="1563"/>
      <c r="Z13" s="1563"/>
      <c r="AA13" s="1606"/>
      <c r="AB13" s="1606"/>
      <c r="AC13" s="1079"/>
      <c r="AD13" s="1079"/>
      <c r="AE13" s="1079"/>
      <c r="AF13" s="1563"/>
      <c r="AG13" s="1563"/>
      <c r="AH13" s="1594"/>
      <c r="AI13" s="1594"/>
      <c r="AJ13" s="1594"/>
      <c r="AK13" s="1594"/>
      <c r="AL13" s="1075"/>
      <c r="AM13" s="1006"/>
      <c r="AN13" s="1006"/>
      <c r="AO13" s="1006"/>
      <c r="AP13" s="1006"/>
      <c r="AQ13" s="1006"/>
      <c r="AR13" s="1037"/>
      <c r="AS13" s="1037"/>
      <c r="AT13" s="1037"/>
      <c r="AU13" s="1037"/>
      <c r="AV13" s="1037"/>
      <c r="AW13" s="1037"/>
      <c r="AX13" s="1037"/>
      <c r="AY13" s="1037"/>
      <c r="AZ13" s="1037"/>
      <c r="BA13" s="1038"/>
      <c r="BB13" s="1006"/>
      <c r="BC13" s="1006"/>
      <c r="BD13" s="1006"/>
      <c r="BE13" s="1006"/>
      <c r="BF13" s="1006"/>
      <c r="BG13" s="1006"/>
      <c r="BH13" s="1039"/>
      <c r="BI13" s="1039"/>
      <c r="BJ13" s="1006"/>
      <c r="BK13" s="1006"/>
      <c r="BL13" s="1006"/>
      <c r="BM13" s="1006"/>
    </row>
    <row r="14" spans="2:65" s="1036" customFormat="1" ht="15.75" customHeight="1">
      <c r="B14" s="1594" t="s">
        <v>132</v>
      </c>
      <c r="C14" s="1594"/>
      <c r="D14" s="1594"/>
      <c r="E14" s="1594"/>
      <c r="F14" s="1594"/>
      <c r="G14" s="1102">
        <f>Calculation!D14</f>
        <v>8.48E-2</v>
      </c>
      <c r="H14" s="1592"/>
      <c r="I14" s="1592"/>
      <c r="J14" s="1067"/>
      <c r="K14" s="1597" t="s">
        <v>133</v>
      </c>
      <c r="L14" s="1597"/>
      <c r="M14" s="1186">
        <f>Input　seet!D22</f>
        <v>56778621.2064</v>
      </c>
      <c r="N14" s="1594" t="s">
        <v>134</v>
      </c>
      <c r="O14" s="1594"/>
      <c r="P14" s="1071"/>
      <c r="Q14" s="1569"/>
      <c r="R14" s="1569"/>
      <c r="S14" s="1569"/>
      <c r="T14" s="1608">
        <v>1</v>
      </c>
      <c r="U14" s="1608"/>
      <c r="V14" s="1563"/>
      <c r="W14" s="1563"/>
      <c r="X14" s="1563"/>
      <c r="Y14" s="1563"/>
      <c r="Z14" s="1563"/>
      <c r="AA14" s="1606"/>
      <c r="AB14" s="1606"/>
      <c r="AC14" s="1079"/>
      <c r="AD14" s="1079"/>
      <c r="AE14" s="1079"/>
      <c r="AF14" s="1563"/>
      <c r="AG14" s="1563"/>
      <c r="AH14" s="1594"/>
      <c r="AI14" s="1594"/>
      <c r="AJ14" s="1594"/>
      <c r="AK14" s="1594"/>
      <c r="AL14" s="1075"/>
      <c r="AM14" s="1006"/>
      <c r="AN14" s="1006"/>
      <c r="AO14" s="1006"/>
      <c r="AP14" s="1006"/>
      <c r="AQ14" s="1006"/>
      <c r="AR14" s="1037"/>
      <c r="AS14" s="1037"/>
      <c r="AT14" s="1037"/>
      <c r="AU14" s="1037"/>
      <c r="AV14" s="1037"/>
      <c r="AW14" s="1037"/>
      <c r="AX14" s="1037"/>
      <c r="AY14" s="1037"/>
      <c r="AZ14" s="1037"/>
      <c r="BA14" s="1038"/>
      <c r="BB14" s="1006"/>
      <c r="BC14" s="1006"/>
      <c r="BD14" s="1006"/>
      <c r="BE14" s="1006"/>
      <c r="BF14" s="1006"/>
      <c r="BG14" s="1006"/>
      <c r="BH14" s="1039"/>
      <c r="BI14" s="1039"/>
      <c r="BJ14" s="1006"/>
      <c r="BK14" s="1006"/>
      <c r="BL14" s="1006"/>
      <c r="BM14" s="1006"/>
    </row>
    <row r="15" spans="2:65" s="1036" customFormat="1" ht="15.75" customHeight="1">
      <c r="B15" s="1594" t="s">
        <v>135</v>
      </c>
      <c r="C15" s="1594"/>
      <c r="D15" s="1594"/>
      <c r="E15" s="1594"/>
      <c r="F15" s="1594"/>
      <c r="G15" s="1101">
        <f>G13-G14</f>
        <v>4.2799999999999991E-2</v>
      </c>
      <c r="H15" s="1592"/>
      <c r="I15" s="1592"/>
      <c r="J15" s="1067"/>
      <c r="K15" s="1592" t="s">
        <v>136</v>
      </c>
      <c r="L15" s="1592"/>
      <c r="M15" s="1185">
        <f>M14-(M14/1.1)</f>
        <v>5161692.8369454592</v>
      </c>
      <c r="N15" s="1594"/>
      <c r="O15" s="1594"/>
      <c r="P15" s="1080"/>
      <c r="Q15" s="1586"/>
      <c r="R15" s="1586"/>
      <c r="S15" s="1586"/>
      <c r="T15" s="1565"/>
      <c r="U15" s="1565"/>
      <c r="V15" s="1563"/>
      <c r="W15" s="1563"/>
      <c r="X15" s="1563"/>
      <c r="Y15" s="1563"/>
      <c r="Z15" s="1563"/>
      <c r="AA15" s="1606"/>
      <c r="AB15" s="1606"/>
      <c r="AC15" s="1079"/>
      <c r="AD15" s="1079"/>
      <c r="AE15" s="1079"/>
      <c r="AF15" s="1563"/>
      <c r="AG15" s="1563"/>
      <c r="AH15" s="1594"/>
      <c r="AI15" s="1594"/>
      <c r="AJ15" s="1594"/>
      <c r="AK15" s="1594"/>
      <c r="AL15" s="1075"/>
      <c r="AM15" s="1006"/>
      <c r="AN15" s="1006"/>
      <c r="AO15" s="1006"/>
      <c r="AP15" s="1006"/>
      <c r="AQ15" s="1006"/>
      <c r="AR15" s="1037"/>
      <c r="AS15" s="1037"/>
      <c r="AT15" s="1037"/>
      <c r="AU15" s="1037"/>
      <c r="AV15" s="1037"/>
      <c r="AW15" s="1037"/>
      <c r="AX15" s="1037"/>
      <c r="AY15" s="1037"/>
      <c r="AZ15" s="1037"/>
      <c r="BA15" s="1038"/>
      <c r="BB15" s="1006"/>
      <c r="BC15" s="1006"/>
      <c r="BD15" s="1006"/>
      <c r="BE15" s="1006"/>
      <c r="BF15" s="1006"/>
      <c r="BG15" s="1006"/>
      <c r="BH15" s="1039"/>
      <c r="BI15" s="1039"/>
      <c r="BJ15" s="1006"/>
      <c r="BK15" s="1006"/>
      <c r="BL15" s="1006"/>
      <c r="BM15" s="1006"/>
    </row>
    <row r="16" spans="2:65" ht="15.75" customHeight="1" thickBot="1">
      <c r="B16" s="1040"/>
      <c r="C16" s="1040"/>
      <c r="D16" s="1040"/>
      <c r="E16" s="1058"/>
      <c r="F16" s="1058"/>
      <c r="G16" s="1040"/>
      <c r="H16" s="1040"/>
      <c r="I16" s="1040"/>
      <c r="J16" s="1040"/>
      <c r="M16" s="1041"/>
      <c r="S16" s="808"/>
      <c r="AI16" s="1010"/>
    </row>
    <row r="17" spans="1:61" s="680" customFormat="1" ht="21.95" customHeight="1" thickTop="1">
      <c r="B17" s="1609" t="s">
        <v>137</v>
      </c>
      <c r="C17" s="1609" t="s">
        <v>367</v>
      </c>
      <c r="D17" s="1603" t="s">
        <v>139</v>
      </c>
      <c r="E17" s="1570" t="s">
        <v>140</v>
      </c>
      <c r="F17" s="1571"/>
      <c r="G17" s="1571"/>
      <c r="H17" s="1571"/>
      <c r="I17" s="1571"/>
      <c r="J17" s="1571"/>
      <c r="K17" s="1571"/>
      <c r="L17" s="1571"/>
      <c r="M17" s="1571"/>
      <c r="N17" s="1571"/>
      <c r="O17" s="1571"/>
      <c r="P17" s="1571"/>
      <c r="Q17" s="1571"/>
      <c r="R17" s="1571"/>
      <c r="S17" s="1571"/>
      <c r="T17" s="1571"/>
      <c r="U17" s="1572" t="s">
        <v>340</v>
      </c>
      <c r="V17" s="1566" t="s">
        <v>344</v>
      </c>
      <c r="W17" s="1570" t="s">
        <v>142</v>
      </c>
      <c r="X17" s="1571"/>
      <c r="Y17" s="1571"/>
      <c r="Z17" s="1571"/>
      <c r="AA17" s="1571"/>
      <c r="AB17" s="1612" t="s">
        <v>288</v>
      </c>
      <c r="AC17" s="1575" t="s">
        <v>341</v>
      </c>
      <c r="AD17" s="1578" t="s">
        <v>342</v>
      </c>
      <c r="AE17" s="1560" t="s">
        <v>346</v>
      </c>
      <c r="AF17" s="1560" t="s">
        <v>345</v>
      </c>
      <c r="AG17" s="1615" t="s">
        <v>347</v>
      </c>
      <c r="AH17" s="1615" t="s">
        <v>348</v>
      </c>
      <c r="AI17" s="1551" t="s">
        <v>349</v>
      </c>
      <c r="AJ17" s="1554" t="s">
        <v>146</v>
      </c>
      <c r="AK17" s="1555"/>
      <c r="AL17" s="1555"/>
      <c r="AM17" s="1555"/>
      <c r="AN17" s="1556"/>
      <c r="AO17" s="1554" t="s">
        <v>147</v>
      </c>
      <c r="AP17" s="1555"/>
      <c r="AQ17" s="1555"/>
      <c r="AR17" s="1556"/>
      <c r="AS17" s="1515" t="s">
        <v>148</v>
      </c>
      <c r="AT17" s="1535" t="s">
        <v>151</v>
      </c>
    </row>
    <row r="18" spans="1:61" s="680" customFormat="1" ht="18" customHeight="1">
      <c r="B18" s="1610"/>
      <c r="C18" s="1610"/>
      <c r="D18" s="1604"/>
      <c r="E18" s="1538" t="s">
        <v>266</v>
      </c>
      <c r="F18" s="1539"/>
      <c r="G18" s="1539" t="s">
        <v>267</v>
      </c>
      <c r="H18" s="1539"/>
      <c r="I18" s="1539" t="s">
        <v>268</v>
      </c>
      <c r="J18" s="1539"/>
      <c r="K18" s="1539" t="s">
        <v>269</v>
      </c>
      <c r="L18" s="1539"/>
      <c r="M18" s="1540" t="s">
        <v>157</v>
      </c>
      <c r="N18" s="1542" t="s">
        <v>338</v>
      </c>
      <c r="O18" s="1540" t="s">
        <v>159</v>
      </c>
      <c r="P18" s="1539" t="s">
        <v>270</v>
      </c>
      <c r="Q18" s="1550"/>
      <c r="R18" s="1581" t="s">
        <v>161</v>
      </c>
      <c r="S18" s="1581" t="s">
        <v>383</v>
      </c>
      <c r="T18" s="1540" t="s">
        <v>339</v>
      </c>
      <c r="U18" s="1573"/>
      <c r="V18" s="1567"/>
      <c r="W18" s="1583" t="s">
        <v>271</v>
      </c>
      <c r="X18" s="1547"/>
      <c r="Y18" s="1547" t="s">
        <v>272</v>
      </c>
      <c r="Z18" s="1547"/>
      <c r="AA18" s="1547"/>
      <c r="AB18" s="1613"/>
      <c r="AC18" s="1576"/>
      <c r="AD18" s="1579"/>
      <c r="AE18" s="1561"/>
      <c r="AF18" s="1561"/>
      <c r="AG18" s="1616"/>
      <c r="AH18" s="1616"/>
      <c r="AI18" s="1552"/>
      <c r="AJ18" s="1523" t="s">
        <v>284</v>
      </c>
      <c r="AK18" s="1526" t="s">
        <v>167</v>
      </c>
      <c r="AL18" s="1529" t="s">
        <v>168</v>
      </c>
      <c r="AM18" s="1526" t="s">
        <v>169</v>
      </c>
      <c r="AN18" s="1532" t="s">
        <v>170</v>
      </c>
      <c r="AO18" s="1518" t="s">
        <v>171</v>
      </c>
      <c r="AP18" s="1521" t="s">
        <v>172</v>
      </c>
      <c r="AQ18" s="1557" t="s">
        <v>173</v>
      </c>
      <c r="AR18" s="1118" t="s">
        <v>174</v>
      </c>
      <c r="AS18" s="1516"/>
      <c r="AT18" s="1536"/>
    </row>
    <row r="19" spans="1:61" s="680" customFormat="1" ht="18" customHeight="1">
      <c r="B19" s="1610"/>
      <c r="C19" s="1610"/>
      <c r="D19" s="1604"/>
      <c r="E19" s="1538" t="s">
        <v>343</v>
      </c>
      <c r="F19" s="1544" t="s">
        <v>182</v>
      </c>
      <c r="G19" s="1539" t="s">
        <v>181</v>
      </c>
      <c r="H19" s="1544" t="s">
        <v>182</v>
      </c>
      <c r="I19" s="1539" t="s">
        <v>181</v>
      </c>
      <c r="J19" s="1544" t="s">
        <v>182</v>
      </c>
      <c r="K19" s="1539" t="s">
        <v>183</v>
      </c>
      <c r="L19" s="1544" t="s">
        <v>182</v>
      </c>
      <c r="M19" s="1540"/>
      <c r="N19" s="1542"/>
      <c r="O19" s="1540"/>
      <c r="P19" s="1539" t="s">
        <v>183</v>
      </c>
      <c r="Q19" s="1544" t="s">
        <v>182</v>
      </c>
      <c r="R19" s="1581"/>
      <c r="S19" s="1581"/>
      <c r="T19" s="1540"/>
      <c r="U19" s="1573"/>
      <c r="V19" s="1567"/>
      <c r="W19" s="1583" t="s">
        <v>184</v>
      </c>
      <c r="X19" s="1650" t="s">
        <v>169</v>
      </c>
      <c r="Y19" s="1547" t="s">
        <v>185</v>
      </c>
      <c r="Z19" s="1539" t="s">
        <v>169</v>
      </c>
      <c r="AA19" s="1539" t="s">
        <v>170</v>
      </c>
      <c r="AB19" s="1613"/>
      <c r="AC19" s="1576"/>
      <c r="AD19" s="1579"/>
      <c r="AE19" s="1561"/>
      <c r="AF19" s="1561"/>
      <c r="AG19" s="1616"/>
      <c r="AH19" s="1616"/>
      <c r="AI19" s="1552"/>
      <c r="AJ19" s="1524"/>
      <c r="AK19" s="1527"/>
      <c r="AL19" s="1530"/>
      <c r="AM19" s="1527"/>
      <c r="AN19" s="1533"/>
      <c r="AO19" s="1519"/>
      <c r="AP19" s="1521"/>
      <c r="AQ19" s="1558"/>
      <c r="AR19" s="1119"/>
      <c r="AS19" s="1516"/>
      <c r="AT19" s="1536"/>
    </row>
    <row r="20" spans="1:61" s="680" customFormat="1" ht="30.75" customHeight="1" thickBot="1">
      <c r="B20" s="1611"/>
      <c r="C20" s="1611"/>
      <c r="D20" s="1605"/>
      <c r="E20" s="1564"/>
      <c r="F20" s="1545"/>
      <c r="G20" s="1546"/>
      <c r="H20" s="1545"/>
      <c r="I20" s="1546"/>
      <c r="J20" s="1545"/>
      <c r="K20" s="1546"/>
      <c r="L20" s="1545"/>
      <c r="M20" s="1541"/>
      <c r="N20" s="1543"/>
      <c r="O20" s="1541"/>
      <c r="P20" s="1546"/>
      <c r="Q20" s="1545"/>
      <c r="R20" s="1582"/>
      <c r="S20" s="1582"/>
      <c r="T20" s="1541"/>
      <c r="U20" s="1574"/>
      <c r="V20" s="1568"/>
      <c r="W20" s="1649"/>
      <c r="X20" s="1651"/>
      <c r="Y20" s="1548"/>
      <c r="Z20" s="1549"/>
      <c r="AA20" s="1549"/>
      <c r="AB20" s="1614"/>
      <c r="AC20" s="1577"/>
      <c r="AD20" s="1580"/>
      <c r="AE20" s="1562"/>
      <c r="AF20" s="1562"/>
      <c r="AG20" s="1617"/>
      <c r="AH20" s="1617"/>
      <c r="AI20" s="1553"/>
      <c r="AJ20" s="1525"/>
      <c r="AK20" s="1528"/>
      <c r="AL20" s="1531"/>
      <c r="AM20" s="1528"/>
      <c r="AN20" s="1534"/>
      <c r="AO20" s="1520"/>
      <c r="AP20" s="1522"/>
      <c r="AQ20" s="1559"/>
      <c r="AR20" s="1120"/>
      <c r="AS20" s="1517"/>
      <c r="AT20" s="1537"/>
    </row>
    <row r="21" spans="1:61" s="726" customFormat="1" ht="15.75" customHeight="1" thickTop="1" thickBot="1">
      <c r="B21" s="1002"/>
      <c r="C21" s="1002"/>
      <c r="D21" s="1002"/>
      <c r="E21" s="702"/>
      <c r="F21" s="702"/>
      <c r="G21" s="702"/>
      <c r="H21" s="702"/>
      <c r="I21" s="702"/>
      <c r="J21" s="702"/>
      <c r="K21" s="702"/>
      <c r="L21" s="702"/>
      <c r="M21" s="702"/>
      <c r="N21" s="1200"/>
      <c r="O21" s="702"/>
      <c r="P21" s="702"/>
      <c r="Q21" s="702"/>
      <c r="R21" s="702"/>
      <c r="S21" s="702"/>
      <c r="T21" s="702"/>
      <c r="U21" s="702"/>
      <c r="V21" s="702"/>
      <c r="W21" s="1044"/>
      <c r="X21" s="702"/>
      <c r="Y21" s="702"/>
      <c r="Z21" s="702"/>
      <c r="AA21" s="702"/>
      <c r="AB21" s="1200"/>
      <c r="AC21" s="1200"/>
      <c r="AD21" s="1045"/>
      <c r="AF21" s="1045"/>
      <c r="AG21" s="1045"/>
      <c r="AH21" s="1045"/>
      <c r="AI21" s="702"/>
      <c r="AJ21" s="702"/>
      <c r="AK21" s="702"/>
      <c r="AL21" s="702"/>
      <c r="AM21" s="702"/>
      <c r="AN21" s="702"/>
      <c r="AO21" s="701"/>
      <c r="AP21" s="701"/>
      <c r="AQ21" s="701"/>
      <c r="AR21" s="701"/>
      <c r="AS21" s="701"/>
      <c r="AT21" s="702"/>
    </row>
    <row r="22" spans="1:61" s="726" customFormat="1" ht="15.75" customHeight="1" thickTop="1">
      <c r="A22" s="1224">
        <v>-3</v>
      </c>
      <c r="B22" s="1097">
        <v>-3</v>
      </c>
      <c r="C22" s="1098">
        <f>IF($C23=1,12,$C23-1)</f>
        <v>10</v>
      </c>
      <c r="D22" s="1099">
        <f>IF($C25=1,$D$25-1,"             ")</f>
        <v>2017</v>
      </c>
      <c r="E22" s="1084">
        <f>IF($AG$10=$A22*-1,$AG$7*-1,0)</f>
        <v>0</v>
      </c>
      <c r="F22" s="1092"/>
      <c r="G22" s="1085">
        <f>IF($AG$11=$A22*-1,$AG$8*-1,0)</f>
        <v>0</v>
      </c>
      <c r="H22" s="1092"/>
      <c r="I22" s="1085">
        <f>IF($A22*-1=$AG$12,$AG$9*-1,0)</f>
        <v>0</v>
      </c>
      <c r="J22" s="1092"/>
      <c r="K22" s="1085"/>
      <c r="L22" s="1092"/>
      <c r="M22" s="1085"/>
      <c r="N22" s="1215"/>
      <c r="O22" s="1085"/>
      <c r="P22" s="1085"/>
      <c r="Q22" s="1092"/>
      <c r="R22" s="1085"/>
      <c r="S22" s="1085">
        <f>(E22+F22+G22+H22+I22+J22)*G14*1/12</f>
        <v>0</v>
      </c>
      <c r="T22" s="1085"/>
      <c r="U22" s="1085">
        <f>SUM(E22:T22)</f>
        <v>0</v>
      </c>
      <c r="V22" s="1103">
        <f t="shared" ref="V22:V24" si="0">M22+P22+T22+N22</f>
        <v>0</v>
      </c>
      <c r="W22" s="1106"/>
      <c r="X22" s="1121"/>
      <c r="Y22" s="1107"/>
      <c r="Z22" s="1107"/>
      <c r="AA22" s="1107"/>
      <c r="AB22" s="1201"/>
      <c r="AC22" s="1206">
        <v>0</v>
      </c>
      <c r="AD22" s="1113">
        <f>U22+AC22</f>
        <v>0</v>
      </c>
      <c r="AE22" s="1114">
        <f>(U22-V22)+AC22</f>
        <v>0</v>
      </c>
      <c r="AF22" s="1115">
        <f>V22</f>
        <v>0</v>
      </c>
      <c r="AG22" s="1082">
        <f t="shared" ref="AG22:AG24" si="1">PV($G$13/12,$B22,0,$AE22*-1,0)</f>
        <v>0</v>
      </c>
      <c r="AH22" s="1115"/>
      <c r="AI22" s="1116">
        <f t="shared" ref="AI22:AI24" si="2">AG22+AH22</f>
        <v>0</v>
      </c>
      <c r="AJ22" s="1106"/>
      <c r="AK22" s="1121"/>
      <c r="AL22" s="1107"/>
      <c r="AM22" s="1121"/>
      <c r="AN22" s="1121"/>
      <c r="AO22" s="1122"/>
      <c r="AP22" s="1122"/>
      <c r="AQ22" s="1122"/>
      <c r="AR22" s="1122"/>
      <c r="AS22" s="1122"/>
      <c r="AT22" s="1123">
        <v>-3</v>
      </c>
    </row>
    <row r="23" spans="1:61" s="726" customFormat="1" ht="15.75" customHeight="1">
      <c r="A23" s="1224">
        <v>-2</v>
      </c>
      <c r="B23" s="1097">
        <v>-2</v>
      </c>
      <c r="C23" s="1098">
        <f>IF($C24=1,12,$C24-1)</f>
        <v>11</v>
      </c>
      <c r="D23" s="1099"/>
      <c r="E23" s="1086">
        <f t="shared" ref="E23:E24" si="3">IF($AG$10=$A23*-1,$AG$7*-1,0)</f>
        <v>0</v>
      </c>
      <c r="F23" s="1093"/>
      <c r="G23" s="1081">
        <f t="shared" ref="G23:G24" si="4">IF($AG$11=$A23*-1,$AG$8*-1,0)</f>
        <v>0</v>
      </c>
      <c r="H23" s="1093"/>
      <c r="I23" s="1081">
        <f t="shared" ref="I23:I24" si="5">IF($A23*-1=$AG$12,$AG$9*-1,0)</f>
        <v>0</v>
      </c>
      <c r="J23" s="1093"/>
      <c r="K23" s="1081"/>
      <c r="L23" s="1093"/>
      <c r="M23" s="1081"/>
      <c r="N23" s="1216"/>
      <c r="O23" s="1081"/>
      <c r="P23" s="1081"/>
      <c r="Q23" s="1093"/>
      <c r="R23" s="1081"/>
      <c r="S23" s="1081">
        <f>SUM(E22:J23)*G14*1/12</f>
        <v>0</v>
      </c>
      <c r="T23" s="1081"/>
      <c r="U23" s="1081">
        <f t="shared" ref="U23:U53" si="6">SUM(E23:T23)</f>
        <v>0</v>
      </c>
      <c r="V23" s="1104">
        <f t="shared" si="0"/>
        <v>0</v>
      </c>
      <c r="W23" s="1108"/>
      <c r="X23" s="1124"/>
      <c r="Y23" s="1097"/>
      <c r="Z23" s="1097"/>
      <c r="AA23" s="1097"/>
      <c r="AB23" s="1202"/>
      <c r="AC23" s="1207">
        <v>0</v>
      </c>
      <c r="AD23" s="1112">
        <f t="shared" ref="AD23:AD53" si="7">U23+AC23</f>
        <v>0</v>
      </c>
      <c r="AE23" s="1083">
        <f t="shared" ref="AE23:AE53" si="8">(U23-V23)+AC23</f>
        <v>0</v>
      </c>
      <c r="AF23" s="1082">
        <f t="shared" ref="AF23:AF86" si="9">V23</f>
        <v>0</v>
      </c>
      <c r="AG23" s="1082">
        <f t="shared" si="1"/>
        <v>0</v>
      </c>
      <c r="AH23" s="1082"/>
      <c r="AI23" s="1116">
        <f t="shared" si="2"/>
        <v>0</v>
      </c>
      <c r="AJ23" s="1108"/>
      <c r="AK23" s="1124"/>
      <c r="AL23" s="1097"/>
      <c r="AM23" s="1124"/>
      <c r="AN23" s="1124"/>
      <c r="AO23" s="1125"/>
      <c r="AP23" s="1125"/>
      <c r="AQ23" s="1125"/>
      <c r="AR23" s="1125"/>
      <c r="AS23" s="1125"/>
      <c r="AT23" s="1126">
        <v>-2</v>
      </c>
    </row>
    <row r="24" spans="1:61" s="726" customFormat="1" ht="15.75" customHeight="1">
      <c r="A24" s="1224">
        <v>-1</v>
      </c>
      <c r="B24" s="1097">
        <v>-1</v>
      </c>
      <c r="C24" s="1098">
        <f>IF($C25=1,12,$C25-1)</f>
        <v>12</v>
      </c>
      <c r="D24" s="1099"/>
      <c r="E24" s="1086">
        <f t="shared" si="3"/>
        <v>0</v>
      </c>
      <c r="F24" s="1093"/>
      <c r="G24" s="1081">
        <f t="shared" si="4"/>
        <v>0</v>
      </c>
      <c r="H24" s="1093"/>
      <c r="I24" s="1081">
        <f t="shared" si="5"/>
        <v>0</v>
      </c>
      <c r="J24" s="1093"/>
      <c r="K24" s="1081"/>
      <c r="L24" s="1093"/>
      <c r="M24" s="1081"/>
      <c r="N24" s="1216"/>
      <c r="O24" s="1081"/>
      <c r="P24" s="1081"/>
      <c r="Q24" s="1093"/>
      <c r="R24" s="1081"/>
      <c r="S24" s="1081">
        <f>SUM(E22:J24)*G14*1/12</f>
        <v>0</v>
      </c>
      <c r="T24" s="1081"/>
      <c r="U24" s="1081">
        <f t="shared" si="6"/>
        <v>0</v>
      </c>
      <c r="V24" s="1104">
        <f t="shared" si="0"/>
        <v>0</v>
      </c>
      <c r="W24" s="1108"/>
      <c r="X24" s="1124"/>
      <c r="Y24" s="1097"/>
      <c r="Z24" s="1097"/>
      <c r="AA24" s="1097"/>
      <c r="AB24" s="1202"/>
      <c r="AC24" s="1207">
        <v>0</v>
      </c>
      <c r="AD24" s="1112">
        <f t="shared" si="7"/>
        <v>0</v>
      </c>
      <c r="AE24" s="1083">
        <f t="shared" si="8"/>
        <v>0</v>
      </c>
      <c r="AF24" s="1082">
        <f t="shared" si="9"/>
        <v>0</v>
      </c>
      <c r="AG24" s="1082">
        <f t="shared" si="1"/>
        <v>0</v>
      </c>
      <c r="AH24" s="1082"/>
      <c r="AI24" s="1116">
        <f t="shared" si="2"/>
        <v>0</v>
      </c>
      <c r="AJ24" s="1108"/>
      <c r="AK24" s="1124"/>
      <c r="AL24" s="1097"/>
      <c r="AM24" s="1124"/>
      <c r="AN24" s="1124"/>
      <c r="AO24" s="1125"/>
      <c r="AP24" s="1127"/>
      <c r="AQ24" s="1128"/>
      <c r="AR24" s="1127"/>
      <c r="AS24" s="1125"/>
      <c r="AT24" s="1126">
        <v>-1</v>
      </c>
    </row>
    <row r="25" spans="1:61" ht="15.75" customHeight="1">
      <c r="B25" s="1097">
        <v>0</v>
      </c>
      <c r="C25" s="1098">
        <f>$F$7</f>
        <v>1</v>
      </c>
      <c r="D25" s="1099">
        <f>$G$7</f>
        <v>2018</v>
      </c>
      <c r="E25" s="1087">
        <f>(-M8+M9)-E23-E24-E22</f>
        <v>-208311712.39942348</v>
      </c>
      <c r="F25" s="1094"/>
      <c r="G25" s="1082">
        <f>(-P6+P11)-G22-G23-G24</f>
        <v>0</v>
      </c>
      <c r="H25" s="1094"/>
      <c r="I25" s="1082">
        <f>(-P7+P12)-I22-I23-I24</f>
        <v>0</v>
      </c>
      <c r="J25" s="1094"/>
      <c r="K25" s="1082">
        <f>-P8</f>
        <v>0</v>
      </c>
      <c r="L25" s="1094"/>
      <c r="M25" s="1082"/>
      <c r="N25" s="1217">
        <f>IF(B25&lt;=($J$7-1),($AA$8/($J$7/12))*-1,)</f>
        <v>0</v>
      </c>
      <c r="O25" s="1082">
        <f>-AA7</f>
        <v>0</v>
      </c>
      <c r="P25" s="1082"/>
      <c r="Q25" s="1094"/>
      <c r="R25" s="1082">
        <f>(SUM(E25:Q25)+T25+U22+U23+U24)*G14*J10/360</f>
        <v>-736034.71714462957</v>
      </c>
      <c r="S25" s="1082"/>
      <c r="T25" s="1082"/>
      <c r="U25" s="1083">
        <f t="shared" si="6"/>
        <v>-209047747.11656812</v>
      </c>
      <c r="V25" s="1104">
        <f>M25+P25+T25+N25</f>
        <v>0</v>
      </c>
      <c r="W25" s="1087">
        <f t="shared" ref="W25:W85" si="10">IF($AT25=$J$7+1,$M$14/1.1,0)</f>
        <v>0</v>
      </c>
      <c r="X25" s="1094"/>
      <c r="Y25" s="1082"/>
      <c r="Z25" s="1082"/>
      <c r="AA25" s="1082"/>
      <c r="AB25" s="1203"/>
      <c r="AC25" s="1208">
        <f>SUM(W25:AB25)-X25-Z25</f>
        <v>0</v>
      </c>
      <c r="AD25" s="1112">
        <f>U25+AC25</f>
        <v>-209047747.11656812</v>
      </c>
      <c r="AE25" s="1083">
        <f>(U25-V25)+AC25</f>
        <v>-209047747.11656812</v>
      </c>
      <c r="AF25" s="1082">
        <f>V25</f>
        <v>0</v>
      </c>
      <c r="AG25" s="1082">
        <f>PV($G$13/12,$B25,0,$AE25*-1,0)</f>
        <v>-209047747.11656812</v>
      </c>
      <c r="AH25" s="1082">
        <f>PV($G$14/12,$B25,0,$AF25*-1,0)</f>
        <v>0</v>
      </c>
      <c r="AI25" s="1116">
        <f>AG25+AH25</f>
        <v>-209047747.11656812</v>
      </c>
      <c r="AJ25" s="1087">
        <v>0</v>
      </c>
      <c r="AK25" s="1094"/>
      <c r="AL25" s="1082">
        <v>0</v>
      </c>
      <c r="AM25" s="1094"/>
      <c r="AN25" s="1094"/>
      <c r="AO25" s="1127"/>
      <c r="AP25" s="1127"/>
      <c r="AQ25" s="1127"/>
      <c r="AR25" s="1127"/>
      <c r="AS25" s="1127"/>
      <c r="AT25" s="1126">
        <v>0</v>
      </c>
      <c r="AU25" s="675"/>
      <c r="AV25" s="675"/>
      <c r="AW25" s="675"/>
      <c r="AX25" s="675"/>
      <c r="AY25" s="675"/>
      <c r="AZ25" s="675"/>
      <c r="BA25" s="675"/>
      <c r="BH25" s="675"/>
      <c r="BI25" s="675"/>
    </row>
    <row r="26" spans="1:61" ht="15.75" customHeight="1">
      <c r="B26" s="1097">
        <f>B25+1</f>
        <v>1</v>
      </c>
      <c r="C26" s="1098">
        <f t="shared" ref="C26:C89" si="11">IF($C25=12,1,$C25+1)</f>
        <v>2</v>
      </c>
      <c r="D26" s="1099" t="str">
        <f t="shared" ref="D26:D37" si="12">IF($C25=12,$D$25+1,"             ")</f>
        <v xml:space="preserve">             </v>
      </c>
      <c r="E26" s="1087"/>
      <c r="F26" s="1094"/>
      <c r="G26" s="1082"/>
      <c r="H26" s="1094"/>
      <c r="I26" s="1082"/>
      <c r="J26" s="1094"/>
      <c r="K26" s="1082"/>
      <c r="L26" s="1094"/>
      <c r="M26" s="1082"/>
      <c r="N26" s="1217"/>
      <c r="O26" s="1082"/>
      <c r="P26" s="1082">
        <f t="shared" ref="P26:P57" si="13">IF($AT26&lt;=$J$7,($T$11)*-1,0)</f>
        <v>0</v>
      </c>
      <c r="Q26" s="1094"/>
      <c r="R26" s="1082"/>
      <c r="S26" s="1082"/>
      <c r="T26" s="1082">
        <f t="shared" ref="T26:T57" si="14">IF($AT26&lt;=$J$7,($AA$10/$J$7)*-1,0)</f>
        <v>-109218.75</v>
      </c>
      <c r="U26" s="1083">
        <f t="shared" si="6"/>
        <v>-109218.75</v>
      </c>
      <c r="V26" s="1104">
        <f t="shared" ref="V26:V89" si="15">M26+P26+T26+N26</f>
        <v>-109218.75</v>
      </c>
      <c r="W26" s="1087">
        <f t="shared" si="10"/>
        <v>0</v>
      </c>
      <c r="X26" s="1094"/>
      <c r="Y26" s="1082">
        <f>M11</f>
        <v>0</v>
      </c>
      <c r="Z26" s="1082">
        <v>0</v>
      </c>
      <c r="AA26" s="1082"/>
      <c r="AB26" s="1203">
        <f>IF(B26&lt;=($J$7-1),($AA$11/($J$7/12)),)</f>
        <v>0</v>
      </c>
      <c r="AC26" s="1208">
        <f>SUM(W26:AB26)-X26-Z26</f>
        <v>0</v>
      </c>
      <c r="AD26" s="1112">
        <f>U26+AC26</f>
        <v>-109218.75</v>
      </c>
      <c r="AE26" s="1083">
        <f>(U26-V26)+AC26</f>
        <v>0</v>
      </c>
      <c r="AF26" s="1082">
        <f t="shared" si="9"/>
        <v>-109218.75</v>
      </c>
      <c r="AG26" s="1082">
        <f t="shared" ref="AG26:AG56" si="16">PV($G$13/12,$B26,0,$AE26*-1,0)</f>
        <v>0</v>
      </c>
      <c r="AH26" s="1082">
        <f t="shared" ref="AH26:AH56" si="17">PV($G$14/12,$B26,0,$AF26*-1,0)</f>
        <v>-108452.35336952204</v>
      </c>
      <c r="AI26" s="1116">
        <f>AG26+AH26</f>
        <v>-108452.35336952204</v>
      </c>
      <c r="AJ26" s="1087">
        <f>PMT($G$13/12,$J$7,$AI$91,,0)</f>
        <v>4908835.3984737359</v>
      </c>
      <c r="AK26" s="1094"/>
      <c r="AL26" s="1129">
        <f>AJ26</f>
        <v>4908835.3984737359</v>
      </c>
      <c r="AM26" s="1094"/>
      <c r="AN26" s="1094"/>
      <c r="AO26" s="1127"/>
      <c r="AP26" s="1127"/>
      <c r="AQ26" s="1127"/>
      <c r="AR26" s="1127"/>
      <c r="AS26" s="1130"/>
      <c r="AT26" s="1126">
        <v>1</v>
      </c>
      <c r="AU26" s="675"/>
      <c r="AV26" s="675"/>
      <c r="AW26" s="675"/>
      <c r="AX26" s="675"/>
      <c r="AY26" s="675"/>
      <c r="AZ26" s="675"/>
      <c r="BA26" s="675"/>
      <c r="BH26" s="675"/>
      <c r="BI26" s="675"/>
    </row>
    <row r="27" spans="1:61" ht="15.75" customHeight="1">
      <c r="B27" s="1097">
        <f t="shared" ref="B27:B90" si="18">B26+1</f>
        <v>2</v>
      </c>
      <c r="C27" s="1098">
        <f t="shared" si="11"/>
        <v>3</v>
      </c>
      <c r="D27" s="1099" t="str">
        <f t="shared" si="12"/>
        <v xml:space="preserve">             </v>
      </c>
      <c r="E27" s="1087"/>
      <c r="F27" s="1094"/>
      <c r="G27" s="1082"/>
      <c r="H27" s="1094"/>
      <c r="I27" s="1082"/>
      <c r="J27" s="1094"/>
      <c r="K27" s="1082"/>
      <c r="L27" s="1094"/>
      <c r="M27" s="1082"/>
      <c r="N27" s="1217"/>
      <c r="O27" s="1082"/>
      <c r="P27" s="1082">
        <f t="shared" si="13"/>
        <v>0</v>
      </c>
      <c r="Q27" s="1094"/>
      <c r="R27" s="1082"/>
      <c r="S27" s="1082"/>
      <c r="T27" s="1082">
        <f t="shared" si="14"/>
        <v>-109218.75</v>
      </c>
      <c r="U27" s="1083">
        <f t="shared" si="6"/>
        <v>-109218.75</v>
      </c>
      <c r="V27" s="1104">
        <f t="shared" si="15"/>
        <v>-109218.75</v>
      </c>
      <c r="W27" s="1087">
        <f t="shared" si="10"/>
        <v>0</v>
      </c>
      <c r="X27" s="1094"/>
      <c r="Y27" s="1082"/>
      <c r="Z27" s="1082"/>
      <c r="AA27" s="1082"/>
      <c r="AB27" s="1203"/>
      <c r="AC27" s="1208">
        <f t="shared" ref="AC27:AC89" si="19">SUM(W27:AB27)-X27-Z27</f>
        <v>0</v>
      </c>
      <c r="AD27" s="1112">
        <f>U27+AC27</f>
        <v>-109218.75</v>
      </c>
      <c r="AE27" s="1083">
        <f t="shared" si="8"/>
        <v>0</v>
      </c>
      <c r="AF27" s="1082">
        <f t="shared" si="9"/>
        <v>-109218.75</v>
      </c>
      <c r="AG27" s="1082">
        <f t="shared" si="16"/>
        <v>0</v>
      </c>
      <c r="AH27" s="1082">
        <f t="shared" si="17"/>
        <v>-107691.33460498015</v>
      </c>
      <c r="AI27" s="1116">
        <f t="shared" ref="AI27:AI89" si="20">AG27+AH27</f>
        <v>-107691.33460498015</v>
      </c>
      <c r="AJ27" s="1087">
        <f t="shared" ref="AJ27:AJ58" si="21">IF(AT27&lt;=$J$7,AJ26,0)</f>
        <v>4908835.3984737359</v>
      </c>
      <c r="AK27" s="1094"/>
      <c r="AL27" s="1129">
        <f>AJ27</f>
        <v>4908835.3984737359</v>
      </c>
      <c r="AM27" s="1094"/>
      <c r="AN27" s="1094"/>
      <c r="AO27" s="1127"/>
      <c r="AP27" s="1127"/>
      <c r="AQ27" s="1127"/>
      <c r="AR27" s="1127"/>
      <c r="AS27" s="1127"/>
      <c r="AT27" s="1126">
        <v>2</v>
      </c>
      <c r="AU27" s="675"/>
      <c r="AV27" s="675"/>
      <c r="AW27" s="675"/>
      <c r="AX27" s="675"/>
      <c r="AY27" s="675"/>
      <c r="AZ27" s="675"/>
      <c r="BA27" s="675"/>
      <c r="BH27" s="675"/>
      <c r="BI27" s="675"/>
    </row>
    <row r="28" spans="1:61" ht="15.75" customHeight="1">
      <c r="B28" s="1097">
        <f t="shared" si="18"/>
        <v>3</v>
      </c>
      <c r="C28" s="1098">
        <f t="shared" si="11"/>
        <v>4</v>
      </c>
      <c r="D28" s="1099" t="str">
        <f t="shared" si="12"/>
        <v xml:space="preserve">             </v>
      </c>
      <c r="E28" s="1087"/>
      <c r="F28" s="1094"/>
      <c r="G28" s="1082"/>
      <c r="H28" s="1094"/>
      <c r="I28" s="1082"/>
      <c r="J28" s="1094"/>
      <c r="K28" s="1082"/>
      <c r="L28" s="1094"/>
      <c r="M28" s="1082"/>
      <c r="N28" s="1217"/>
      <c r="O28" s="1082"/>
      <c r="P28" s="1082">
        <f t="shared" si="13"/>
        <v>0</v>
      </c>
      <c r="Q28" s="1094"/>
      <c r="R28" s="1082"/>
      <c r="S28" s="1082"/>
      <c r="T28" s="1082">
        <f t="shared" si="14"/>
        <v>-109218.75</v>
      </c>
      <c r="U28" s="1083">
        <f t="shared" si="6"/>
        <v>-109218.75</v>
      </c>
      <c r="V28" s="1104">
        <f t="shared" si="15"/>
        <v>-109218.75</v>
      </c>
      <c r="W28" s="1087">
        <f t="shared" si="10"/>
        <v>0</v>
      </c>
      <c r="X28" s="1094"/>
      <c r="Y28" s="1082"/>
      <c r="Z28" s="1082"/>
      <c r="AA28" s="1082"/>
      <c r="AB28" s="1203"/>
      <c r="AC28" s="1208">
        <f t="shared" si="19"/>
        <v>0</v>
      </c>
      <c r="AD28" s="1112">
        <f t="shared" si="7"/>
        <v>-109218.75</v>
      </c>
      <c r="AE28" s="1083">
        <f t="shared" si="8"/>
        <v>0</v>
      </c>
      <c r="AF28" s="1082">
        <f t="shared" si="9"/>
        <v>-109218.75</v>
      </c>
      <c r="AG28" s="1082">
        <f t="shared" si="16"/>
        <v>0</v>
      </c>
      <c r="AH28" s="1082">
        <f t="shared" si="17"/>
        <v>-106935.65596946262</v>
      </c>
      <c r="AI28" s="1116">
        <f t="shared" si="20"/>
        <v>-106935.65596946262</v>
      </c>
      <c r="AJ28" s="1087">
        <f t="shared" si="21"/>
        <v>4908835.3984737359</v>
      </c>
      <c r="AK28" s="1094"/>
      <c r="AL28" s="1129">
        <f t="shared" ref="AL28:AL90" si="22">AJ28</f>
        <v>4908835.3984737359</v>
      </c>
      <c r="AM28" s="1094"/>
      <c r="AN28" s="1094"/>
      <c r="AO28" s="1127"/>
      <c r="AP28" s="1127"/>
      <c r="AQ28" s="1127"/>
      <c r="AR28" s="1127"/>
      <c r="AS28" s="1127"/>
      <c r="AT28" s="1126">
        <f>AT27+1</f>
        <v>3</v>
      </c>
      <c r="AU28" s="675"/>
      <c r="AV28" s="675"/>
      <c r="AW28" s="675"/>
      <c r="AX28" s="675"/>
      <c r="AY28" s="675"/>
      <c r="AZ28" s="675"/>
      <c r="BA28" s="675"/>
      <c r="BH28" s="675"/>
      <c r="BI28" s="675"/>
    </row>
    <row r="29" spans="1:61" ht="15.75" customHeight="1">
      <c r="B29" s="1097">
        <f t="shared" si="18"/>
        <v>4</v>
      </c>
      <c r="C29" s="1098">
        <f t="shared" si="11"/>
        <v>5</v>
      </c>
      <c r="D29" s="1099" t="str">
        <f t="shared" si="12"/>
        <v xml:space="preserve">             </v>
      </c>
      <c r="E29" s="1087"/>
      <c r="F29" s="1094"/>
      <c r="G29" s="1082"/>
      <c r="H29" s="1094"/>
      <c r="I29" s="1082"/>
      <c r="J29" s="1094"/>
      <c r="K29" s="1082"/>
      <c r="L29" s="1094"/>
      <c r="M29" s="1082"/>
      <c r="N29" s="1217"/>
      <c r="O29" s="1082"/>
      <c r="P29" s="1082">
        <f t="shared" si="13"/>
        <v>0</v>
      </c>
      <c r="Q29" s="1094"/>
      <c r="R29" s="1082"/>
      <c r="S29" s="1082"/>
      <c r="T29" s="1082">
        <f t="shared" si="14"/>
        <v>-109218.75</v>
      </c>
      <c r="U29" s="1083">
        <f t="shared" si="6"/>
        <v>-109218.75</v>
      </c>
      <c r="V29" s="1104">
        <f t="shared" si="15"/>
        <v>-109218.75</v>
      </c>
      <c r="W29" s="1087">
        <f t="shared" si="10"/>
        <v>0</v>
      </c>
      <c r="X29" s="1094"/>
      <c r="Y29" s="1082"/>
      <c r="Z29" s="1082"/>
      <c r="AA29" s="1082"/>
      <c r="AB29" s="1203"/>
      <c r="AC29" s="1208">
        <f t="shared" si="19"/>
        <v>0</v>
      </c>
      <c r="AD29" s="1112">
        <f t="shared" si="7"/>
        <v>-109218.75</v>
      </c>
      <c r="AE29" s="1083">
        <f t="shared" si="8"/>
        <v>0</v>
      </c>
      <c r="AF29" s="1082">
        <f t="shared" si="9"/>
        <v>-109218.75</v>
      </c>
      <c r="AG29" s="1082">
        <f t="shared" si="16"/>
        <v>0</v>
      </c>
      <c r="AH29" s="1082">
        <f t="shared" si="17"/>
        <v>-106185.27999086049</v>
      </c>
      <c r="AI29" s="1116">
        <f t="shared" si="20"/>
        <v>-106185.27999086049</v>
      </c>
      <c r="AJ29" s="1087">
        <f t="shared" si="21"/>
        <v>4908835.3984737359</v>
      </c>
      <c r="AK29" s="1094"/>
      <c r="AL29" s="1129">
        <f t="shared" si="22"/>
        <v>4908835.3984737359</v>
      </c>
      <c r="AM29" s="1094"/>
      <c r="AN29" s="1094"/>
      <c r="AO29" s="1127"/>
      <c r="AP29" s="1127"/>
      <c r="AQ29" s="1127"/>
      <c r="AR29" s="1127"/>
      <c r="AS29" s="1127"/>
      <c r="AT29" s="1126">
        <f t="shared" ref="AT29:AT90" si="23">AT28+1</f>
        <v>4</v>
      </c>
      <c r="AU29" s="675"/>
      <c r="AV29" s="675"/>
      <c r="AW29" s="675"/>
      <c r="AX29" s="675"/>
      <c r="AY29" s="675"/>
      <c r="AZ29" s="675"/>
      <c r="BA29" s="675"/>
      <c r="BH29" s="675"/>
      <c r="BI29" s="675"/>
    </row>
    <row r="30" spans="1:61" ht="15.75" customHeight="1">
      <c r="B30" s="1097">
        <f t="shared" si="18"/>
        <v>5</v>
      </c>
      <c r="C30" s="1098">
        <f t="shared" si="11"/>
        <v>6</v>
      </c>
      <c r="D30" s="1099" t="str">
        <f t="shared" si="12"/>
        <v xml:space="preserve">             </v>
      </c>
      <c r="E30" s="1087"/>
      <c r="F30" s="1094"/>
      <c r="G30" s="1082"/>
      <c r="H30" s="1094"/>
      <c r="I30" s="1082"/>
      <c r="J30" s="1094"/>
      <c r="K30" s="1082"/>
      <c r="L30" s="1094"/>
      <c r="M30" s="1082"/>
      <c r="N30" s="1217"/>
      <c r="O30" s="1082"/>
      <c r="P30" s="1082">
        <f t="shared" si="13"/>
        <v>0</v>
      </c>
      <c r="Q30" s="1094"/>
      <c r="R30" s="1082"/>
      <c r="S30" s="1082"/>
      <c r="T30" s="1082">
        <f t="shared" si="14"/>
        <v>-109218.75</v>
      </c>
      <c r="U30" s="1083">
        <f t="shared" si="6"/>
        <v>-109218.75</v>
      </c>
      <c r="V30" s="1104">
        <f t="shared" si="15"/>
        <v>-109218.75</v>
      </c>
      <c r="W30" s="1087">
        <f t="shared" si="10"/>
        <v>0</v>
      </c>
      <c r="X30" s="1094"/>
      <c r="Y30" s="1082"/>
      <c r="Z30" s="1082"/>
      <c r="AA30" s="1082"/>
      <c r="AB30" s="1203"/>
      <c r="AC30" s="1208">
        <f t="shared" si="19"/>
        <v>0</v>
      </c>
      <c r="AD30" s="1112">
        <f t="shared" si="7"/>
        <v>-109218.75</v>
      </c>
      <c r="AE30" s="1083">
        <f t="shared" si="8"/>
        <v>0</v>
      </c>
      <c r="AF30" s="1082">
        <f t="shared" si="9"/>
        <v>-109218.75</v>
      </c>
      <c r="AG30" s="1082">
        <f t="shared" si="16"/>
        <v>0</v>
      </c>
      <c r="AH30" s="1082">
        <f t="shared" si="17"/>
        <v>-105440.16946000975</v>
      </c>
      <c r="AI30" s="1116">
        <f t="shared" si="20"/>
        <v>-105440.16946000975</v>
      </c>
      <c r="AJ30" s="1087">
        <f t="shared" si="21"/>
        <v>4908835.3984737359</v>
      </c>
      <c r="AK30" s="1094"/>
      <c r="AL30" s="1129">
        <f>AJ30</f>
        <v>4908835.3984737359</v>
      </c>
      <c r="AM30" s="1094"/>
      <c r="AN30" s="1094"/>
      <c r="AO30" s="1127"/>
      <c r="AP30" s="1127"/>
      <c r="AQ30" s="1127"/>
      <c r="AR30" s="1127"/>
      <c r="AS30" s="1127"/>
      <c r="AT30" s="1126">
        <f t="shared" si="23"/>
        <v>5</v>
      </c>
      <c r="AU30" s="675"/>
      <c r="AV30" s="675"/>
      <c r="AW30" s="675"/>
      <c r="AX30" s="675"/>
      <c r="AY30" s="675"/>
      <c r="AZ30" s="675"/>
      <c r="BA30" s="675"/>
      <c r="BH30" s="675"/>
      <c r="BI30" s="675"/>
    </row>
    <row r="31" spans="1:61" ht="15.75" customHeight="1">
      <c r="B31" s="1097">
        <f t="shared" si="18"/>
        <v>6</v>
      </c>
      <c r="C31" s="1098">
        <f t="shared" si="11"/>
        <v>7</v>
      </c>
      <c r="D31" s="1099" t="str">
        <f t="shared" si="12"/>
        <v xml:space="preserve">             </v>
      </c>
      <c r="E31" s="1087"/>
      <c r="F31" s="1094"/>
      <c r="G31" s="1082"/>
      <c r="H31" s="1094"/>
      <c r="I31" s="1082"/>
      <c r="J31" s="1094"/>
      <c r="K31" s="1082"/>
      <c r="L31" s="1094"/>
      <c r="M31" s="1082"/>
      <c r="N31" s="1217"/>
      <c r="O31" s="1082"/>
      <c r="P31" s="1082">
        <f t="shared" si="13"/>
        <v>0</v>
      </c>
      <c r="Q31" s="1094"/>
      <c r="R31" s="1082"/>
      <c r="S31" s="1082"/>
      <c r="T31" s="1082">
        <f t="shared" si="14"/>
        <v>-109218.75</v>
      </c>
      <c r="U31" s="1083">
        <f t="shared" si="6"/>
        <v>-109218.75</v>
      </c>
      <c r="V31" s="1104">
        <f t="shared" si="15"/>
        <v>-109218.75</v>
      </c>
      <c r="W31" s="1087">
        <f t="shared" si="10"/>
        <v>0</v>
      </c>
      <c r="X31" s="1094"/>
      <c r="Y31" s="1082"/>
      <c r="Z31" s="1082"/>
      <c r="AA31" s="1082"/>
      <c r="AB31" s="1203"/>
      <c r="AC31" s="1208">
        <f t="shared" si="19"/>
        <v>0</v>
      </c>
      <c r="AD31" s="1112">
        <f t="shared" si="7"/>
        <v>-109218.75</v>
      </c>
      <c r="AE31" s="1083">
        <f t="shared" si="8"/>
        <v>0</v>
      </c>
      <c r="AF31" s="1082">
        <f t="shared" si="9"/>
        <v>-109218.75</v>
      </c>
      <c r="AG31" s="1082">
        <f t="shared" si="16"/>
        <v>0</v>
      </c>
      <c r="AH31" s="1082">
        <f t="shared" si="17"/>
        <v>-104700.28742884588</v>
      </c>
      <c r="AI31" s="1116">
        <f t="shared" si="20"/>
        <v>-104700.28742884588</v>
      </c>
      <c r="AJ31" s="1087">
        <f t="shared" si="21"/>
        <v>4908835.3984737359</v>
      </c>
      <c r="AK31" s="1094"/>
      <c r="AL31" s="1129">
        <f t="shared" si="22"/>
        <v>4908835.3984737359</v>
      </c>
      <c r="AM31" s="1094"/>
      <c r="AN31" s="1094"/>
      <c r="AO31" s="1127"/>
      <c r="AP31" s="1127"/>
      <c r="AQ31" s="1127"/>
      <c r="AR31" s="1127"/>
      <c r="AS31" s="1127"/>
      <c r="AT31" s="1126">
        <f t="shared" si="23"/>
        <v>6</v>
      </c>
      <c r="AU31" s="675"/>
      <c r="AV31" s="675"/>
      <c r="AW31" s="675"/>
      <c r="AX31" s="675"/>
      <c r="AY31" s="675"/>
      <c r="AZ31" s="675"/>
      <c r="BA31" s="675"/>
      <c r="BH31" s="675"/>
      <c r="BI31" s="675"/>
    </row>
    <row r="32" spans="1:61" ht="15.75" customHeight="1">
      <c r="B32" s="1097">
        <f t="shared" si="18"/>
        <v>7</v>
      </c>
      <c r="C32" s="1098">
        <f t="shared" si="11"/>
        <v>8</v>
      </c>
      <c r="D32" s="1099" t="str">
        <f t="shared" si="12"/>
        <v xml:space="preserve">             </v>
      </c>
      <c r="E32" s="1087"/>
      <c r="F32" s="1094"/>
      <c r="G32" s="1082"/>
      <c r="H32" s="1094"/>
      <c r="I32" s="1082"/>
      <c r="J32" s="1094"/>
      <c r="K32" s="1082"/>
      <c r="L32" s="1094"/>
      <c r="M32" s="1082"/>
      <c r="N32" s="1217"/>
      <c r="O32" s="1082"/>
      <c r="P32" s="1082">
        <f t="shared" si="13"/>
        <v>0</v>
      </c>
      <c r="Q32" s="1094"/>
      <c r="R32" s="1082"/>
      <c r="S32" s="1082"/>
      <c r="T32" s="1082">
        <f t="shared" si="14"/>
        <v>-109218.75</v>
      </c>
      <c r="U32" s="1083">
        <f t="shared" si="6"/>
        <v>-109218.75</v>
      </c>
      <c r="V32" s="1104">
        <f t="shared" si="15"/>
        <v>-109218.75</v>
      </c>
      <c r="W32" s="1087">
        <f t="shared" si="10"/>
        <v>0</v>
      </c>
      <c r="X32" s="1094"/>
      <c r="Y32" s="1082"/>
      <c r="Z32" s="1082"/>
      <c r="AA32" s="1082"/>
      <c r="AB32" s="1203"/>
      <c r="AC32" s="1208">
        <f t="shared" si="19"/>
        <v>0</v>
      </c>
      <c r="AD32" s="1112">
        <f t="shared" si="7"/>
        <v>-109218.75</v>
      </c>
      <c r="AE32" s="1083">
        <f t="shared" si="8"/>
        <v>0</v>
      </c>
      <c r="AF32" s="1082">
        <f t="shared" si="9"/>
        <v>-109218.75</v>
      </c>
      <c r="AG32" s="1082">
        <f t="shared" si="16"/>
        <v>0</v>
      </c>
      <c r="AH32" s="1082">
        <f t="shared" si="17"/>
        <v>-103965.59720857197</v>
      </c>
      <c r="AI32" s="1116">
        <f t="shared" si="20"/>
        <v>-103965.59720857197</v>
      </c>
      <c r="AJ32" s="1087">
        <f t="shared" si="21"/>
        <v>4908835.3984737359</v>
      </c>
      <c r="AK32" s="1094"/>
      <c r="AL32" s="1129">
        <f t="shared" si="22"/>
        <v>4908835.3984737359</v>
      </c>
      <c r="AM32" s="1094"/>
      <c r="AN32" s="1094"/>
      <c r="AO32" s="1127"/>
      <c r="AP32" s="1127"/>
      <c r="AQ32" s="1127"/>
      <c r="AR32" s="1127"/>
      <c r="AS32" s="1127"/>
      <c r="AT32" s="1126">
        <f t="shared" si="23"/>
        <v>7</v>
      </c>
      <c r="AU32" s="675"/>
      <c r="AV32" s="675"/>
      <c r="AW32" s="675"/>
      <c r="AX32" s="675"/>
      <c r="AY32" s="675"/>
      <c r="AZ32" s="675"/>
      <c r="BA32" s="675"/>
      <c r="BH32" s="675"/>
      <c r="BI32" s="675"/>
    </row>
    <row r="33" spans="2:61" ht="15.75" customHeight="1">
      <c r="B33" s="1097">
        <f t="shared" si="18"/>
        <v>8</v>
      </c>
      <c r="C33" s="1098">
        <f t="shared" si="11"/>
        <v>9</v>
      </c>
      <c r="D33" s="1099" t="str">
        <f t="shared" si="12"/>
        <v xml:space="preserve">             </v>
      </c>
      <c r="E33" s="1087"/>
      <c r="F33" s="1094"/>
      <c r="G33" s="1082"/>
      <c r="H33" s="1094"/>
      <c r="I33" s="1082"/>
      <c r="J33" s="1094"/>
      <c r="K33" s="1082"/>
      <c r="L33" s="1094"/>
      <c r="M33" s="1082"/>
      <c r="N33" s="1217"/>
      <c r="O33" s="1082"/>
      <c r="P33" s="1082">
        <f t="shared" si="13"/>
        <v>0</v>
      </c>
      <c r="Q33" s="1094"/>
      <c r="R33" s="1082"/>
      <c r="S33" s="1082"/>
      <c r="T33" s="1082">
        <f t="shared" si="14"/>
        <v>-109218.75</v>
      </c>
      <c r="U33" s="1083">
        <f t="shared" si="6"/>
        <v>-109218.75</v>
      </c>
      <c r="V33" s="1104">
        <f t="shared" si="15"/>
        <v>-109218.75</v>
      </c>
      <c r="W33" s="1087">
        <f t="shared" si="10"/>
        <v>0</v>
      </c>
      <c r="X33" s="1094"/>
      <c r="Y33" s="1082"/>
      <c r="Z33" s="1082"/>
      <c r="AA33" s="1082"/>
      <c r="AB33" s="1203"/>
      <c r="AC33" s="1208">
        <f t="shared" si="19"/>
        <v>0</v>
      </c>
      <c r="AD33" s="1112">
        <f t="shared" si="7"/>
        <v>-109218.75</v>
      </c>
      <c r="AE33" s="1083">
        <f t="shared" si="8"/>
        <v>0</v>
      </c>
      <c r="AF33" s="1082">
        <f t="shared" si="9"/>
        <v>-109218.75</v>
      </c>
      <c r="AG33" s="1082">
        <f t="shared" si="16"/>
        <v>0</v>
      </c>
      <c r="AH33" s="1082">
        <f t="shared" si="17"/>
        <v>-103236.06236783921</v>
      </c>
      <c r="AI33" s="1116">
        <f t="shared" si="20"/>
        <v>-103236.06236783921</v>
      </c>
      <c r="AJ33" s="1087">
        <f t="shared" si="21"/>
        <v>4908835.3984737359</v>
      </c>
      <c r="AK33" s="1094"/>
      <c r="AL33" s="1129">
        <f t="shared" si="22"/>
        <v>4908835.3984737359</v>
      </c>
      <c r="AM33" s="1094"/>
      <c r="AN33" s="1094"/>
      <c r="AO33" s="1127"/>
      <c r="AP33" s="1127"/>
      <c r="AQ33" s="1127"/>
      <c r="AR33" s="1127"/>
      <c r="AS33" s="1127"/>
      <c r="AT33" s="1126">
        <f t="shared" si="23"/>
        <v>8</v>
      </c>
      <c r="AU33" s="675"/>
      <c r="AV33" s="675"/>
      <c r="AW33" s="675"/>
      <c r="AX33" s="675"/>
      <c r="AY33" s="675"/>
      <c r="AZ33" s="675"/>
      <c r="BA33" s="675"/>
      <c r="BH33" s="675"/>
      <c r="BI33" s="675"/>
    </row>
    <row r="34" spans="2:61" ht="15.75" customHeight="1">
      <c r="B34" s="1097">
        <f t="shared" si="18"/>
        <v>9</v>
      </c>
      <c r="C34" s="1098">
        <f t="shared" si="11"/>
        <v>10</v>
      </c>
      <c r="D34" s="1099" t="str">
        <f t="shared" si="12"/>
        <v xml:space="preserve">             </v>
      </c>
      <c r="E34" s="1087"/>
      <c r="F34" s="1094"/>
      <c r="G34" s="1082"/>
      <c r="H34" s="1094"/>
      <c r="I34" s="1082"/>
      <c r="J34" s="1094"/>
      <c r="K34" s="1082"/>
      <c r="L34" s="1094"/>
      <c r="M34" s="1082"/>
      <c r="N34" s="1217"/>
      <c r="O34" s="1082"/>
      <c r="P34" s="1082">
        <f t="shared" si="13"/>
        <v>0</v>
      </c>
      <c r="Q34" s="1094"/>
      <c r="R34" s="1082"/>
      <c r="S34" s="1082"/>
      <c r="T34" s="1082">
        <f t="shared" si="14"/>
        <v>-109218.75</v>
      </c>
      <c r="U34" s="1083">
        <f t="shared" si="6"/>
        <v>-109218.75</v>
      </c>
      <c r="V34" s="1104">
        <f t="shared" si="15"/>
        <v>-109218.75</v>
      </c>
      <c r="W34" s="1087">
        <f t="shared" si="10"/>
        <v>0</v>
      </c>
      <c r="X34" s="1094"/>
      <c r="Y34" s="1082"/>
      <c r="Z34" s="1082"/>
      <c r="AA34" s="1082"/>
      <c r="AB34" s="1203"/>
      <c r="AC34" s="1208">
        <f t="shared" si="19"/>
        <v>0</v>
      </c>
      <c r="AD34" s="1112">
        <f t="shared" si="7"/>
        <v>-109218.75</v>
      </c>
      <c r="AE34" s="1083">
        <f t="shared" si="8"/>
        <v>0</v>
      </c>
      <c r="AF34" s="1082">
        <f t="shared" si="9"/>
        <v>-109218.75</v>
      </c>
      <c r="AG34" s="1082">
        <f t="shared" si="16"/>
        <v>0</v>
      </c>
      <c r="AH34" s="1082">
        <f t="shared" si="17"/>
        <v>-102511.64673094057</v>
      </c>
      <c r="AI34" s="1116">
        <f t="shared" si="20"/>
        <v>-102511.64673094057</v>
      </c>
      <c r="AJ34" s="1087">
        <f t="shared" si="21"/>
        <v>4908835.3984737359</v>
      </c>
      <c r="AK34" s="1094"/>
      <c r="AL34" s="1129">
        <f>AJ34</f>
        <v>4908835.3984737359</v>
      </c>
      <c r="AM34" s="1094"/>
      <c r="AN34" s="1094"/>
      <c r="AO34" s="1127"/>
      <c r="AP34" s="1127"/>
      <c r="AQ34" s="1127"/>
      <c r="AR34" s="1127"/>
      <c r="AS34" s="1127"/>
      <c r="AT34" s="1126">
        <f t="shared" si="23"/>
        <v>9</v>
      </c>
      <c r="AU34" s="675"/>
      <c r="AV34" s="675"/>
      <c r="AW34" s="675"/>
      <c r="AX34" s="675"/>
      <c r="AY34" s="675"/>
      <c r="AZ34" s="675"/>
      <c r="BA34" s="675"/>
      <c r="BH34" s="675"/>
      <c r="BI34" s="675"/>
    </row>
    <row r="35" spans="2:61" ht="15.75" customHeight="1">
      <c r="B35" s="1097">
        <f t="shared" si="18"/>
        <v>10</v>
      </c>
      <c r="C35" s="1098">
        <f t="shared" si="11"/>
        <v>11</v>
      </c>
      <c r="D35" s="1099" t="str">
        <f t="shared" si="12"/>
        <v xml:space="preserve">             </v>
      </c>
      <c r="E35" s="1087"/>
      <c r="F35" s="1094"/>
      <c r="G35" s="1082"/>
      <c r="H35" s="1094"/>
      <c r="I35" s="1082"/>
      <c r="J35" s="1094"/>
      <c r="K35" s="1082"/>
      <c r="L35" s="1094"/>
      <c r="M35" s="1082"/>
      <c r="N35" s="1217"/>
      <c r="O35" s="1082"/>
      <c r="P35" s="1082">
        <f t="shared" si="13"/>
        <v>0</v>
      </c>
      <c r="Q35" s="1094"/>
      <c r="R35" s="1082"/>
      <c r="S35" s="1082"/>
      <c r="T35" s="1082">
        <f t="shared" si="14"/>
        <v>-109218.75</v>
      </c>
      <c r="U35" s="1083">
        <f t="shared" si="6"/>
        <v>-109218.75</v>
      </c>
      <c r="V35" s="1104">
        <f t="shared" si="15"/>
        <v>-109218.75</v>
      </c>
      <c r="W35" s="1087">
        <f t="shared" si="10"/>
        <v>0</v>
      </c>
      <c r="X35" s="1094"/>
      <c r="Y35" s="1082"/>
      <c r="Z35" s="1082"/>
      <c r="AA35" s="1082"/>
      <c r="AB35" s="1203"/>
      <c r="AC35" s="1208">
        <f t="shared" si="19"/>
        <v>0</v>
      </c>
      <c r="AD35" s="1112">
        <f t="shared" si="7"/>
        <v>-109218.75</v>
      </c>
      <c r="AE35" s="1083">
        <f t="shared" si="8"/>
        <v>0</v>
      </c>
      <c r="AF35" s="1082">
        <f t="shared" si="9"/>
        <v>-109218.75</v>
      </c>
      <c r="AG35" s="1082">
        <f t="shared" si="16"/>
        <v>0</v>
      </c>
      <c r="AH35" s="1082">
        <f t="shared" si="17"/>
        <v>-101792.31437601669</v>
      </c>
      <c r="AI35" s="1116">
        <f t="shared" si="20"/>
        <v>-101792.31437601669</v>
      </c>
      <c r="AJ35" s="1087">
        <f t="shared" si="21"/>
        <v>4908835.3984737359</v>
      </c>
      <c r="AK35" s="1094"/>
      <c r="AL35" s="1129">
        <f t="shared" si="22"/>
        <v>4908835.3984737359</v>
      </c>
      <c r="AM35" s="1094"/>
      <c r="AN35" s="1094"/>
      <c r="AO35" s="1127"/>
      <c r="AP35" s="1127"/>
      <c r="AQ35" s="1127"/>
      <c r="AR35" s="1127"/>
      <c r="AS35" s="1127"/>
      <c r="AT35" s="1126">
        <f t="shared" si="23"/>
        <v>10</v>
      </c>
      <c r="AU35" s="675"/>
      <c r="AV35" s="675"/>
      <c r="AW35" s="675"/>
      <c r="AX35" s="675"/>
      <c r="AY35" s="675"/>
      <c r="AZ35" s="675"/>
      <c r="BA35" s="675"/>
      <c r="BH35" s="675"/>
      <c r="BI35" s="675"/>
    </row>
    <row r="36" spans="2:61" ht="15.75" customHeight="1">
      <c r="B36" s="1097">
        <f t="shared" si="18"/>
        <v>11</v>
      </c>
      <c r="C36" s="1098">
        <f t="shared" si="11"/>
        <v>12</v>
      </c>
      <c r="D36" s="1099" t="str">
        <f t="shared" si="12"/>
        <v xml:space="preserve">             </v>
      </c>
      <c r="E36" s="1087"/>
      <c r="F36" s="1094"/>
      <c r="G36" s="1082"/>
      <c r="H36" s="1094"/>
      <c r="I36" s="1082"/>
      <c r="J36" s="1094"/>
      <c r="K36" s="1082"/>
      <c r="L36" s="1094"/>
      <c r="M36" s="1082">
        <f>IF(B36&lt;=$J$7,($AA$9/($J$7/12))*-1,)</f>
        <v>-321250</v>
      </c>
      <c r="N36" s="1217"/>
      <c r="O36" s="1082"/>
      <c r="P36" s="1082">
        <f t="shared" si="13"/>
        <v>0</v>
      </c>
      <c r="Q36" s="1094"/>
      <c r="R36" s="1082"/>
      <c r="S36" s="1082"/>
      <c r="T36" s="1082">
        <f t="shared" si="14"/>
        <v>-109218.75</v>
      </c>
      <c r="U36" s="1083">
        <f t="shared" si="6"/>
        <v>-430468.75</v>
      </c>
      <c r="V36" s="1104">
        <f t="shared" si="15"/>
        <v>-430468.75</v>
      </c>
      <c r="W36" s="1087">
        <f t="shared" si="10"/>
        <v>0</v>
      </c>
      <c r="X36" s="1094"/>
      <c r="Y36" s="1082"/>
      <c r="Z36" s="1082"/>
      <c r="AA36" s="1082"/>
      <c r="AB36" s="1203"/>
      <c r="AC36" s="1208">
        <f t="shared" si="19"/>
        <v>0</v>
      </c>
      <c r="AD36" s="1112">
        <f t="shared" si="7"/>
        <v>-430468.75</v>
      </c>
      <c r="AE36" s="1083">
        <f t="shared" si="8"/>
        <v>0</v>
      </c>
      <c r="AF36" s="1082">
        <f t="shared" si="9"/>
        <v>-430468.75</v>
      </c>
      <c r="AG36" s="1082">
        <f t="shared" si="16"/>
        <v>0</v>
      </c>
      <c r="AH36" s="1082">
        <f t="shared" si="17"/>
        <v>-398383.36429137673</v>
      </c>
      <c r="AI36" s="1116">
        <f t="shared" si="20"/>
        <v>-398383.36429137673</v>
      </c>
      <c r="AJ36" s="1087">
        <f t="shared" si="21"/>
        <v>4908835.3984737359</v>
      </c>
      <c r="AK36" s="1094"/>
      <c r="AL36" s="1129">
        <f t="shared" si="22"/>
        <v>4908835.3984737359</v>
      </c>
      <c r="AM36" s="1094"/>
      <c r="AN36" s="1094"/>
      <c r="AO36" s="1127"/>
      <c r="AP36" s="1127"/>
      <c r="AQ36" s="1127"/>
      <c r="AR36" s="1127"/>
      <c r="AS36" s="1127"/>
      <c r="AT36" s="1126">
        <f t="shared" si="23"/>
        <v>11</v>
      </c>
      <c r="AU36" s="675"/>
      <c r="AV36" s="675"/>
      <c r="AW36" s="675"/>
      <c r="AX36" s="675"/>
      <c r="AY36" s="675"/>
      <c r="AZ36" s="675"/>
      <c r="BA36" s="675"/>
      <c r="BH36" s="675"/>
      <c r="BI36" s="675"/>
    </row>
    <row r="37" spans="2:61" ht="15.75" customHeight="1">
      <c r="B37" s="1097">
        <f t="shared" si="18"/>
        <v>12</v>
      </c>
      <c r="C37" s="1098">
        <f t="shared" si="11"/>
        <v>1</v>
      </c>
      <c r="D37" s="1099">
        <f t="shared" si="12"/>
        <v>2019</v>
      </c>
      <c r="E37" s="1087"/>
      <c r="F37" s="1094"/>
      <c r="G37" s="1082"/>
      <c r="H37" s="1094"/>
      <c r="I37" s="1082"/>
      <c r="J37" s="1094"/>
      <c r="K37" s="1082"/>
      <c r="L37" s="1094"/>
      <c r="M37" s="874"/>
      <c r="N37" s="1217">
        <f>IF(B37&lt;=($J$7-1),($AA$8/($J$7/12))*-1,)</f>
        <v>0</v>
      </c>
      <c r="O37" s="1082"/>
      <c r="P37" s="1082">
        <f t="shared" si="13"/>
        <v>0</v>
      </c>
      <c r="Q37" s="1094"/>
      <c r="R37" s="1082"/>
      <c r="S37" s="1082"/>
      <c r="T37" s="1082">
        <f t="shared" si="14"/>
        <v>-109218.75</v>
      </c>
      <c r="U37" s="1083">
        <f t="shared" si="6"/>
        <v>-109218.75</v>
      </c>
      <c r="V37" s="1104">
        <f t="shared" si="15"/>
        <v>-109218.75</v>
      </c>
      <c r="W37" s="1087">
        <f t="shared" si="10"/>
        <v>0</v>
      </c>
      <c r="X37" s="1094"/>
      <c r="Y37" s="1082"/>
      <c r="Z37" s="1082"/>
      <c r="AA37" s="1082"/>
      <c r="AB37" s="1203"/>
      <c r="AC37" s="1208">
        <f t="shared" si="19"/>
        <v>0</v>
      </c>
      <c r="AD37" s="1112">
        <f t="shared" si="7"/>
        <v>-109218.75</v>
      </c>
      <c r="AE37" s="1083">
        <f t="shared" si="8"/>
        <v>0</v>
      </c>
      <c r="AF37" s="1082">
        <f t="shared" si="9"/>
        <v>-109218.75</v>
      </c>
      <c r="AG37" s="1082">
        <f t="shared" si="16"/>
        <v>0</v>
      </c>
      <c r="AH37" s="1082">
        <f t="shared" si="17"/>
        <v>-100368.7570832201</v>
      </c>
      <c r="AI37" s="1116">
        <f t="shared" si="20"/>
        <v>-100368.7570832201</v>
      </c>
      <c r="AJ37" s="1087">
        <f t="shared" si="21"/>
        <v>4908835.3984737359</v>
      </c>
      <c r="AK37" s="1094"/>
      <c r="AL37" s="1129">
        <f t="shared" si="22"/>
        <v>4908835.3984737359</v>
      </c>
      <c r="AM37" s="1094"/>
      <c r="AN37" s="1094"/>
      <c r="AO37" s="1127"/>
      <c r="AP37" s="1127"/>
      <c r="AQ37" s="1127"/>
      <c r="AR37" s="1127"/>
      <c r="AS37" s="1127"/>
      <c r="AT37" s="1126">
        <f t="shared" si="23"/>
        <v>12</v>
      </c>
      <c r="AU37" s="675"/>
      <c r="AV37" s="675"/>
      <c r="AW37" s="675"/>
      <c r="AX37" s="675"/>
      <c r="AY37" s="675"/>
      <c r="AZ37" s="675"/>
      <c r="BA37" s="675"/>
      <c r="BH37" s="675"/>
      <c r="BI37" s="675"/>
    </row>
    <row r="38" spans="2:61" ht="16.5" customHeight="1">
      <c r="B38" s="1097">
        <f t="shared" si="18"/>
        <v>13</v>
      </c>
      <c r="C38" s="1098">
        <f t="shared" si="11"/>
        <v>2</v>
      </c>
      <c r="D38" s="1099" t="str">
        <f>IF($C37=12,$D$37+1,"             ")</f>
        <v xml:space="preserve">             </v>
      </c>
      <c r="E38" s="1087"/>
      <c r="F38" s="1094"/>
      <c r="G38" s="1082"/>
      <c r="H38" s="1094"/>
      <c r="I38" s="1082"/>
      <c r="J38" s="1094"/>
      <c r="K38" s="1082"/>
      <c r="L38" s="1094"/>
      <c r="M38" s="1082"/>
      <c r="N38" s="1217"/>
      <c r="O38" s="1082"/>
      <c r="P38" s="1082">
        <f t="shared" si="13"/>
        <v>0</v>
      </c>
      <c r="Q38" s="1094"/>
      <c r="R38" s="1082"/>
      <c r="S38" s="1082"/>
      <c r="T38" s="1082">
        <f t="shared" si="14"/>
        <v>-109218.75</v>
      </c>
      <c r="U38" s="1083">
        <f t="shared" si="6"/>
        <v>-109218.75</v>
      </c>
      <c r="V38" s="1104">
        <f t="shared" si="15"/>
        <v>-109218.75</v>
      </c>
      <c r="W38" s="1087">
        <f t="shared" si="10"/>
        <v>0</v>
      </c>
      <c r="X38" s="1094"/>
      <c r="Y38" s="1082"/>
      <c r="Z38" s="1082"/>
      <c r="AA38" s="1082"/>
      <c r="AB38" s="1203">
        <f>IF(B38&lt;=($J$7-1),($AA$11/($J$7/12)),)</f>
        <v>0</v>
      </c>
      <c r="AC38" s="1208">
        <f t="shared" si="19"/>
        <v>0</v>
      </c>
      <c r="AD38" s="1112">
        <f t="shared" si="7"/>
        <v>-109218.75</v>
      </c>
      <c r="AE38" s="1083">
        <f t="shared" si="8"/>
        <v>0</v>
      </c>
      <c r="AF38" s="1082">
        <f t="shared" si="9"/>
        <v>-109218.75</v>
      </c>
      <c r="AG38" s="1082">
        <f t="shared" si="16"/>
        <v>0</v>
      </c>
      <c r="AH38" s="1082">
        <f t="shared" si="17"/>
        <v>-99664.461554898808</v>
      </c>
      <c r="AI38" s="1116">
        <f t="shared" si="20"/>
        <v>-99664.461554898808</v>
      </c>
      <c r="AJ38" s="1087">
        <f t="shared" si="21"/>
        <v>4908835.3984737359</v>
      </c>
      <c r="AK38" s="1094"/>
      <c r="AL38" s="1129">
        <f t="shared" si="22"/>
        <v>4908835.3984737359</v>
      </c>
      <c r="AM38" s="1094"/>
      <c r="AN38" s="1094"/>
      <c r="AO38" s="1127"/>
      <c r="AP38" s="1127"/>
      <c r="AQ38" s="1127"/>
      <c r="AR38" s="1127"/>
      <c r="AS38" s="1127"/>
      <c r="AT38" s="1126">
        <f t="shared" si="23"/>
        <v>13</v>
      </c>
      <c r="AU38" s="675"/>
      <c r="AV38" s="675"/>
      <c r="AW38" s="675"/>
      <c r="AX38" s="675"/>
      <c r="AY38" s="675"/>
      <c r="AZ38" s="675"/>
      <c r="BA38" s="675"/>
      <c r="BH38" s="675"/>
      <c r="BI38" s="675"/>
    </row>
    <row r="39" spans="2:61" ht="15.75" customHeight="1">
      <c r="B39" s="1097">
        <f t="shared" si="18"/>
        <v>14</v>
      </c>
      <c r="C39" s="1098">
        <f t="shared" si="11"/>
        <v>3</v>
      </c>
      <c r="D39" s="1099" t="str">
        <f t="shared" ref="D39:D49" si="24">IF($C38=12,$D$37+1,"             ")</f>
        <v xml:space="preserve">             </v>
      </c>
      <c r="E39" s="1087"/>
      <c r="F39" s="1094"/>
      <c r="G39" s="1082"/>
      <c r="H39" s="1094"/>
      <c r="I39" s="1082"/>
      <c r="J39" s="1094"/>
      <c r="K39" s="1082"/>
      <c r="L39" s="1094"/>
      <c r="M39" s="1082"/>
      <c r="N39" s="1217"/>
      <c r="O39" s="1082"/>
      <c r="P39" s="1082">
        <f t="shared" si="13"/>
        <v>0</v>
      </c>
      <c r="Q39" s="1094"/>
      <c r="R39" s="1082"/>
      <c r="S39" s="1082"/>
      <c r="T39" s="1082">
        <f t="shared" si="14"/>
        <v>-109218.75</v>
      </c>
      <c r="U39" s="1083">
        <f t="shared" si="6"/>
        <v>-109218.75</v>
      </c>
      <c r="V39" s="1104">
        <f t="shared" si="15"/>
        <v>-109218.75</v>
      </c>
      <c r="W39" s="1087">
        <f t="shared" si="10"/>
        <v>0</v>
      </c>
      <c r="X39" s="1094"/>
      <c r="Y39" s="1082"/>
      <c r="Z39" s="1082"/>
      <c r="AA39" s="1082"/>
      <c r="AB39" s="1203"/>
      <c r="AC39" s="1208">
        <f t="shared" si="19"/>
        <v>0</v>
      </c>
      <c r="AD39" s="1112">
        <f t="shared" si="7"/>
        <v>-109218.75</v>
      </c>
      <c r="AE39" s="1083">
        <f t="shared" si="8"/>
        <v>0</v>
      </c>
      <c r="AF39" s="1082">
        <f t="shared" si="9"/>
        <v>-109218.75</v>
      </c>
      <c r="AG39" s="1082">
        <f t="shared" si="16"/>
        <v>0</v>
      </c>
      <c r="AH39" s="1082">
        <f t="shared" si="17"/>
        <v>-98965.108124154736</v>
      </c>
      <c r="AI39" s="1116">
        <f t="shared" si="20"/>
        <v>-98965.108124154736</v>
      </c>
      <c r="AJ39" s="1087">
        <f t="shared" si="21"/>
        <v>4908835.3984737359</v>
      </c>
      <c r="AK39" s="1094"/>
      <c r="AL39" s="1129">
        <f t="shared" si="22"/>
        <v>4908835.3984737359</v>
      </c>
      <c r="AM39" s="1094"/>
      <c r="AN39" s="1094"/>
      <c r="AO39" s="1127"/>
      <c r="AP39" s="1127"/>
      <c r="AQ39" s="1127"/>
      <c r="AR39" s="1127"/>
      <c r="AS39" s="1127"/>
      <c r="AT39" s="1126">
        <f t="shared" si="23"/>
        <v>14</v>
      </c>
      <c r="AU39" s="675"/>
      <c r="AV39" s="675"/>
      <c r="AW39" s="675"/>
      <c r="AX39" s="675"/>
      <c r="AY39" s="675"/>
      <c r="AZ39" s="675"/>
      <c r="BA39" s="675"/>
      <c r="BH39" s="675"/>
      <c r="BI39" s="675"/>
    </row>
    <row r="40" spans="2:61" ht="15.75" customHeight="1">
      <c r="B40" s="1097">
        <f t="shared" si="18"/>
        <v>15</v>
      </c>
      <c r="C40" s="1098">
        <f t="shared" si="11"/>
        <v>4</v>
      </c>
      <c r="D40" s="1099" t="str">
        <f t="shared" si="24"/>
        <v xml:space="preserve">             </v>
      </c>
      <c r="E40" s="1087"/>
      <c r="F40" s="1094"/>
      <c r="G40" s="1082"/>
      <c r="H40" s="1094"/>
      <c r="I40" s="1082"/>
      <c r="J40" s="1094"/>
      <c r="K40" s="1082"/>
      <c r="L40" s="1094"/>
      <c r="M40" s="1082"/>
      <c r="N40" s="1217"/>
      <c r="O40" s="1082"/>
      <c r="P40" s="1082">
        <f t="shared" si="13"/>
        <v>0</v>
      </c>
      <c r="Q40" s="1094"/>
      <c r="R40" s="1082"/>
      <c r="S40" s="1082"/>
      <c r="T40" s="1082">
        <f t="shared" si="14"/>
        <v>-109218.75</v>
      </c>
      <c r="U40" s="1083">
        <f t="shared" si="6"/>
        <v>-109218.75</v>
      </c>
      <c r="V40" s="1104">
        <f t="shared" si="15"/>
        <v>-109218.75</v>
      </c>
      <c r="W40" s="1087">
        <f t="shared" si="10"/>
        <v>0</v>
      </c>
      <c r="X40" s="1094"/>
      <c r="Y40" s="1082"/>
      <c r="Z40" s="1082"/>
      <c r="AA40" s="1082"/>
      <c r="AB40" s="1203"/>
      <c r="AC40" s="1208">
        <f t="shared" si="19"/>
        <v>0</v>
      </c>
      <c r="AD40" s="1112">
        <f t="shared" si="7"/>
        <v>-109218.75</v>
      </c>
      <c r="AE40" s="1083">
        <f t="shared" si="8"/>
        <v>0</v>
      </c>
      <c r="AF40" s="1082">
        <f t="shared" si="9"/>
        <v>-109218.75</v>
      </c>
      <c r="AG40" s="1082">
        <f t="shared" si="16"/>
        <v>0</v>
      </c>
      <c r="AH40" s="1082">
        <f t="shared" si="17"/>
        <v>-98270.662111897327</v>
      </c>
      <c r="AI40" s="1116">
        <f t="shared" si="20"/>
        <v>-98270.662111897327</v>
      </c>
      <c r="AJ40" s="1087">
        <f t="shared" si="21"/>
        <v>4908835.3984737359</v>
      </c>
      <c r="AK40" s="1094"/>
      <c r="AL40" s="1129">
        <f t="shared" si="22"/>
        <v>4908835.3984737359</v>
      </c>
      <c r="AM40" s="1094"/>
      <c r="AN40" s="1094"/>
      <c r="AO40" s="1127"/>
      <c r="AP40" s="1127"/>
      <c r="AQ40" s="1127"/>
      <c r="AR40" s="1127"/>
      <c r="AS40" s="1127"/>
      <c r="AT40" s="1126">
        <f t="shared" si="23"/>
        <v>15</v>
      </c>
      <c r="AU40" s="675"/>
      <c r="AV40" s="675"/>
      <c r="AW40" s="675"/>
      <c r="AX40" s="675"/>
      <c r="AY40" s="675"/>
      <c r="AZ40" s="675"/>
      <c r="BA40" s="675"/>
      <c r="BH40" s="675"/>
      <c r="BI40" s="675"/>
    </row>
    <row r="41" spans="2:61" ht="15.75" customHeight="1">
      <c r="B41" s="1097">
        <f t="shared" si="18"/>
        <v>16</v>
      </c>
      <c r="C41" s="1098">
        <f t="shared" si="11"/>
        <v>5</v>
      </c>
      <c r="D41" s="1099" t="str">
        <f t="shared" si="24"/>
        <v xml:space="preserve">             </v>
      </c>
      <c r="E41" s="1087"/>
      <c r="F41" s="1094"/>
      <c r="G41" s="1082"/>
      <c r="H41" s="1094"/>
      <c r="I41" s="1082"/>
      <c r="J41" s="1094"/>
      <c r="K41" s="1082"/>
      <c r="L41" s="1094"/>
      <c r="M41" s="1082"/>
      <c r="N41" s="1217"/>
      <c r="O41" s="1082"/>
      <c r="P41" s="1082">
        <f t="shared" si="13"/>
        <v>0</v>
      </c>
      <c r="Q41" s="1094"/>
      <c r="R41" s="1082"/>
      <c r="S41" s="1082"/>
      <c r="T41" s="1082">
        <f t="shared" si="14"/>
        <v>-109218.75</v>
      </c>
      <c r="U41" s="1083">
        <f t="shared" si="6"/>
        <v>-109218.75</v>
      </c>
      <c r="V41" s="1104">
        <f t="shared" si="15"/>
        <v>-109218.75</v>
      </c>
      <c r="W41" s="1087">
        <f t="shared" si="10"/>
        <v>0</v>
      </c>
      <c r="X41" s="1094"/>
      <c r="Y41" s="1082"/>
      <c r="Z41" s="1082"/>
      <c r="AA41" s="1082"/>
      <c r="AB41" s="1203"/>
      <c r="AC41" s="1208">
        <f t="shared" si="19"/>
        <v>0</v>
      </c>
      <c r="AD41" s="1112">
        <f t="shared" si="7"/>
        <v>-109218.75</v>
      </c>
      <c r="AE41" s="1083">
        <f t="shared" si="8"/>
        <v>0</v>
      </c>
      <c r="AF41" s="1082">
        <f t="shared" si="9"/>
        <v>-109218.75</v>
      </c>
      <c r="AG41" s="1082">
        <f t="shared" si="16"/>
        <v>0</v>
      </c>
      <c r="AH41" s="1082">
        <f t="shared" si="17"/>
        <v>-97581.089082381804</v>
      </c>
      <c r="AI41" s="1116">
        <f t="shared" si="20"/>
        <v>-97581.089082381804</v>
      </c>
      <c r="AJ41" s="1087">
        <f t="shared" si="21"/>
        <v>4908835.3984737359</v>
      </c>
      <c r="AK41" s="1094"/>
      <c r="AL41" s="1129">
        <f t="shared" si="22"/>
        <v>4908835.3984737359</v>
      </c>
      <c r="AM41" s="1094"/>
      <c r="AN41" s="1094"/>
      <c r="AO41" s="1127"/>
      <c r="AP41" s="1127"/>
      <c r="AQ41" s="1127"/>
      <c r="AR41" s="1127"/>
      <c r="AS41" s="1127"/>
      <c r="AT41" s="1126">
        <f t="shared" si="23"/>
        <v>16</v>
      </c>
      <c r="AU41" s="675"/>
      <c r="AV41" s="675"/>
      <c r="AW41" s="675"/>
      <c r="AX41" s="675"/>
      <c r="AY41" s="675"/>
      <c r="AZ41" s="675"/>
      <c r="BA41" s="675"/>
      <c r="BH41" s="675"/>
      <c r="BI41" s="675"/>
    </row>
    <row r="42" spans="2:61" ht="15.75" customHeight="1">
      <c r="B42" s="1097">
        <f t="shared" si="18"/>
        <v>17</v>
      </c>
      <c r="C42" s="1098">
        <f t="shared" si="11"/>
        <v>6</v>
      </c>
      <c r="D42" s="1099" t="str">
        <f t="shared" si="24"/>
        <v xml:space="preserve">             </v>
      </c>
      <c r="E42" s="1087"/>
      <c r="F42" s="1094"/>
      <c r="G42" s="1082"/>
      <c r="H42" s="1094"/>
      <c r="I42" s="1082"/>
      <c r="J42" s="1094"/>
      <c r="K42" s="1082"/>
      <c r="L42" s="1094"/>
      <c r="M42" s="1082"/>
      <c r="N42" s="1217"/>
      <c r="O42" s="1082"/>
      <c r="P42" s="1082">
        <f t="shared" si="13"/>
        <v>0</v>
      </c>
      <c r="Q42" s="1094"/>
      <c r="R42" s="1082"/>
      <c r="S42" s="1082"/>
      <c r="T42" s="1082">
        <f t="shared" si="14"/>
        <v>-109218.75</v>
      </c>
      <c r="U42" s="1083">
        <f t="shared" si="6"/>
        <v>-109218.75</v>
      </c>
      <c r="V42" s="1104">
        <f t="shared" si="15"/>
        <v>-109218.75</v>
      </c>
      <c r="W42" s="1087">
        <f t="shared" si="10"/>
        <v>0</v>
      </c>
      <c r="X42" s="1094"/>
      <c r="Y42" s="1082"/>
      <c r="Z42" s="1082"/>
      <c r="AA42" s="1082"/>
      <c r="AB42" s="1203"/>
      <c r="AC42" s="1208">
        <f t="shared" si="19"/>
        <v>0</v>
      </c>
      <c r="AD42" s="1112">
        <f t="shared" si="7"/>
        <v>-109218.75</v>
      </c>
      <c r="AE42" s="1083">
        <f t="shared" si="8"/>
        <v>0</v>
      </c>
      <c r="AF42" s="1082">
        <f t="shared" si="9"/>
        <v>-109218.75</v>
      </c>
      <c r="AG42" s="1082">
        <f t="shared" si="16"/>
        <v>0</v>
      </c>
      <c r="AH42" s="1082">
        <f t="shared" si="17"/>
        <v>-96896.354841501845</v>
      </c>
      <c r="AI42" s="1116">
        <f t="shared" si="20"/>
        <v>-96896.354841501845</v>
      </c>
      <c r="AJ42" s="1087">
        <f t="shared" si="21"/>
        <v>4908835.3984737359</v>
      </c>
      <c r="AK42" s="1094"/>
      <c r="AL42" s="1129">
        <f t="shared" si="22"/>
        <v>4908835.3984737359</v>
      </c>
      <c r="AM42" s="1094"/>
      <c r="AN42" s="1094"/>
      <c r="AO42" s="1127"/>
      <c r="AP42" s="1127"/>
      <c r="AQ42" s="1127"/>
      <c r="AR42" s="1127"/>
      <c r="AS42" s="1127"/>
      <c r="AT42" s="1126">
        <f t="shared" si="23"/>
        <v>17</v>
      </c>
      <c r="AU42" s="675"/>
      <c r="AV42" s="675"/>
      <c r="AW42" s="675"/>
      <c r="AX42" s="675"/>
      <c r="AY42" s="675"/>
      <c r="AZ42" s="675"/>
      <c r="BA42" s="675"/>
      <c r="BH42" s="675"/>
      <c r="BI42" s="675"/>
    </row>
    <row r="43" spans="2:61" ht="15.75" customHeight="1">
      <c r="B43" s="1097">
        <f t="shared" si="18"/>
        <v>18</v>
      </c>
      <c r="C43" s="1098">
        <f t="shared" si="11"/>
        <v>7</v>
      </c>
      <c r="D43" s="1099" t="str">
        <f t="shared" si="24"/>
        <v xml:space="preserve">             </v>
      </c>
      <c r="E43" s="1087"/>
      <c r="F43" s="1094"/>
      <c r="G43" s="1082"/>
      <c r="H43" s="1094"/>
      <c r="I43" s="1082"/>
      <c r="J43" s="1094"/>
      <c r="K43" s="1082"/>
      <c r="L43" s="1094"/>
      <c r="M43" s="1082"/>
      <c r="N43" s="1217"/>
      <c r="O43" s="1082"/>
      <c r="P43" s="1082">
        <f t="shared" si="13"/>
        <v>0</v>
      </c>
      <c r="Q43" s="1094"/>
      <c r="R43" s="1082"/>
      <c r="S43" s="1082"/>
      <c r="T43" s="1082">
        <f t="shared" si="14"/>
        <v>-109218.75</v>
      </c>
      <c r="U43" s="1083">
        <f t="shared" si="6"/>
        <v>-109218.75</v>
      </c>
      <c r="V43" s="1104">
        <f t="shared" si="15"/>
        <v>-109218.75</v>
      </c>
      <c r="W43" s="1087">
        <f t="shared" si="10"/>
        <v>0</v>
      </c>
      <c r="X43" s="1094"/>
      <c r="Y43" s="1082"/>
      <c r="Z43" s="1082"/>
      <c r="AA43" s="1082"/>
      <c r="AB43" s="1203"/>
      <c r="AC43" s="1208">
        <f t="shared" si="19"/>
        <v>0</v>
      </c>
      <c r="AD43" s="1112">
        <f t="shared" si="7"/>
        <v>-109218.75</v>
      </c>
      <c r="AE43" s="1083">
        <f t="shared" si="8"/>
        <v>0</v>
      </c>
      <c r="AF43" s="1082">
        <f t="shared" si="9"/>
        <v>-109218.75</v>
      </c>
      <c r="AG43" s="1082">
        <f t="shared" si="16"/>
        <v>0</v>
      </c>
      <c r="AH43" s="1082">
        <f t="shared" si="17"/>
        <v>-96216.425435093843</v>
      </c>
      <c r="AI43" s="1116">
        <f t="shared" si="20"/>
        <v>-96216.425435093843</v>
      </c>
      <c r="AJ43" s="1087">
        <f t="shared" si="21"/>
        <v>4908835.3984737359</v>
      </c>
      <c r="AK43" s="1094"/>
      <c r="AL43" s="1129">
        <f t="shared" si="22"/>
        <v>4908835.3984737359</v>
      </c>
      <c r="AM43" s="1094"/>
      <c r="AN43" s="1094"/>
      <c r="AO43" s="1127"/>
      <c r="AP43" s="1127"/>
      <c r="AQ43" s="1127"/>
      <c r="AR43" s="1127"/>
      <c r="AS43" s="1127"/>
      <c r="AT43" s="1126">
        <f t="shared" si="23"/>
        <v>18</v>
      </c>
      <c r="AU43" s="675"/>
      <c r="AV43" s="675"/>
      <c r="AW43" s="675"/>
      <c r="AX43" s="675"/>
      <c r="AY43" s="675"/>
      <c r="AZ43" s="675"/>
      <c r="BA43" s="675"/>
      <c r="BH43" s="675"/>
      <c r="BI43" s="675"/>
    </row>
    <row r="44" spans="2:61" ht="15.75" customHeight="1">
      <c r="B44" s="1097">
        <f t="shared" si="18"/>
        <v>19</v>
      </c>
      <c r="C44" s="1098">
        <f t="shared" si="11"/>
        <v>8</v>
      </c>
      <c r="D44" s="1099" t="str">
        <f t="shared" si="24"/>
        <v xml:space="preserve">             </v>
      </c>
      <c r="E44" s="1087"/>
      <c r="F44" s="1094"/>
      <c r="G44" s="1082"/>
      <c r="H44" s="1094"/>
      <c r="I44" s="1082"/>
      <c r="J44" s="1094"/>
      <c r="K44" s="1082"/>
      <c r="L44" s="1094"/>
      <c r="M44" s="1082"/>
      <c r="N44" s="1217"/>
      <c r="O44" s="1082"/>
      <c r="P44" s="1082">
        <f t="shared" si="13"/>
        <v>0</v>
      </c>
      <c r="Q44" s="1094"/>
      <c r="R44" s="1082"/>
      <c r="S44" s="1082"/>
      <c r="T44" s="1082">
        <f t="shared" si="14"/>
        <v>-109218.75</v>
      </c>
      <c r="U44" s="1083">
        <f t="shared" si="6"/>
        <v>-109218.75</v>
      </c>
      <c r="V44" s="1104">
        <f t="shared" si="15"/>
        <v>-109218.75</v>
      </c>
      <c r="W44" s="1087">
        <f t="shared" si="10"/>
        <v>0</v>
      </c>
      <c r="X44" s="1094"/>
      <c r="Y44" s="1082"/>
      <c r="Z44" s="1082"/>
      <c r="AA44" s="1082"/>
      <c r="AB44" s="1203"/>
      <c r="AC44" s="1208">
        <f t="shared" si="19"/>
        <v>0</v>
      </c>
      <c r="AD44" s="1112">
        <f t="shared" si="7"/>
        <v>-109218.75</v>
      </c>
      <c r="AE44" s="1083">
        <f t="shared" si="8"/>
        <v>0</v>
      </c>
      <c r="AF44" s="1082">
        <f t="shared" si="9"/>
        <v>-109218.75</v>
      </c>
      <c r="AG44" s="1082">
        <f t="shared" si="16"/>
        <v>0</v>
      </c>
      <c r="AH44" s="1082">
        <f t="shared" si="17"/>
        <v>-95541.267147253253</v>
      </c>
      <c r="AI44" s="1116">
        <f t="shared" si="20"/>
        <v>-95541.267147253253</v>
      </c>
      <c r="AJ44" s="1087">
        <f t="shared" si="21"/>
        <v>4908835.3984737359</v>
      </c>
      <c r="AK44" s="1094"/>
      <c r="AL44" s="1129">
        <f t="shared" si="22"/>
        <v>4908835.3984737359</v>
      </c>
      <c r="AM44" s="1094"/>
      <c r="AN44" s="1094"/>
      <c r="AO44" s="1127"/>
      <c r="AP44" s="1127"/>
      <c r="AQ44" s="1127"/>
      <c r="AR44" s="1127"/>
      <c r="AS44" s="1127"/>
      <c r="AT44" s="1126">
        <f t="shared" si="23"/>
        <v>19</v>
      </c>
      <c r="AU44" s="675"/>
      <c r="AV44" s="675"/>
      <c r="AW44" s="675"/>
      <c r="AX44" s="675"/>
      <c r="AY44" s="675"/>
      <c r="AZ44" s="675"/>
      <c r="BA44" s="675"/>
      <c r="BH44" s="675"/>
      <c r="BI44" s="675"/>
    </row>
    <row r="45" spans="2:61" ht="15.75" customHeight="1">
      <c r="B45" s="1097">
        <f t="shared" si="18"/>
        <v>20</v>
      </c>
      <c r="C45" s="1098">
        <f t="shared" si="11"/>
        <v>9</v>
      </c>
      <c r="D45" s="1099" t="str">
        <f>IF($C44=12,$D$33+1,"             ")</f>
        <v xml:space="preserve">             </v>
      </c>
      <c r="E45" s="1087"/>
      <c r="F45" s="1094"/>
      <c r="G45" s="1082"/>
      <c r="H45" s="1094"/>
      <c r="I45" s="1082"/>
      <c r="J45" s="1094"/>
      <c r="K45" s="1082"/>
      <c r="L45" s="1094"/>
      <c r="M45" s="1082"/>
      <c r="N45" s="1217"/>
      <c r="O45" s="1082"/>
      <c r="P45" s="1082">
        <f t="shared" si="13"/>
        <v>0</v>
      </c>
      <c r="Q45" s="1094"/>
      <c r="R45" s="1082"/>
      <c r="S45" s="1082"/>
      <c r="T45" s="1082">
        <f t="shared" si="14"/>
        <v>-109218.75</v>
      </c>
      <c r="U45" s="1083">
        <f t="shared" si="6"/>
        <v>-109218.75</v>
      </c>
      <c r="V45" s="1104">
        <f t="shared" si="15"/>
        <v>-109218.75</v>
      </c>
      <c r="W45" s="1087">
        <f t="shared" si="10"/>
        <v>0</v>
      </c>
      <c r="X45" s="1094"/>
      <c r="Y45" s="1082"/>
      <c r="Z45" s="1082"/>
      <c r="AA45" s="1082"/>
      <c r="AB45" s="1203"/>
      <c r="AC45" s="1208">
        <f t="shared" si="19"/>
        <v>0</v>
      </c>
      <c r="AD45" s="1112">
        <f t="shared" si="7"/>
        <v>-109218.75</v>
      </c>
      <c r="AE45" s="1083">
        <f t="shared" si="8"/>
        <v>0</v>
      </c>
      <c r="AF45" s="1082">
        <f t="shared" si="9"/>
        <v>-109218.75</v>
      </c>
      <c r="AG45" s="1082">
        <f t="shared" si="16"/>
        <v>0</v>
      </c>
      <c r="AH45" s="1082">
        <f t="shared" si="17"/>
        <v>-94870.846498662664</v>
      </c>
      <c r="AI45" s="1116">
        <f t="shared" si="20"/>
        <v>-94870.846498662664</v>
      </c>
      <c r="AJ45" s="1087">
        <f t="shared" si="21"/>
        <v>4908835.3984737359</v>
      </c>
      <c r="AK45" s="1094"/>
      <c r="AL45" s="1129">
        <f t="shared" si="22"/>
        <v>4908835.3984737359</v>
      </c>
      <c r="AM45" s="1094"/>
      <c r="AN45" s="1094"/>
      <c r="AO45" s="1127"/>
      <c r="AP45" s="1127"/>
      <c r="AQ45" s="1127"/>
      <c r="AR45" s="1127"/>
      <c r="AS45" s="1127"/>
      <c r="AT45" s="1126">
        <f t="shared" si="23"/>
        <v>20</v>
      </c>
      <c r="AU45" s="675"/>
      <c r="AV45" s="675"/>
      <c r="AW45" s="675"/>
      <c r="AX45" s="675"/>
      <c r="AY45" s="675"/>
      <c r="AZ45" s="675"/>
      <c r="BA45" s="675"/>
      <c r="BH45" s="675"/>
      <c r="BI45" s="675"/>
    </row>
    <row r="46" spans="2:61" ht="15.75" customHeight="1">
      <c r="B46" s="1097">
        <f t="shared" si="18"/>
        <v>21</v>
      </c>
      <c r="C46" s="1098">
        <f t="shared" si="11"/>
        <v>10</v>
      </c>
      <c r="D46" s="1099" t="str">
        <f t="shared" si="24"/>
        <v xml:space="preserve">             </v>
      </c>
      <c r="E46" s="1087"/>
      <c r="F46" s="1094"/>
      <c r="G46" s="1082"/>
      <c r="H46" s="1094"/>
      <c r="I46" s="1082"/>
      <c r="J46" s="1094"/>
      <c r="K46" s="1082"/>
      <c r="L46" s="1094"/>
      <c r="M46" s="1082"/>
      <c r="N46" s="1217"/>
      <c r="O46" s="1082"/>
      <c r="P46" s="1082">
        <f t="shared" si="13"/>
        <v>0</v>
      </c>
      <c r="Q46" s="1094"/>
      <c r="R46" s="1082"/>
      <c r="S46" s="1082"/>
      <c r="T46" s="1082">
        <f t="shared" si="14"/>
        <v>-109218.75</v>
      </c>
      <c r="U46" s="1083">
        <f t="shared" si="6"/>
        <v>-109218.75</v>
      </c>
      <c r="V46" s="1104">
        <f t="shared" si="15"/>
        <v>-109218.75</v>
      </c>
      <c r="W46" s="1087">
        <f t="shared" si="10"/>
        <v>0</v>
      </c>
      <c r="X46" s="1094"/>
      <c r="Y46" s="1082"/>
      <c r="Z46" s="1082"/>
      <c r="AA46" s="1082"/>
      <c r="AB46" s="1203"/>
      <c r="AC46" s="1208">
        <f t="shared" si="19"/>
        <v>0</v>
      </c>
      <c r="AD46" s="1112">
        <f t="shared" si="7"/>
        <v>-109218.75</v>
      </c>
      <c r="AE46" s="1083">
        <f t="shared" si="8"/>
        <v>0</v>
      </c>
      <c r="AF46" s="1082">
        <f t="shared" si="9"/>
        <v>-109218.75</v>
      </c>
      <c r="AG46" s="1082">
        <f t="shared" si="16"/>
        <v>0</v>
      </c>
      <c r="AH46" s="1082">
        <f t="shared" si="17"/>
        <v>-94205.130244931803</v>
      </c>
      <c r="AI46" s="1116">
        <f t="shared" si="20"/>
        <v>-94205.130244931803</v>
      </c>
      <c r="AJ46" s="1087">
        <f t="shared" si="21"/>
        <v>4908835.3984737359</v>
      </c>
      <c r="AK46" s="1094"/>
      <c r="AL46" s="1129">
        <f t="shared" si="22"/>
        <v>4908835.3984737359</v>
      </c>
      <c r="AM46" s="1094"/>
      <c r="AN46" s="1094"/>
      <c r="AO46" s="1127"/>
      <c r="AP46" s="1127"/>
      <c r="AQ46" s="1127"/>
      <c r="AR46" s="1127"/>
      <c r="AS46" s="1127"/>
      <c r="AT46" s="1126">
        <f t="shared" si="23"/>
        <v>21</v>
      </c>
      <c r="AU46" s="675"/>
      <c r="AV46" s="675"/>
      <c r="AW46" s="675"/>
      <c r="AX46" s="675"/>
      <c r="AY46" s="675"/>
      <c r="AZ46" s="675"/>
      <c r="BA46" s="675"/>
      <c r="BH46" s="675"/>
      <c r="BI46" s="675"/>
    </row>
    <row r="47" spans="2:61" ht="15.75" customHeight="1">
      <c r="B47" s="1097">
        <f t="shared" si="18"/>
        <v>22</v>
      </c>
      <c r="C47" s="1098">
        <f t="shared" si="11"/>
        <v>11</v>
      </c>
      <c r="D47" s="1099" t="str">
        <f t="shared" si="24"/>
        <v xml:space="preserve">             </v>
      </c>
      <c r="E47" s="1087"/>
      <c r="F47" s="1094"/>
      <c r="G47" s="1082"/>
      <c r="H47" s="1094"/>
      <c r="I47" s="1082"/>
      <c r="J47" s="1094"/>
      <c r="K47" s="1082"/>
      <c r="L47" s="1094"/>
      <c r="M47" s="1082"/>
      <c r="N47" s="1217"/>
      <c r="O47" s="1082"/>
      <c r="P47" s="1082">
        <f t="shared" si="13"/>
        <v>0</v>
      </c>
      <c r="Q47" s="1094"/>
      <c r="R47" s="1082"/>
      <c r="S47" s="1082"/>
      <c r="T47" s="1082">
        <f t="shared" si="14"/>
        <v>-109218.75</v>
      </c>
      <c r="U47" s="1083">
        <f t="shared" si="6"/>
        <v>-109218.75</v>
      </c>
      <c r="V47" s="1104">
        <f t="shared" si="15"/>
        <v>-109218.75</v>
      </c>
      <c r="W47" s="1087">
        <f t="shared" si="10"/>
        <v>0</v>
      </c>
      <c r="X47" s="1094"/>
      <c r="Y47" s="1082"/>
      <c r="Z47" s="1082"/>
      <c r="AA47" s="1082"/>
      <c r="AB47" s="1203"/>
      <c r="AC47" s="1208">
        <f t="shared" si="19"/>
        <v>0</v>
      </c>
      <c r="AD47" s="1112">
        <f t="shared" si="7"/>
        <v>-109218.75</v>
      </c>
      <c r="AE47" s="1083">
        <f t="shared" si="8"/>
        <v>0</v>
      </c>
      <c r="AF47" s="1082">
        <f t="shared" si="9"/>
        <v>-109218.75</v>
      </c>
      <c r="AG47" s="1082">
        <f t="shared" si="16"/>
        <v>0</v>
      </c>
      <c r="AH47" s="1082">
        <f t="shared" si="17"/>
        <v>-93544.085374948816</v>
      </c>
      <c r="AI47" s="1116">
        <f t="shared" si="20"/>
        <v>-93544.085374948816</v>
      </c>
      <c r="AJ47" s="1087">
        <f t="shared" si="21"/>
        <v>4908835.3984737359</v>
      </c>
      <c r="AK47" s="1094"/>
      <c r="AL47" s="1129">
        <f t="shared" si="22"/>
        <v>4908835.3984737359</v>
      </c>
      <c r="AM47" s="1094"/>
      <c r="AN47" s="1094"/>
      <c r="AO47" s="1127"/>
      <c r="AP47" s="1127"/>
      <c r="AQ47" s="1127"/>
      <c r="AR47" s="1127"/>
      <c r="AS47" s="1127"/>
      <c r="AT47" s="1126">
        <f t="shared" si="23"/>
        <v>22</v>
      </c>
      <c r="AU47" s="675"/>
      <c r="AV47" s="675"/>
      <c r="AW47" s="675"/>
      <c r="AX47" s="675"/>
      <c r="AY47" s="675"/>
      <c r="AZ47" s="675"/>
      <c r="BA47" s="675"/>
      <c r="BH47" s="675"/>
      <c r="BI47" s="675"/>
    </row>
    <row r="48" spans="2:61" ht="15.75" customHeight="1">
      <c r="B48" s="1097">
        <f t="shared" si="18"/>
        <v>23</v>
      </c>
      <c r="C48" s="1098">
        <f t="shared" si="11"/>
        <v>12</v>
      </c>
      <c r="D48" s="1099" t="str">
        <f t="shared" si="24"/>
        <v xml:space="preserve">             </v>
      </c>
      <c r="E48" s="1087"/>
      <c r="F48" s="1094"/>
      <c r="G48" s="1082"/>
      <c r="H48" s="1094"/>
      <c r="I48" s="1082"/>
      <c r="J48" s="1094"/>
      <c r="K48" s="1082"/>
      <c r="L48" s="1094"/>
      <c r="M48" s="1082">
        <f>IF(B48&lt;=$J$7,($AA$9/($J$7/12))*-1,)</f>
        <v>-321250</v>
      </c>
      <c r="N48" s="1217"/>
      <c r="O48" s="1082"/>
      <c r="P48" s="1082">
        <f t="shared" si="13"/>
        <v>0</v>
      </c>
      <c r="Q48" s="1094"/>
      <c r="R48" s="1082"/>
      <c r="S48" s="1082"/>
      <c r="T48" s="1082">
        <f t="shared" si="14"/>
        <v>-109218.75</v>
      </c>
      <c r="U48" s="1083">
        <f t="shared" si="6"/>
        <v>-430468.75</v>
      </c>
      <c r="V48" s="1104">
        <f t="shared" si="15"/>
        <v>-430468.75</v>
      </c>
      <c r="W48" s="1087">
        <f t="shared" si="10"/>
        <v>0</v>
      </c>
      <c r="X48" s="1094"/>
      <c r="Y48" s="1082"/>
      <c r="Z48" s="1082"/>
      <c r="AA48" s="1082"/>
      <c r="AB48" s="1203"/>
      <c r="AC48" s="1208">
        <f t="shared" si="19"/>
        <v>0</v>
      </c>
      <c r="AD48" s="1112">
        <f t="shared" si="7"/>
        <v>-430468.75</v>
      </c>
      <c r="AE48" s="1083">
        <f t="shared" si="8"/>
        <v>0</v>
      </c>
      <c r="AF48" s="1082">
        <f t="shared" si="9"/>
        <v>-430468.75</v>
      </c>
      <c r="AG48" s="1082">
        <f t="shared" si="16"/>
        <v>0</v>
      </c>
      <c r="AH48" s="1082">
        <f t="shared" si="17"/>
        <v>-366102.36902141036</v>
      </c>
      <c r="AI48" s="1116">
        <f t="shared" si="20"/>
        <v>-366102.36902141036</v>
      </c>
      <c r="AJ48" s="1087">
        <f t="shared" si="21"/>
        <v>4908835.3984737359</v>
      </c>
      <c r="AK48" s="1094"/>
      <c r="AL48" s="1129">
        <f t="shared" si="22"/>
        <v>4908835.3984737359</v>
      </c>
      <c r="AM48" s="1094"/>
      <c r="AN48" s="1094"/>
      <c r="AO48" s="1127"/>
      <c r="AP48" s="1127"/>
      <c r="AQ48" s="1127"/>
      <c r="AR48" s="1127"/>
      <c r="AS48" s="1127"/>
      <c r="AT48" s="1126">
        <f t="shared" si="23"/>
        <v>23</v>
      </c>
      <c r="AU48" s="675"/>
      <c r="AV48" s="675"/>
      <c r="AW48" s="675"/>
      <c r="AX48" s="675"/>
      <c r="AY48" s="675"/>
      <c r="AZ48" s="675"/>
      <c r="BA48" s="675"/>
      <c r="BH48" s="675"/>
      <c r="BI48" s="675"/>
    </row>
    <row r="49" spans="2:61" ht="15.75" customHeight="1">
      <c r="B49" s="1097">
        <f t="shared" si="18"/>
        <v>24</v>
      </c>
      <c r="C49" s="1098">
        <f t="shared" si="11"/>
        <v>1</v>
      </c>
      <c r="D49" s="1099">
        <f t="shared" si="24"/>
        <v>2020</v>
      </c>
      <c r="E49" s="1087"/>
      <c r="F49" s="1094"/>
      <c r="G49" s="1082"/>
      <c r="H49" s="1094"/>
      <c r="I49" s="1082"/>
      <c r="J49" s="1094"/>
      <c r="K49" s="1082"/>
      <c r="L49" s="1094"/>
      <c r="M49" s="874"/>
      <c r="N49" s="1217">
        <f>IF(B49&lt;=($J$7-1),($AA$8/($J$7/12))*-1,)</f>
        <v>0</v>
      </c>
      <c r="O49" s="1082"/>
      <c r="P49" s="1082">
        <f t="shared" si="13"/>
        <v>0</v>
      </c>
      <c r="Q49" s="1094"/>
      <c r="R49" s="1082"/>
      <c r="S49" s="1082"/>
      <c r="T49" s="1082">
        <f t="shared" si="14"/>
        <v>-109218.75</v>
      </c>
      <c r="U49" s="1083">
        <f t="shared" si="6"/>
        <v>-109218.75</v>
      </c>
      <c r="V49" s="1104">
        <f t="shared" si="15"/>
        <v>-109218.75</v>
      </c>
      <c r="W49" s="1087">
        <f t="shared" si="10"/>
        <v>0</v>
      </c>
      <c r="X49" s="1094"/>
      <c r="Y49" s="1082"/>
      <c r="Z49" s="1082"/>
      <c r="AA49" s="1082"/>
      <c r="AB49" s="1203"/>
      <c r="AC49" s="1208">
        <f t="shared" si="19"/>
        <v>0</v>
      </c>
      <c r="AD49" s="1112">
        <f t="shared" si="7"/>
        <v>-109218.75</v>
      </c>
      <c r="AE49" s="1083">
        <f t="shared" si="8"/>
        <v>0</v>
      </c>
      <c r="AF49" s="1082">
        <f t="shared" si="9"/>
        <v>-109218.75</v>
      </c>
      <c r="AG49" s="1082">
        <f t="shared" si="16"/>
        <v>0</v>
      </c>
      <c r="AH49" s="1082">
        <f t="shared" si="17"/>
        <v>-92235.878898361698</v>
      </c>
      <c r="AI49" s="1116">
        <f t="shared" si="20"/>
        <v>-92235.878898361698</v>
      </c>
      <c r="AJ49" s="1087">
        <f t="shared" si="21"/>
        <v>4908835.3984737359</v>
      </c>
      <c r="AK49" s="1094"/>
      <c r="AL49" s="1129">
        <f t="shared" si="22"/>
        <v>4908835.3984737359</v>
      </c>
      <c r="AM49" s="1094"/>
      <c r="AN49" s="1094"/>
      <c r="AO49" s="1127"/>
      <c r="AP49" s="1127"/>
      <c r="AQ49" s="1127"/>
      <c r="AR49" s="1127"/>
      <c r="AS49" s="1127"/>
      <c r="AT49" s="1126">
        <f t="shared" si="23"/>
        <v>24</v>
      </c>
      <c r="AU49" s="675"/>
      <c r="AV49" s="675"/>
      <c r="AW49" s="675"/>
      <c r="AX49" s="675"/>
      <c r="AY49" s="675"/>
      <c r="AZ49" s="675"/>
      <c r="BA49" s="675"/>
      <c r="BH49" s="675"/>
      <c r="BI49" s="675"/>
    </row>
    <row r="50" spans="2:61" ht="15.75" customHeight="1">
      <c r="B50" s="1097">
        <f t="shared" si="18"/>
        <v>25</v>
      </c>
      <c r="C50" s="1098">
        <f t="shared" si="11"/>
        <v>2</v>
      </c>
      <c r="D50" s="1099" t="str">
        <f>IF($C49=12,$D$49+1,"             ")</f>
        <v xml:space="preserve">             </v>
      </c>
      <c r="E50" s="1087"/>
      <c r="F50" s="1094"/>
      <c r="G50" s="1082"/>
      <c r="H50" s="1094"/>
      <c r="I50" s="1082"/>
      <c r="J50" s="1094"/>
      <c r="K50" s="1082"/>
      <c r="L50" s="1094"/>
      <c r="M50" s="1082"/>
      <c r="N50" s="1217"/>
      <c r="O50" s="1082"/>
      <c r="P50" s="1082">
        <f t="shared" si="13"/>
        <v>0</v>
      </c>
      <c r="Q50" s="1094"/>
      <c r="R50" s="1082"/>
      <c r="S50" s="1082"/>
      <c r="T50" s="1082">
        <f t="shared" si="14"/>
        <v>-109218.75</v>
      </c>
      <c r="U50" s="1083">
        <f t="shared" si="6"/>
        <v>-109218.75</v>
      </c>
      <c r="V50" s="1104">
        <f t="shared" si="15"/>
        <v>-109218.75</v>
      </c>
      <c r="W50" s="1087">
        <f t="shared" si="10"/>
        <v>0</v>
      </c>
      <c r="X50" s="1094"/>
      <c r="Y50" s="1082"/>
      <c r="Z50" s="1082"/>
      <c r="AA50" s="1082"/>
      <c r="AB50" s="1203">
        <f>IF(B50&lt;=($J$7-1),($AA$11/($J$7/12)),)</f>
        <v>0</v>
      </c>
      <c r="AC50" s="1208">
        <f t="shared" si="19"/>
        <v>0</v>
      </c>
      <c r="AD50" s="1112">
        <f t="shared" si="7"/>
        <v>-109218.75</v>
      </c>
      <c r="AE50" s="1083">
        <f t="shared" si="8"/>
        <v>0</v>
      </c>
      <c r="AF50" s="1082">
        <f t="shared" si="9"/>
        <v>-109218.75</v>
      </c>
      <c r="AG50" s="1082">
        <f t="shared" si="16"/>
        <v>0</v>
      </c>
      <c r="AH50" s="1082">
        <f t="shared" si="17"/>
        <v>-91588.652421251536</v>
      </c>
      <c r="AI50" s="1116">
        <f t="shared" si="20"/>
        <v>-91588.652421251536</v>
      </c>
      <c r="AJ50" s="1087">
        <f t="shared" si="21"/>
        <v>4908835.3984737359</v>
      </c>
      <c r="AK50" s="1094"/>
      <c r="AL50" s="1129">
        <f t="shared" si="22"/>
        <v>4908835.3984737359</v>
      </c>
      <c r="AM50" s="1094"/>
      <c r="AN50" s="1094"/>
      <c r="AO50" s="1127"/>
      <c r="AP50" s="1127"/>
      <c r="AQ50" s="1127"/>
      <c r="AR50" s="1127"/>
      <c r="AS50" s="1127"/>
      <c r="AT50" s="1126">
        <f t="shared" si="23"/>
        <v>25</v>
      </c>
      <c r="AU50" s="675"/>
      <c r="AV50" s="675"/>
      <c r="AW50" s="675"/>
      <c r="AX50" s="675"/>
      <c r="AY50" s="675"/>
      <c r="AZ50" s="675"/>
      <c r="BA50" s="675"/>
      <c r="BH50" s="675"/>
      <c r="BI50" s="675"/>
    </row>
    <row r="51" spans="2:61" ht="15.75" customHeight="1">
      <c r="B51" s="1097">
        <f t="shared" si="18"/>
        <v>26</v>
      </c>
      <c r="C51" s="1098">
        <f t="shared" si="11"/>
        <v>3</v>
      </c>
      <c r="D51" s="1099" t="str">
        <f t="shared" ref="D51:D61" si="25">IF($C50=12,$D$49+1,"             ")</f>
        <v xml:space="preserve">             </v>
      </c>
      <c r="E51" s="1087"/>
      <c r="F51" s="1094"/>
      <c r="G51" s="1082"/>
      <c r="H51" s="1094"/>
      <c r="I51" s="1082"/>
      <c r="J51" s="1094"/>
      <c r="K51" s="1082"/>
      <c r="L51" s="1094"/>
      <c r="M51" s="1082"/>
      <c r="N51" s="1217"/>
      <c r="O51" s="1082"/>
      <c r="P51" s="1082">
        <f t="shared" si="13"/>
        <v>0</v>
      </c>
      <c r="Q51" s="1094"/>
      <c r="R51" s="1082"/>
      <c r="S51" s="1082"/>
      <c r="T51" s="1082">
        <f t="shared" si="14"/>
        <v>-109218.75</v>
      </c>
      <c r="U51" s="1083">
        <f t="shared" si="6"/>
        <v>-109218.75</v>
      </c>
      <c r="V51" s="1104">
        <f t="shared" si="15"/>
        <v>-109218.75</v>
      </c>
      <c r="W51" s="1087">
        <f t="shared" si="10"/>
        <v>0</v>
      </c>
      <c r="X51" s="1094"/>
      <c r="Y51" s="1082"/>
      <c r="Z51" s="1082"/>
      <c r="AA51" s="1082"/>
      <c r="AB51" s="1203"/>
      <c r="AC51" s="1208">
        <f t="shared" si="19"/>
        <v>0</v>
      </c>
      <c r="AD51" s="1112">
        <f t="shared" si="7"/>
        <v>-109218.75</v>
      </c>
      <c r="AE51" s="1083">
        <f t="shared" si="8"/>
        <v>0</v>
      </c>
      <c r="AF51" s="1082">
        <f t="shared" si="9"/>
        <v>-109218.75</v>
      </c>
      <c r="AG51" s="1082">
        <f t="shared" si="16"/>
        <v>0</v>
      </c>
      <c r="AH51" s="1082">
        <f t="shared" si="17"/>
        <v>-90945.967583660298</v>
      </c>
      <c r="AI51" s="1116">
        <f t="shared" si="20"/>
        <v>-90945.967583660298</v>
      </c>
      <c r="AJ51" s="1087">
        <f t="shared" si="21"/>
        <v>4908835.3984737359</v>
      </c>
      <c r="AK51" s="1094"/>
      <c r="AL51" s="1129">
        <f t="shared" si="22"/>
        <v>4908835.3984737359</v>
      </c>
      <c r="AM51" s="1094"/>
      <c r="AN51" s="1094"/>
      <c r="AO51" s="1127"/>
      <c r="AP51" s="1127"/>
      <c r="AQ51" s="1127"/>
      <c r="AR51" s="1127"/>
      <c r="AS51" s="1127"/>
      <c r="AT51" s="1126">
        <f t="shared" si="23"/>
        <v>26</v>
      </c>
      <c r="AU51" s="675"/>
      <c r="AV51" s="675"/>
      <c r="AW51" s="675"/>
      <c r="AX51" s="675"/>
      <c r="AY51" s="675"/>
      <c r="AZ51" s="675"/>
      <c r="BA51" s="675"/>
      <c r="BH51" s="675"/>
      <c r="BI51" s="675"/>
    </row>
    <row r="52" spans="2:61" ht="15.75" customHeight="1">
      <c r="B52" s="1097">
        <f t="shared" si="18"/>
        <v>27</v>
      </c>
      <c r="C52" s="1098">
        <f t="shared" si="11"/>
        <v>4</v>
      </c>
      <c r="D52" s="1099" t="str">
        <f t="shared" si="25"/>
        <v xml:space="preserve">             </v>
      </c>
      <c r="E52" s="1087"/>
      <c r="F52" s="1094"/>
      <c r="G52" s="1082"/>
      <c r="H52" s="1094"/>
      <c r="I52" s="1082"/>
      <c r="J52" s="1094"/>
      <c r="K52" s="1082"/>
      <c r="L52" s="1094"/>
      <c r="M52" s="1082"/>
      <c r="N52" s="1217"/>
      <c r="O52" s="1082"/>
      <c r="P52" s="1082">
        <f t="shared" si="13"/>
        <v>0</v>
      </c>
      <c r="Q52" s="1094"/>
      <c r="R52" s="1082"/>
      <c r="S52" s="1082"/>
      <c r="T52" s="1082">
        <f t="shared" si="14"/>
        <v>-109218.75</v>
      </c>
      <c r="U52" s="1083">
        <f t="shared" si="6"/>
        <v>-109218.75</v>
      </c>
      <c r="V52" s="1104">
        <f t="shared" si="15"/>
        <v>-109218.75</v>
      </c>
      <c r="W52" s="1087">
        <f t="shared" si="10"/>
        <v>0</v>
      </c>
      <c r="X52" s="1094"/>
      <c r="Y52" s="1082"/>
      <c r="Z52" s="1082"/>
      <c r="AA52" s="1082"/>
      <c r="AB52" s="1203"/>
      <c r="AC52" s="1208">
        <f t="shared" si="19"/>
        <v>0</v>
      </c>
      <c r="AD52" s="1112">
        <f t="shared" si="7"/>
        <v>-109218.75</v>
      </c>
      <c r="AE52" s="1083">
        <f t="shared" si="8"/>
        <v>0</v>
      </c>
      <c r="AF52" s="1082">
        <f t="shared" si="9"/>
        <v>-109218.75</v>
      </c>
      <c r="AG52" s="1082">
        <f t="shared" si="16"/>
        <v>0</v>
      </c>
      <c r="AH52" s="1082">
        <f t="shared" si="17"/>
        <v>-90307.792516543399</v>
      </c>
      <c r="AI52" s="1116">
        <f t="shared" si="20"/>
        <v>-90307.792516543399</v>
      </c>
      <c r="AJ52" s="1087">
        <f t="shared" si="21"/>
        <v>4908835.3984737359</v>
      </c>
      <c r="AK52" s="1094"/>
      <c r="AL52" s="1129">
        <f t="shared" si="22"/>
        <v>4908835.3984737359</v>
      </c>
      <c r="AM52" s="1094"/>
      <c r="AN52" s="1094"/>
      <c r="AO52" s="1127"/>
      <c r="AP52" s="1127"/>
      <c r="AQ52" s="1127"/>
      <c r="AR52" s="1127"/>
      <c r="AS52" s="1127"/>
      <c r="AT52" s="1126">
        <f t="shared" si="23"/>
        <v>27</v>
      </c>
      <c r="AU52" s="675"/>
      <c r="AV52" s="675"/>
      <c r="AW52" s="675"/>
      <c r="AX52" s="675"/>
      <c r="AY52" s="675"/>
      <c r="AZ52" s="675"/>
      <c r="BA52" s="675"/>
      <c r="BH52" s="675"/>
      <c r="BI52" s="675"/>
    </row>
    <row r="53" spans="2:61" ht="15.75" customHeight="1">
      <c r="B53" s="1097">
        <f t="shared" si="18"/>
        <v>28</v>
      </c>
      <c r="C53" s="1098">
        <f t="shared" si="11"/>
        <v>5</v>
      </c>
      <c r="D53" s="1099" t="str">
        <f t="shared" si="25"/>
        <v xml:space="preserve">             </v>
      </c>
      <c r="E53" s="1087"/>
      <c r="F53" s="1094"/>
      <c r="G53" s="1082"/>
      <c r="H53" s="1094"/>
      <c r="I53" s="1082"/>
      <c r="J53" s="1094"/>
      <c r="K53" s="1082"/>
      <c r="L53" s="1094"/>
      <c r="M53" s="1082"/>
      <c r="N53" s="1217"/>
      <c r="O53" s="1082"/>
      <c r="P53" s="1082">
        <f t="shared" si="13"/>
        <v>0</v>
      </c>
      <c r="Q53" s="1094"/>
      <c r="R53" s="1082"/>
      <c r="S53" s="1082"/>
      <c r="T53" s="1082">
        <f t="shared" si="14"/>
        <v>-109218.75</v>
      </c>
      <c r="U53" s="1083">
        <f t="shared" si="6"/>
        <v>-109218.75</v>
      </c>
      <c r="V53" s="1104">
        <f t="shared" si="15"/>
        <v>-109218.75</v>
      </c>
      <c r="W53" s="1087">
        <f t="shared" si="10"/>
        <v>0</v>
      </c>
      <c r="X53" s="1094"/>
      <c r="Y53" s="1082"/>
      <c r="Z53" s="1082"/>
      <c r="AA53" s="1082"/>
      <c r="AB53" s="1203"/>
      <c r="AC53" s="1208">
        <f t="shared" si="19"/>
        <v>0</v>
      </c>
      <c r="AD53" s="1112">
        <f t="shared" si="7"/>
        <v>-109218.75</v>
      </c>
      <c r="AE53" s="1083">
        <f t="shared" si="8"/>
        <v>0</v>
      </c>
      <c r="AF53" s="1082">
        <f t="shared" si="9"/>
        <v>-109218.75</v>
      </c>
      <c r="AG53" s="1082">
        <f t="shared" si="16"/>
        <v>0</v>
      </c>
      <c r="AH53" s="1082">
        <f t="shared" si="17"/>
        <v>-89674.095574483683</v>
      </c>
      <c r="AI53" s="1116">
        <f t="shared" si="20"/>
        <v>-89674.095574483683</v>
      </c>
      <c r="AJ53" s="1087">
        <f t="shared" si="21"/>
        <v>4908835.3984737359</v>
      </c>
      <c r="AK53" s="1094"/>
      <c r="AL53" s="1129">
        <f t="shared" si="22"/>
        <v>4908835.3984737359</v>
      </c>
      <c r="AM53" s="1094"/>
      <c r="AN53" s="1094"/>
      <c r="AO53" s="1127"/>
      <c r="AP53" s="1127"/>
      <c r="AQ53" s="1127"/>
      <c r="AR53" s="1127"/>
      <c r="AS53" s="1127"/>
      <c r="AT53" s="1126">
        <f t="shared" si="23"/>
        <v>28</v>
      </c>
      <c r="AU53" s="675"/>
      <c r="AV53" s="675"/>
      <c r="AW53" s="675"/>
      <c r="AX53" s="675"/>
      <c r="AY53" s="675"/>
      <c r="AZ53" s="675"/>
      <c r="BA53" s="675"/>
      <c r="BH53" s="675"/>
      <c r="BI53" s="675"/>
    </row>
    <row r="54" spans="2:61" ht="15.75" customHeight="1">
      <c r="B54" s="1097">
        <f t="shared" si="18"/>
        <v>29</v>
      </c>
      <c r="C54" s="1098">
        <f t="shared" si="11"/>
        <v>6</v>
      </c>
      <c r="D54" s="1099" t="str">
        <f t="shared" si="25"/>
        <v xml:space="preserve">             </v>
      </c>
      <c r="E54" s="1087"/>
      <c r="F54" s="1094"/>
      <c r="G54" s="1082"/>
      <c r="H54" s="1094"/>
      <c r="I54" s="1082"/>
      <c r="J54" s="1094"/>
      <c r="K54" s="1082"/>
      <c r="L54" s="1094"/>
      <c r="M54" s="1082"/>
      <c r="N54" s="1217"/>
      <c r="O54" s="1082"/>
      <c r="P54" s="1082">
        <f t="shared" si="13"/>
        <v>0</v>
      </c>
      <c r="Q54" s="1094"/>
      <c r="R54" s="1082"/>
      <c r="S54" s="1082"/>
      <c r="T54" s="1082">
        <f t="shared" si="14"/>
        <v>-109218.75</v>
      </c>
      <c r="U54" s="1083">
        <f t="shared" ref="U54:U85" si="26">SUM(E54:T54)</f>
        <v>-109218.75</v>
      </c>
      <c r="V54" s="1104">
        <f t="shared" si="15"/>
        <v>-109218.75</v>
      </c>
      <c r="W54" s="1087">
        <f t="shared" si="10"/>
        <v>0</v>
      </c>
      <c r="X54" s="1094"/>
      <c r="Y54" s="1082"/>
      <c r="Z54" s="1082"/>
      <c r="AA54" s="1082"/>
      <c r="AB54" s="1203"/>
      <c r="AC54" s="1208">
        <f t="shared" si="19"/>
        <v>0</v>
      </c>
      <c r="AD54" s="1112">
        <f t="shared" ref="AD54:AD85" si="27">U54+AC54</f>
        <v>-109218.75</v>
      </c>
      <c r="AE54" s="1083">
        <f t="shared" ref="AE54:AE90" si="28">(U54-V54)+AC54</f>
        <v>0</v>
      </c>
      <c r="AF54" s="1082">
        <f t="shared" si="9"/>
        <v>-109218.75</v>
      </c>
      <c r="AG54" s="1082">
        <f t="shared" si="16"/>
        <v>0</v>
      </c>
      <c r="AH54" s="1082">
        <f t="shared" si="17"/>
        <v>-89044.845334122554</v>
      </c>
      <c r="AI54" s="1116">
        <f t="shared" si="20"/>
        <v>-89044.845334122554</v>
      </c>
      <c r="AJ54" s="1087">
        <f t="shared" si="21"/>
        <v>4908835.3984737359</v>
      </c>
      <c r="AK54" s="1094"/>
      <c r="AL54" s="1129">
        <f t="shared" si="22"/>
        <v>4908835.3984737359</v>
      </c>
      <c r="AM54" s="1094"/>
      <c r="AN54" s="1094"/>
      <c r="AO54" s="1127"/>
      <c r="AP54" s="1127"/>
      <c r="AQ54" s="1127"/>
      <c r="AR54" s="1127"/>
      <c r="AS54" s="1127"/>
      <c r="AT54" s="1126">
        <f t="shared" si="23"/>
        <v>29</v>
      </c>
      <c r="AU54" s="675"/>
      <c r="AV54" s="675"/>
      <c r="AW54" s="675"/>
      <c r="AX54" s="675"/>
      <c r="AY54" s="675"/>
      <c r="AZ54" s="675"/>
      <c r="BA54" s="675"/>
      <c r="BH54" s="675"/>
      <c r="BI54" s="675"/>
    </row>
    <row r="55" spans="2:61" ht="15.75" customHeight="1">
      <c r="B55" s="1097">
        <f t="shared" si="18"/>
        <v>30</v>
      </c>
      <c r="C55" s="1098">
        <f t="shared" si="11"/>
        <v>7</v>
      </c>
      <c r="D55" s="1099" t="str">
        <f t="shared" si="25"/>
        <v xml:space="preserve">             </v>
      </c>
      <c r="E55" s="1087"/>
      <c r="F55" s="1094"/>
      <c r="G55" s="1082"/>
      <c r="H55" s="1094"/>
      <c r="I55" s="1082"/>
      <c r="J55" s="1094"/>
      <c r="K55" s="1082"/>
      <c r="L55" s="1094"/>
      <c r="M55" s="1082"/>
      <c r="N55" s="1217"/>
      <c r="O55" s="1082"/>
      <c r="P55" s="1082">
        <f t="shared" si="13"/>
        <v>0</v>
      </c>
      <c r="Q55" s="1094"/>
      <c r="R55" s="1082"/>
      <c r="S55" s="1082"/>
      <c r="T55" s="1082">
        <f t="shared" si="14"/>
        <v>-109218.75</v>
      </c>
      <c r="U55" s="1083">
        <f t="shared" si="26"/>
        <v>-109218.75</v>
      </c>
      <c r="V55" s="1104">
        <f t="shared" si="15"/>
        <v>-109218.75</v>
      </c>
      <c r="W55" s="1087">
        <f t="shared" si="10"/>
        <v>0</v>
      </c>
      <c r="X55" s="1094"/>
      <c r="Y55" s="1082"/>
      <c r="Z55" s="1082"/>
      <c r="AA55" s="1082"/>
      <c r="AB55" s="1203"/>
      <c r="AC55" s="1208">
        <f t="shared" si="19"/>
        <v>0</v>
      </c>
      <c r="AD55" s="1112">
        <f t="shared" si="27"/>
        <v>-109218.75</v>
      </c>
      <c r="AE55" s="1083">
        <f t="shared" si="28"/>
        <v>0</v>
      </c>
      <c r="AF55" s="1082">
        <f t="shared" si="9"/>
        <v>-109218.75</v>
      </c>
      <c r="AG55" s="1082">
        <f t="shared" si="16"/>
        <v>0</v>
      </c>
      <c r="AH55" s="1082">
        <f t="shared" si="17"/>
        <v>-88420.010592601451</v>
      </c>
      <c r="AI55" s="1116">
        <f t="shared" si="20"/>
        <v>-88420.010592601451</v>
      </c>
      <c r="AJ55" s="1087">
        <f t="shared" si="21"/>
        <v>4908835.3984737359</v>
      </c>
      <c r="AK55" s="1094"/>
      <c r="AL55" s="1129">
        <f t="shared" si="22"/>
        <v>4908835.3984737359</v>
      </c>
      <c r="AM55" s="1094"/>
      <c r="AN55" s="1094"/>
      <c r="AO55" s="1127"/>
      <c r="AP55" s="1127"/>
      <c r="AQ55" s="1127"/>
      <c r="AR55" s="1127"/>
      <c r="AS55" s="1127"/>
      <c r="AT55" s="1126">
        <f t="shared" si="23"/>
        <v>30</v>
      </c>
      <c r="AU55" s="675"/>
      <c r="AV55" s="675"/>
      <c r="AW55" s="675"/>
      <c r="AX55" s="675"/>
      <c r="AY55" s="675"/>
      <c r="AZ55" s="675"/>
      <c r="BA55" s="675"/>
      <c r="BH55" s="675"/>
      <c r="BI55" s="675"/>
    </row>
    <row r="56" spans="2:61" ht="15.75" customHeight="1">
      <c r="B56" s="1097">
        <f t="shared" si="18"/>
        <v>31</v>
      </c>
      <c r="C56" s="1098">
        <f t="shared" si="11"/>
        <v>8</v>
      </c>
      <c r="D56" s="1099" t="str">
        <f t="shared" si="25"/>
        <v xml:space="preserve">             </v>
      </c>
      <c r="E56" s="1087"/>
      <c r="F56" s="1094"/>
      <c r="G56" s="1082"/>
      <c r="H56" s="1094"/>
      <c r="I56" s="1082"/>
      <c r="J56" s="1094"/>
      <c r="K56" s="1082"/>
      <c r="L56" s="1094"/>
      <c r="M56" s="1082"/>
      <c r="N56" s="1217"/>
      <c r="O56" s="1082"/>
      <c r="P56" s="1082">
        <f t="shared" si="13"/>
        <v>0</v>
      </c>
      <c r="Q56" s="1094"/>
      <c r="R56" s="1082"/>
      <c r="S56" s="1082"/>
      <c r="T56" s="1082">
        <f t="shared" si="14"/>
        <v>-109218.75</v>
      </c>
      <c r="U56" s="1083">
        <f t="shared" si="26"/>
        <v>-109218.75</v>
      </c>
      <c r="V56" s="1104">
        <f t="shared" si="15"/>
        <v>-109218.75</v>
      </c>
      <c r="W56" s="1087">
        <f t="shared" si="10"/>
        <v>0</v>
      </c>
      <c r="X56" s="1094"/>
      <c r="Y56" s="1082"/>
      <c r="Z56" s="1082"/>
      <c r="AA56" s="1082"/>
      <c r="AB56" s="1203"/>
      <c r="AC56" s="1208">
        <f t="shared" si="19"/>
        <v>0</v>
      </c>
      <c r="AD56" s="1112">
        <f t="shared" si="27"/>
        <v>-109218.75</v>
      </c>
      <c r="AE56" s="1083">
        <f t="shared" si="28"/>
        <v>0</v>
      </c>
      <c r="AF56" s="1082">
        <f t="shared" si="9"/>
        <v>-109218.75</v>
      </c>
      <c r="AG56" s="1082">
        <f t="shared" si="16"/>
        <v>0</v>
      </c>
      <c r="AH56" s="1082">
        <f t="shared" si="17"/>
        <v>-87799.56036601495</v>
      </c>
      <c r="AI56" s="1116">
        <f t="shared" si="20"/>
        <v>-87799.56036601495</v>
      </c>
      <c r="AJ56" s="1087">
        <f t="shared" si="21"/>
        <v>4908835.3984737359</v>
      </c>
      <c r="AK56" s="1094"/>
      <c r="AL56" s="1129">
        <f t="shared" si="22"/>
        <v>4908835.3984737359</v>
      </c>
      <c r="AM56" s="1094"/>
      <c r="AN56" s="1094"/>
      <c r="AO56" s="1127"/>
      <c r="AP56" s="1127"/>
      <c r="AQ56" s="1127"/>
      <c r="AR56" s="1127"/>
      <c r="AS56" s="1127"/>
      <c r="AT56" s="1126">
        <f t="shared" si="23"/>
        <v>31</v>
      </c>
      <c r="AU56" s="675"/>
      <c r="AV56" s="675"/>
      <c r="AW56" s="675"/>
      <c r="AX56" s="675"/>
      <c r="AY56" s="675"/>
      <c r="AZ56" s="675"/>
      <c r="BA56" s="675"/>
      <c r="BH56" s="675"/>
      <c r="BI56" s="675"/>
    </row>
    <row r="57" spans="2:61" ht="15.75" customHeight="1">
      <c r="B57" s="1097">
        <f t="shared" si="18"/>
        <v>32</v>
      </c>
      <c r="C57" s="1098">
        <f t="shared" si="11"/>
        <v>9</v>
      </c>
      <c r="D57" s="1099" t="str">
        <f>IF($C56=12,$D$45+1,"             ")</f>
        <v xml:space="preserve">             </v>
      </c>
      <c r="E57" s="1087"/>
      <c r="F57" s="1094"/>
      <c r="G57" s="1082"/>
      <c r="H57" s="1094"/>
      <c r="I57" s="1082"/>
      <c r="J57" s="1094"/>
      <c r="K57" s="1082"/>
      <c r="L57" s="1094"/>
      <c r="M57" s="1082"/>
      <c r="N57" s="1217"/>
      <c r="O57" s="1082"/>
      <c r="P57" s="1082">
        <f t="shared" si="13"/>
        <v>0</v>
      </c>
      <c r="Q57" s="1094"/>
      <c r="R57" s="1082"/>
      <c r="S57" s="1082"/>
      <c r="T57" s="1082">
        <f t="shared" si="14"/>
        <v>-109218.75</v>
      </c>
      <c r="U57" s="1083">
        <f t="shared" si="26"/>
        <v>-109218.75</v>
      </c>
      <c r="V57" s="1104">
        <f t="shared" si="15"/>
        <v>-109218.75</v>
      </c>
      <c r="W57" s="1087">
        <f t="shared" si="10"/>
        <v>0</v>
      </c>
      <c r="X57" s="1094"/>
      <c r="Y57" s="1082"/>
      <c r="Z57" s="1082"/>
      <c r="AA57" s="1082"/>
      <c r="AB57" s="1203"/>
      <c r="AC57" s="1208">
        <f t="shared" si="19"/>
        <v>0</v>
      </c>
      <c r="AD57" s="1112">
        <f t="shared" si="27"/>
        <v>-109218.75</v>
      </c>
      <c r="AE57" s="1083">
        <f t="shared" si="28"/>
        <v>0</v>
      </c>
      <c r="AF57" s="1082">
        <f t="shared" si="9"/>
        <v>-109218.75</v>
      </c>
      <c r="AG57" s="1082">
        <f t="shared" ref="AG57:AG90" si="29">PV($G$13/12,$B57,0,$AE57*-1,0)</f>
        <v>0</v>
      </c>
      <c r="AH57" s="1082">
        <f t="shared" ref="AH57:AH90" si="30">PV($G$14/12,$B57,0,$AF57*-1,0)</f>
        <v>-87183.463887873964</v>
      </c>
      <c r="AI57" s="1116">
        <f t="shared" si="20"/>
        <v>-87183.463887873964</v>
      </c>
      <c r="AJ57" s="1087">
        <f t="shared" si="21"/>
        <v>4908835.3984737359</v>
      </c>
      <c r="AK57" s="1094"/>
      <c r="AL57" s="1129">
        <f t="shared" si="22"/>
        <v>4908835.3984737359</v>
      </c>
      <c r="AM57" s="1094"/>
      <c r="AN57" s="1094"/>
      <c r="AO57" s="1127"/>
      <c r="AP57" s="1127"/>
      <c r="AQ57" s="1127"/>
      <c r="AR57" s="1127"/>
      <c r="AS57" s="1127"/>
      <c r="AT57" s="1126">
        <f t="shared" si="23"/>
        <v>32</v>
      </c>
      <c r="AU57" s="675"/>
      <c r="AV57" s="675"/>
      <c r="AW57" s="675"/>
      <c r="AX57" s="675"/>
      <c r="AY57" s="675"/>
      <c r="AZ57" s="675"/>
      <c r="BA57" s="675"/>
      <c r="BH57" s="675"/>
      <c r="BI57" s="675"/>
    </row>
    <row r="58" spans="2:61" ht="15.75" customHeight="1">
      <c r="B58" s="1097">
        <f t="shared" si="18"/>
        <v>33</v>
      </c>
      <c r="C58" s="1098">
        <f t="shared" si="11"/>
        <v>10</v>
      </c>
      <c r="D58" s="1099" t="str">
        <f t="shared" si="25"/>
        <v xml:space="preserve">             </v>
      </c>
      <c r="E58" s="1087"/>
      <c r="F58" s="1094"/>
      <c r="G58" s="1082"/>
      <c r="H58" s="1094"/>
      <c r="I58" s="1082"/>
      <c r="J58" s="1094"/>
      <c r="K58" s="1082"/>
      <c r="L58" s="1094"/>
      <c r="M58" s="1082"/>
      <c r="N58" s="1217"/>
      <c r="O58" s="1082"/>
      <c r="P58" s="1082">
        <f t="shared" ref="P58:P90" si="31">IF($AT58&lt;=$J$7,($T$11)*-1,0)</f>
        <v>0</v>
      </c>
      <c r="Q58" s="1094"/>
      <c r="R58" s="1082"/>
      <c r="S58" s="1082"/>
      <c r="T58" s="1082">
        <f t="shared" ref="T58:T90" si="32">IF($AT58&lt;=$J$7,($AA$10/$J$7)*-1,0)</f>
        <v>-109218.75</v>
      </c>
      <c r="U58" s="1083">
        <f t="shared" si="26"/>
        <v>-109218.75</v>
      </c>
      <c r="V58" s="1104">
        <f t="shared" si="15"/>
        <v>-109218.75</v>
      </c>
      <c r="W58" s="1087">
        <f t="shared" si="10"/>
        <v>0</v>
      </c>
      <c r="X58" s="1094"/>
      <c r="Y58" s="1082"/>
      <c r="Z58" s="1082"/>
      <c r="AA58" s="1082"/>
      <c r="AB58" s="1203"/>
      <c r="AC58" s="1208">
        <f t="shared" si="19"/>
        <v>0</v>
      </c>
      <c r="AD58" s="1112">
        <f t="shared" si="27"/>
        <v>-109218.75</v>
      </c>
      <c r="AE58" s="1083">
        <f t="shared" si="28"/>
        <v>0</v>
      </c>
      <c r="AF58" s="1082">
        <f t="shared" si="9"/>
        <v>-109218.75</v>
      </c>
      <c r="AG58" s="1082">
        <f t="shared" si="29"/>
        <v>0</v>
      </c>
      <c r="AH58" s="1082">
        <f t="shared" si="30"/>
        <v>-86571.690607580385</v>
      </c>
      <c r="AI58" s="1116">
        <f t="shared" si="20"/>
        <v>-86571.690607580385</v>
      </c>
      <c r="AJ58" s="1087">
        <f t="shared" si="21"/>
        <v>4908835.3984737359</v>
      </c>
      <c r="AK58" s="1094"/>
      <c r="AL58" s="1129">
        <f t="shared" si="22"/>
        <v>4908835.3984737359</v>
      </c>
      <c r="AM58" s="1094"/>
      <c r="AN58" s="1094"/>
      <c r="AO58" s="1127"/>
      <c r="AP58" s="1127"/>
      <c r="AQ58" s="1127"/>
      <c r="AR58" s="1127"/>
      <c r="AS58" s="1127"/>
      <c r="AT58" s="1126">
        <f t="shared" si="23"/>
        <v>33</v>
      </c>
      <c r="AU58" s="675"/>
      <c r="AV58" s="675"/>
      <c r="AW58" s="675"/>
      <c r="AX58" s="675"/>
      <c r="AY58" s="675"/>
      <c r="AZ58" s="675"/>
      <c r="BA58" s="675"/>
      <c r="BH58" s="675"/>
      <c r="BI58" s="675"/>
    </row>
    <row r="59" spans="2:61" ht="15.75" customHeight="1">
      <c r="B59" s="1097">
        <f t="shared" si="18"/>
        <v>34</v>
      </c>
      <c r="C59" s="1098">
        <f t="shared" si="11"/>
        <v>11</v>
      </c>
      <c r="D59" s="1099" t="str">
        <f t="shared" si="25"/>
        <v xml:space="preserve">             </v>
      </c>
      <c r="E59" s="1087"/>
      <c r="F59" s="1094"/>
      <c r="G59" s="1082"/>
      <c r="H59" s="1094"/>
      <c r="I59" s="1082"/>
      <c r="J59" s="1094"/>
      <c r="K59" s="1082"/>
      <c r="L59" s="1094"/>
      <c r="M59" s="1082"/>
      <c r="N59" s="1217"/>
      <c r="O59" s="1082"/>
      <c r="P59" s="1082">
        <f t="shared" si="31"/>
        <v>0</v>
      </c>
      <c r="Q59" s="1094"/>
      <c r="R59" s="1082"/>
      <c r="S59" s="1082"/>
      <c r="T59" s="1082">
        <f t="shared" si="32"/>
        <v>-109218.75</v>
      </c>
      <c r="U59" s="1083">
        <f t="shared" si="26"/>
        <v>-109218.75</v>
      </c>
      <c r="V59" s="1104">
        <f t="shared" si="15"/>
        <v>-109218.75</v>
      </c>
      <c r="W59" s="1087">
        <f t="shared" si="10"/>
        <v>0</v>
      </c>
      <c r="X59" s="1094"/>
      <c r="Y59" s="1082"/>
      <c r="Z59" s="1082"/>
      <c r="AA59" s="1082"/>
      <c r="AB59" s="1203"/>
      <c r="AC59" s="1208">
        <f t="shared" si="19"/>
        <v>0</v>
      </c>
      <c r="AD59" s="1112">
        <f t="shared" si="27"/>
        <v>-109218.75</v>
      </c>
      <c r="AE59" s="1083">
        <f t="shared" si="28"/>
        <v>0</v>
      </c>
      <c r="AF59" s="1082">
        <f t="shared" si="9"/>
        <v>-109218.75</v>
      </c>
      <c r="AG59" s="1082">
        <f t="shared" si="29"/>
        <v>0</v>
      </c>
      <c r="AH59" s="1082">
        <f t="shared" si="30"/>
        <v>-85964.210188912068</v>
      </c>
      <c r="AI59" s="1116">
        <f t="shared" si="20"/>
        <v>-85964.210188912068</v>
      </c>
      <c r="AJ59" s="1087">
        <f t="shared" ref="AJ59:AJ90" si="33">IF(AT59&lt;=$J$7,AJ58,0)</f>
        <v>4908835.3984737359</v>
      </c>
      <c r="AK59" s="1094"/>
      <c r="AL59" s="1129">
        <f t="shared" si="22"/>
        <v>4908835.3984737359</v>
      </c>
      <c r="AM59" s="1094"/>
      <c r="AN59" s="1094"/>
      <c r="AO59" s="1127"/>
      <c r="AP59" s="1127"/>
      <c r="AQ59" s="1127"/>
      <c r="AR59" s="1127"/>
      <c r="AS59" s="1127"/>
      <c r="AT59" s="1126">
        <f t="shared" si="23"/>
        <v>34</v>
      </c>
      <c r="AU59" s="675"/>
      <c r="AV59" s="675"/>
      <c r="AW59" s="675"/>
      <c r="AX59" s="675"/>
      <c r="AY59" s="675"/>
      <c r="AZ59" s="675"/>
      <c r="BA59" s="675"/>
      <c r="BH59" s="675"/>
      <c r="BI59" s="675"/>
    </row>
    <row r="60" spans="2:61" ht="15.75" customHeight="1">
      <c r="B60" s="1097">
        <f t="shared" si="18"/>
        <v>35</v>
      </c>
      <c r="C60" s="1098">
        <f t="shared" si="11"/>
        <v>12</v>
      </c>
      <c r="D60" s="1099" t="str">
        <f t="shared" si="25"/>
        <v xml:space="preserve">             </v>
      </c>
      <c r="E60" s="1087"/>
      <c r="F60" s="1094"/>
      <c r="G60" s="1082"/>
      <c r="H60" s="1094"/>
      <c r="I60" s="1082"/>
      <c r="J60" s="1094"/>
      <c r="K60" s="1082"/>
      <c r="L60" s="1094"/>
      <c r="M60" s="1082">
        <f>IF(B60&lt;=$J$7,($AA$9/($J$7/12))*-1,)</f>
        <v>-321250</v>
      </c>
      <c r="N60" s="1217"/>
      <c r="O60" s="1082"/>
      <c r="P60" s="1082">
        <f t="shared" si="31"/>
        <v>0</v>
      </c>
      <c r="Q60" s="1094"/>
      <c r="R60" s="1082"/>
      <c r="S60" s="1082"/>
      <c r="T60" s="1082">
        <f t="shared" si="32"/>
        <v>-109218.75</v>
      </c>
      <c r="U60" s="1083">
        <f t="shared" si="26"/>
        <v>-430468.75</v>
      </c>
      <c r="V60" s="1104">
        <f t="shared" si="15"/>
        <v>-430468.75</v>
      </c>
      <c r="W60" s="1087">
        <f t="shared" si="10"/>
        <v>0</v>
      </c>
      <c r="X60" s="1094"/>
      <c r="Y60" s="1082"/>
      <c r="Z60" s="1082"/>
      <c r="AA60" s="1082"/>
      <c r="AB60" s="1203"/>
      <c r="AC60" s="1208">
        <f t="shared" si="19"/>
        <v>0</v>
      </c>
      <c r="AD60" s="1112">
        <f t="shared" si="27"/>
        <v>-430468.75</v>
      </c>
      <c r="AE60" s="1083">
        <f t="shared" si="28"/>
        <v>0</v>
      </c>
      <c r="AF60" s="1082">
        <f t="shared" si="9"/>
        <v>-430468.75</v>
      </c>
      <c r="AG60" s="1082">
        <f t="shared" si="29"/>
        <v>0</v>
      </c>
      <c r="AH60" s="1082">
        <f t="shared" si="30"/>
        <v>-336437.10209008376</v>
      </c>
      <c r="AI60" s="1116">
        <f t="shared" si="20"/>
        <v>-336437.10209008376</v>
      </c>
      <c r="AJ60" s="1087">
        <f t="shared" si="33"/>
        <v>4908835.3984737359</v>
      </c>
      <c r="AK60" s="1094"/>
      <c r="AL60" s="1129">
        <f t="shared" si="22"/>
        <v>4908835.3984737359</v>
      </c>
      <c r="AM60" s="1094"/>
      <c r="AN60" s="1094"/>
      <c r="AO60" s="1127"/>
      <c r="AP60" s="1127"/>
      <c r="AQ60" s="1127"/>
      <c r="AR60" s="1127"/>
      <c r="AS60" s="1127"/>
      <c r="AT60" s="1126">
        <f t="shared" si="23"/>
        <v>35</v>
      </c>
      <c r="AU60" s="675"/>
      <c r="AV60" s="675"/>
      <c r="AW60" s="675"/>
      <c r="AX60" s="675"/>
      <c r="AY60" s="675"/>
      <c r="AZ60" s="675"/>
      <c r="BA60" s="675"/>
      <c r="BH60" s="675"/>
      <c r="BI60" s="675"/>
    </row>
    <row r="61" spans="2:61" ht="15.75" customHeight="1">
      <c r="B61" s="1097">
        <f t="shared" si="18"/>
        <v>36</v>
      </c>
      <c r="C61" s="1098">
        <f t="shared" si="11"/>
        <v>1</v>
      </c>
      <c r="D61" s="1099">
        <f t="shared" si="25"/>
        <v>2021</v>
      </c>
      <c r="E61" s="1087"/>
      <c r="F61" s="1094"/>
      <c r="G61" s="1082"/>
      <c r="H61" s="1094"/>
      <c r="I61" s="1082"/>
      <c r="J61" s="1094"/>
      <c r="K61" s="1082"/>
      <c r="L61" s="1094"/>
      <c r="M61" s="874"/>
      <c r="N61" s="1217">
        <f>IF(B61&lt;=($J$7-1),($AA$8/($J$7/12))*-1,)</f>
        <v>0</v>
      </c>
      <c r="O61" s="1082"/>
      <c r="P61" s="1082">
        <f t="shared" si="31"/>
        <v>0</v>
      </c>
      <c r="Q61" s="1094"/>
      <c r="R61" s="1082"/>
      <c r="S61" s="1082"/>
      <c r="T61" s="1082">
        <f t="shared" si="32"/>
        <v>-109218.75</v>
      </c>
      <c r="U61" s="1083">
        <f t="shared" si="26"/>
        <v>-109218.75</v>
      </c>
      <c r="V61" s="1104">
        <f t="shared" si="15"/>
        <v>-109218.75</v>
      </c>
      <c r="W61" s="1087">
        <f t="shared" si="10"/>
        <v>0</v>
      </c>
      <c r="X61" s="1094"/>
      <c r="Y61" s="1082"/>
      <c r="Z61" s="1082"/>
      <c r="AA61" s="1082"/>
      <c r="AB61" s="1203"/>
      <c r="AC61" s="1208">
        <f t="shared" si="19"/>
        <v>0</v>
      </c>
      <c r="AD61" s="1112">
        <f t="shared" si="27"/>
        <v>-109218.75</v>
      </c>
      <c r="AE61" s="1083">
        <f t="shared" si="28"/>
        <v>0</v>
      </c>
      <c r="AF61" s="1082">
        <f t="shared" si="9"/>
        <v>-109218.75</v>
      </c>
      <c r="AG61" s="1082">
        <f t="shared" si="29"/>
        <v>0</v>
      </c>
      <c r="AH61" s="1082">
        <f t="shared" si="30"/>
        <v>-84762.007654427216</v>
      </c>
      <c r="AI61" s="1116">
        <f t="shared" si="20"/>
        <v>-84762.007654427216</v>
      </c>
      <c r="AJ61" s="1087">
        <f t="shared" si="33"/>
        <v>4908835.3984737359</v>
      </c>
      <c r="AK61" s="1094"/>
      <c r="AL61" s="1129">
        <f t="shared" si="22"/>
        <v>4908835.3984737359</v>
      </c>
      <c r="AM61" s="1094"/>
      <c r="AN61" s="1094"/>
      <c r="AO61" s="1127"/>
      <c r="AP61" s="1127"/>
      <c r="AQ61" s="1127"/>
      <c r="AR61" s="1127"/>
      <c r="AS61" s="1127"/>
      <c r="AT61" s="1126">
        <f t="shared" si="23"/>
        <v>36</v>
      </c>
      <c r="AU61" s="675"/>
      <c r="AV61" s="675"/>
      <c r="AW61" s="675"/>
      <c r="AX61" s="675"/>
      <c r="AY61" s="675"/>
      <c r="AZ61" s="675"/>
      <c r="BA61" s="675"/>
      <c r="BH61" s="675"/>
      <c r="BI61" s="675"/>
    </row>
    <row r="62" spans="2:61" ht="15.75" customHeight="1">
      <c r="B62" s="1097">
        <v>37</v>
      </c>
      <c r="C62" s="1098">
        <f t="shared" si="11"/>
        <v>2</v>
      </c>
      <c r="D62" s="1099" t="str">
        <f>IF($C61=12,$D$61+1,"             ")</f>
        <v xml:space="preserve">             </v>
      </c>
      <c r="E62" s="1087"/>
      <c r="F62" s="1094"/>
      <c r="G62" s="1082"/>
      <c r="H62" s="1094"/>
      <c r="I62" s="1082"/>
      <c r="J62" s="1094"/>
      <c r="K62" s="1082"/>
      <c r="L62" s="1094"/>
      <c r="M62" s="1082"/>
      <c r="N62" s="1217"/>
      <c r="O62" s="1082"/>
      <c r="P62" s="1082">
        <f t="shared" si="31"/>
        <v>0</v>
      </c>
      <c r="Q62" s="1094"/>
      <c r="R62" s="1082"/>
      <c r="S62" s="1082"/>
      <c r="T62" s="1082">
        <f t="shared" si="32"/>
        <v>-109218.75</v>
      </c>
      <c r="U62" s="1083">
        <f t="shared" si="26"/>
        <v>-109218.75</v>
      </c>
      <c r="V62" s="1104">
        <f t="shared" si="15"/>
        <v>-109218.75</v>
      </c>
      <c r="W62" s="1087">
        <f t="shared" si="10"/>
        <v>0</v>
      </c>
      <c r="X62" s="1094"/>
      <c r="Y62" s="1082"/>
      <c r="Z62" s="1082"/>
      <c r="AA62" s="1082"/>
      <c r="AB62" s="1203">
        <f>IF(B62&lt;=($J$7-1),($AA$11/($J$7/12)),)</f>
        <v>0</v>
      </c>
      <c r="AC62" s="1208">
        <f t="shared" si="19"/>
        <v>0</v>
      </c>
      <c r="AD62" s="1112">
        <f t="shared" si="27"/>
        <v>-109218.75</v>
      </c>
      <c r="AE62" s="1083">
        <f t="shared" si="28"/>
        <v>0</v>
      </c>
      <c r="AF62" s="1082">
        <f t="shared" si="9"/>
        <v>-109218.75</v>
      </c>
      <c r="AG62" s="1082">
        <f t="shared" si="29"/>
        <v>0</v>
      </c>
      <c r="AH62" s="1082">
        <f t="shared" si="30"/>
        <v>-84167.22592456032</v>
      </c>
      <c r="AI62" s="1116">
        <f t="shared" si="20"/>
        <v>-84167.22592456032</v>
      </c>
      <c r="AJ62" s="1087">
        <f t="shared" si="33"/>
        <v>4908835.3984737359</v>
      </c>
      <c r="AK62" s="1094"/>
      <c r="AL62" s="1129">
        <f t="shared" si="22"/>
        <v>4908835.3984737359</v>
      </c>
      <c r="AM62" s="1094"/>
      <c r="AN62" s="1094"/>
      <c r="AO62" s="1127"/>
      <c r="AP62" s="1127"/>
      <c r="AQ62" s="1127"/>
      <c r="AR62" s="1127"/>
      <c r="AS62" s="1127"/>
      <c r="AT62" s="1126">
        <f t="shared" si="23"/>
        <v>37</v>
      </c>
      <c r="AU62" s="675"/>
      <c r="AV62" s="675"/>
      <c r="AW62" s="675"/>
      <c r="AX62" s="675"/>
      <c r="AY62" s="675"/>
      <c r="AZ62" s="675"/>
      <c r="BA62" s="675"/>
      <c r="BH62" s="675"/>
      <c r="BI62" s="675"/>
    </row>
    <row r="63" spans="2:61" ht="15.75" customHeight="1">
      <c r="B63" s="1097">
        <f t="shared" si="18"/>
        <v>38</v>
      </c>
      <c r="C63" s="1098">
        <f t="shared" si="11"/>
        <v>3</v>
      </c>
      <c r="D63" s="1099" t="str">
        <f t="shared" ref="D63:D73" si="34">IF($C62=12,$D$61+1,"             ")</f>
        <v xml:space="preserve">             </v>
      </c>
      <c r="E63" s="1087"/>
      <c r="F63" s="1094"/>
      <c r="G63" s="1082"/>
      <c r="H63" s="1094"/>
      <c r="I63" s="1082"/>
      <c r="J63" s="1094"/>
      <c r="K63" s="1082"/>
      <c r="L63" s="1094"/>
      <c r="M63" s="1082"/>
      <c r="N63" s="1217"/>
      <c r="O63" s="1082"/>
      <c r="P63" s="1082">
        <f t="shared" si="31"/>
        <v>0</v>
      </c>
      <c r="Q63" s="1094"/>
      <c r="R63" s="1082"/>
      <c r="S63" s="1082"/>
      <c r="T63" s="1082">
        <f t="shared" si="32"/>
        <v>-109218.75</v>
      </c>
      <c r="U63" s="1083">
        <f t="shared" si="26"/>
        <v>-109218.75</v>
      </c>
      <c r="V63" s="1104">
        <f t="shared" si="15"/>
        <v>-109218.75</v>
      </c>
      <c r="W63" s="1087">
        <f t="shared" si="10"/>
        <v>0</v>
      </c>
      <c r="X63" s="1094"/>
      <c r="Y63" s="1082"/>
      <c r="Z63" s="1082"/>
      <c r="AA63" s="1082"/>
      <c r="AB63" s="1203"/>
      <c r="AC63" s="1208">
        <f t="shared" si="19"/>
        <v>0</v>
      </c>
      <c r="AD63" s="1112">
        <f t="shared" si="27"/>
        <v>-109218.75</v>
      </c>
      <c r="AE63" s="1083">
        <f t="shared" si="28"/>
        <v>0</v>
      </c>
      <c r="AF63" s="1082">
        <f t="shared" si="9"/>
        <v>-109218.75</v>
      </c>
      <c r="AG63" s="1082">
        <f t="shared" si="29"/>
        <v>0</v>
      </c>
      <c r="AH63" s="1082">
        <f t="shared" si="30"/>
        <v>-83576.617825261783</v>
      </c>
      <c r="AI63" s="1116">
        <f t="shared" si="20"/>
        <v>-83576.617825261783</v>
      </c>
      <c r="AJ63" s="1087">
        <f t="shared" si="33"/>
        <v>4908835.3984737359</v>
      </c>
      <c r="AK63" s="1094"/>
      <c r="AL63" s="1129">
        <f t="shared" si="22"/>
        <v>4908835.3984737359</v>
      </c>
      <c r="AM63" s="1094"/>
      <c r="AN63" s="1094"/>
      <c r="AO63" s="1127"/>
      <c r="AP63" s="1127"/>
      <c r="AQ63" s="1127"/>
      <c r="AR63" s="1127"/>
      <c r="AS63" s="1127"/>
      <c r="AT63" s="1126">
        <f t="shared" si="23"/>
        <v>38</v>
      </c>
      <c r="AU63" s="675"/>
      <c r="AV63" s="675"/>
      <c r="AW63" s="675"/>
      <c r="AX63" s="675"/>
      <c r="AY63" s="675"/>
      <c r="AZ63" s="675"/>
      <c r="BA63" s="675"/>
      <c r="BH63" s="675"/>
      <c r="BI63" s="675"/>
    </row>
    <row r="64" spans="2:61" ht="15.75" customHeight="1">
      <c r="B64" s="1097">
        <f t="shared" si="18"/>
        <v>39</v>
      </c>
      <c r="C64" s="1098">
        <f t="shared" si="11"/>
        <v>4</v>
      </c>
      <c r="D64" s="1099" t="str">
        <f t="shared" si="34"/>
        <v xml:space="preserve">             </v>
      </c>
      <c r="E64" s="1087"/>
      <c r="F64" s="1094"/>
      <c r="G64" s="1082"/>
      <c r="H64" s="1094"/>
      <c r="I64" s="1082"/>
      <c r="J64" s="1094"/>
      <c r="K64" s="1082"/>
      <c r="L64" s="1094"/>
      <c r="M64" s="1082"/>
      <c r="N64" s="1217"/>
      <c r="O64" s="1082"/>
      <c r="P64" s="1082">
        <f t="shared" si="31"/>
        <v>0</v>
      </c>
      <c r="Q64" s="1094"/>
      <c r="R64" s="1082"/>
      <c r="S64" s="1082"/>
      <c r="T64" s="1082">
        <f t="shared" si="32"/>
        <v>-109218.75</v>
      </c>
      <c r="U64" s="1083">
        <f t="shared" si="26"/>
        <v>-109218.75</v>
      </c>
      <c r="V64" s="1104">
        <f t="shared" si="15"/>
        <v>-109218.75</v>
      </c>
      <c r="W64" s="1087">
        <f t="shared" si="10"/>
        <v>0</v>
      </c>
      <c r="X64" s="1094"/>
      <c r="Y64" s="1082"/>
      <c r="Z64" s="1082"/>
      <c r="AA64" s="1082"/>
      <c r="AB64" s="1203"/>
      <c r="AC64" s="1208">
        <f t="shared" si="19"/>
        <v>0</v>
      </c>
      <c r="AD64" s="1112">
        <f t="shared" si="27"/>
        <v>-109218.75</v>
      </c>
      <c r="AE64" s="1083">
        <f t="shared" si="28"/>
        <v>0</v>
      </c>
      <c r="AF64" s="1082">
        <f t="shared" si="9"/>
        <v>-109218.75</v>
      </c>
      <c r="AG64" s="1082">
        <f t="shared" si="29"/>
        <v>0</v>
      </c>
      <c r="AH64" s="1082">
        <f t="shared" si="30"/>
        <v>-82990.154069834942</v>
      </c>
      <c r="AI64" s="1116">
        <f t="shared" si="20"/>
        <v>-82990.154069834942</v>
      </c>
      <c r="AJ64" s="1087">
        <f t="shared" si="33"/>
        <v>4908835.3984737359</v>
      </c>
      <c r="AK64" s="1094"/>
      <c r="AL64" s="1129">
        <f t="shared" si="22"/>
        <v>4908835.3984737359</v>
      </c>
      <c r="AM64" s="1094"/>
      <c r="AN64" s="1094"/>
      <c r="AO64" s="1127"/>
      <c r="AP64" s="1127"/>
      <c r="AQ64" s="1127"/>
      <c r="AR64" s="1127"/>
      <c r="AS64" s="1127"/>
      <c r="AT64" s="1126">
        <f t="shared" si="23"/>
        <v>39</v>
      </c>
      <c r="AU64" s="675"/>
      <c r="AV64" s="675"/>
      <c r="AW64" s="675"/>
      <c r="AX64" s="675"/>
      <c r="AY64" s="675"/>
      <c r="AZ64" s="675"/>
      <c r="BA64" s="675"/>
      <c r="BH64" s="675"/>
      <c r="BI64" s="675"/>
    </row>
    <row r="65" spans="2:61" ht="15.75" customHeight="1">
      <c r="B65" s="1097">
        <f t="shared" si="18"/>
        <v>40</v>
      </c>
      <c r="C65" s="1098">
        <f t="shared" si="11"/>
        <v>5</v>
      </c>
      <c r="D65" s="1099" t="str">
        <f t="shared" si="34"/>
        <v xml:space="preserve">             </v>
      </c>
      <c r="E65" s="1087"/>
      <c r="F65" s="1094"/>
      <c r="G65" s="1082"/>
      <c r="H65" s="1094"/>
      <c r="I65" s="1082"/>
      <c r="J65" s="1094"/>
      <c r="K65" s="1082"/>
      <c r="L65" s="1094"/>
      <c r="M65" s="1082"/>
      <c r="N65" s="1217"/>
      <c r="O65" s="1082"/>
      <c r="P65" s="1082">
        <f t="shared" si="31"/>
        <v>0</v>
      </c>
      <c r="Q65" s="1094"/>
      <c r="R65" s="1082"/>
      <c r="S65" s="1082"/>
      <c r="T65" s="1082">
        <f t="shared" si="32"/>
        <v>-109218.75</v>
      </c>
      <c r="U65" s="1083">
        <f t="shared" si="26"/>
        <v>-109218.75</v>
      </c>
      <c r="V65" s="1104">
        <f t="shared" si="15"/>
        <v>-109218.75</v>
      </c>
      <c r="W65" s="1087">
        <f t="shared" si="10"/>
        <v>0</v>
      </c>
      <c r="X65" s="1094"/>
      <c r="Y65" s="1082"/>
      <c r="Z65" s="1082"/>
      <c r="AA65" s="1082"/>
      <c r="AB65" s="1203"/>
      <c r="AC65" s="1208">
        <f t="shared" si="19"/>
        <v>0</v>
      </c>
      <c r="AD65" s="1112">
        <f t="shared" si="27"/>
        <v>-109218.75</v>
      </c>
      <c r="AE65" s="1083">
        <f t="shared" si="28"/>
        <v>0</v>
      </c>
      <c r="AF65" s="1082">
        <f t="shared" si="9"/>
        <v>-109218.75</v>
      </c>
      <c r="AG65" s="1082">
        <f t="shared" si="29"/>
        <v>0</v>
      </c>
      <c r="AH65" s="1082">
        <f t="shared" si="30"/>
        <v>-82407.805577090156</v>
      </c>
      <c r="AI65" s="1116">
        <f t="shared" si="20"/>
        <v>-82407.805577090156</v>
      </c>
      <c r="AJ65" s="1087">
        <f t="shared" si="33"/>
        <v>4908835.3984737359</v>
      </c>
      <c r="AK65" s="1094"/>
      <c r="AL65" s="1129">
        <f t="shared" si="22"/>
        <v>4908835.3984737359</v>
      </c>
      <c r="AM65" s="1094"/>
      <c r="AN65" s="1094"/>
      <c r="AO65" s="1127"/>
      <c r="AP65" s="1127"/>
      <c r="AQ65" s="1127"/>
      <c r="AR65" s="1127"/>
      <c r="AS65" s="1127"/>
      <c r="AT65" s="1126">
        <f t="shared" si="23"/>
        <v>40</v>
      </c>
      <c r="AU65" s="675"/>
      <c r="AV65" s="675"/>
      <c r="AW65" s="675"/>
      <c r="AX65" s="675"/>
      <c r="AY65" s="675"/>
      <c r="AZ65" s="675"/>
      <c r="BA65" s="675"/>
      <c r="BH65" s="675"/>
      <c r="BI65" s="675"/>
    </row>
    <row r="66" spans="2:61" ht="15.75" customHeight="1">
      <c r="B66" s="1097">
        <f t="shared" si="18"/>
        <v>41</v>
      </c>
      <c r="C66" s="1098">
        <f t="shared" si="11"/>
        <v>6</v>
      </c>
      <c r="D66" s="1099" t="str">
        <f t="shared" si="34"/>
        <v xml:space="preserve">             </v>
      </c>
      <c r="E66" s="1087"/>
      <c r="F66" s="1094"/>
      <c r="G66" s="1082"/>
      <c r="H66" s="1094"/>
      <c r="I66" s="1082"/>
      <c r="J66" s="1094"/>
      <c r="K66" s="1082"/>
      <c r="L66" s="1094"/>
      <c r="M66" s="1082"/>
      <c r="N66" s="1217"/>
      <c r="O66" s="1082"/>
      <c r="P66" s="1082">
        <f t="shared" si="31"/>
        <v>0</v>
      </c>
      <c r="Q66" s="1094"/>
      <c r="R66" s="1082"/>
      <c r="S66" s="1082"/>
      <c r="T66" s="1082">
        <f t="shared" si="32"/>
        <v>-109218.75</v>
      </c>
      <c r="U66" s="1083">
        <f t="shared" si="26"/>
        <v>-109218.75</v>
      </c>
      <c r="V66" s="1104">
        <f t="shared" si="15"/>
        <v>-109218.75</v>
      </c>
      <c r="W66" s="1087">
        <f t="shared" si="10"/>
        <v>0</v>
      </c>
      <c r="X66" s="1094"/>
      <c r="Y66" s="1082"/>
      <c r="Z66" s="1082"/>
      <c r="AA66" s="1082"/>
      <c r="AB66" s="1203"/>
      <c r="AC66" s="1208">
        <f t="shared" si="19"/>
        <v>0</v>
      </c>
      <c r="AD66" s="1112">
        <f t="shared" si="27"/>
        <v>-109218.75</v>
      </c>
      <c r="AE66" s="1083">
        <f t="shared" si="28"/>
        <v>0</v>
      </c>
      <c r="AF66" s="1082">
        <f t="shared" si="9"/>
        <v>-109218.75</v>
      </c>
      <c r="AG66" s="1082">
        <f t="shared" si="29"/>
        <v>0</v>
      </c>
      <c r="AH66" s="1082">
        <f t="shared" si="30"/>
        <v>-81829.543469902841</v>
      </c>
      <c r="AI66" s="1116">
        <f t="shared" si="20"/>
        <v>-81829.543469902841</v>
      </c>
      <c r="AJ66" s="1087">
        <f t="shared" si="33"/>
        <v>4908835.3984737359</v>
      </c>
      <c r="AK66" s="1094"/>
      <c r="AL66" s="1129">
        <f t="shared" si="22"/>
        <v>4908835.3984737359</v>
      </c>
      <c r="AM66" s="1094"/>
      <c r="AN66" s="1094"/>
      <c r="AO66" s="1127"/>
      <c r="AP66" s="1127"/>
      <c r="AQ66" s="1127"/>
      <c r="AR66" s="1127"/>
      <c r="AS66" s="1127"/>
      <c r="AT66" s="1126">
        <f t="shared" si="23"/>
        <v>41</v>
      </c>
      <c r="AU66" s="675"/>
      <c r="AV66" s="675"/>
      <c r="AW66" s="675"/>
      <c r="AX66" s="675"/>
      <c r="AY66" s="675"/>
      <c r="AZ66" s="675"/>
      <c r="BA66" s="675"/>
      <c r="BH66" s="675"/>
      <c r="BI66" s="675"/>
    </row>
    <row r="67" spans="2:61" ht="15.75" customHeight="1">
      <c r="B67" s="1097">
        <f t="shared" si="18"/>
        <v>42</v>
      </c>
      <c r="C67" s="1098">
        <f t="shared" si="11"/>
        <v>7</v>
      </c>
      <c r="D67" s="1099" t="str">
        <f t="shared" si="34"/>
        <v xml:space="preserve">             </v>
      </c>
      <c r="E67" s="1087"/>
      <c r="F67" s="1094"/>
      <c r="G67" s="1082"/>
      <c r="H67" s="1094"/>
      <c r="I67" s="1082"/>
      <c r="J67" s="1094"/>
      <c r="K67" s="1082"/>
      <c r="L67" s="1094"/>
      <c r="M67" s="1082"/>
      <c r="N67" s="1217"/>
      <c r="O67" s="1082"/>
      <c r="P67" s="1082">
        <f t="shared" si="31"/>
        <v>0</v>
      </c>
      <c r="Q67" s="1094"/>
      <c r="R67" s="1082"/>
      <c r="S67" s="1082"/>
      <c r="T67" s="1082">
        <f t="shared" si="32"/>
        <v>-109218.75</v>
      </c>
      <c r="U67" s="1083">
        <f t="shared" si="26"/>
        <v>-109218.75</v>
      </c>
      <c r="V67" s="1104">
        <f t="shared" si="15"/>
        <v>-109218.75</v>
      </c>
      <c r="W67" s="1087">
        <f t="shared" si="10"/>
        <v>0</v>
      </c>
      <c r="X67" s="1094"/>
      <c r="Y67" s="1082"/>
      <c r="Z67" s="1082"/>
      <c r="AA67" s="1082"/>
      <c r="AB67" s="1203"/>
      <c r="AC67" s="1208">
        <f t="shared" si="19"/>
        <v>0</v>
      </c>
      <c r="AD67" s="1112">
        <f t="shared" si="27"/>
        <v>-109218.75</v>
      </c>
      <c r="AE67" s="1083">
        <f t="shared" si="28"/>
        <v>0</v>
      </c>
      <c r="AF67" s="1082">
        <f t="shared" si="9"/>
        <v>-109218.75</v>
      </c>
      <c r="AG67" s="1082">
        <f t="shared" si="29"/>
        <v>0</v>
      </c>
      <c r="AH67" s="1082">
        <f t="shared" si="30"/>
        <v>-81255.339073781419</v>
      </c>
      <c r="AI67" s="1116">
        <f t="shared" si="20"/>
        <v>-81255.339073781419</v>
      </c>
      <c r="AJ67" s="1087">
        <f t="shared" si="33"/>
        <v>4908835.3984737359</v>
      </c>
      <c r="AK67" s="1094"/>
      <c r="AL67" s="1129">
        <f t="shared" si="22"/>
        <v>4908835.3984737359</v>
      </c>
      <c r="AM67" s="1094"/>
      <c r="AN67" s="1094"/>
      <c r="AO67" s="1127"/>
      <c r="AP67" s="1127"/>
      <c r="AQ67" s="1127"/>
      <c r="AR67" s="1127"/>
      <c r="AS67" s="1127"/>
      <c r="AT67" s="1126">
        <f t="shared" si="23"/>
        <v>42</v>
      </c>
      <c r="AU67" s="675"/>
      <c r="AV67" s="675"/>
      <c r="AW67" s="675"/>
      <c r="AX67" s="675"/>
      <c r="AY67" s="675"/>
      <c r="AZ67" s="675"/>
      <c r="BA67" s="675"/>
      <c r="BH67" s="675"/>
      <c r="BI67" s="675"/>
    </row>
    <row r="68" spans="2:61" ht="15.75" customHeight="1">
      <c r="B68" s="1097">
        <f t="shared" si="18"/>
        <v>43</v>
      </c>
      <c r="C68" s="1098">
        <f t="shared" si="11"/>
        <v>8</v>
      </c>
      <c r="D68" s="1099" t="str">
        <f t="shared" si="34"/>
        <v xml:space="preserve">             </v>
      </c>
      <c r="E68" s="1087"/>
      <c r="F68" s="1094"/>
      <c r="G68" s="1082"/>
      <c r="H68" s="1094"/>
      <c r="I68" s="1082"/>
      <c r="J68" s="1094"/>
      <c r="K68" s="1082"/>
      <c r="L68" s="1094"/>
      <c r="M68" s="1082"/>
      <c r="N68" s="1217"/>
      <c r="O68" s="1082"/>
      <c r="P68" s="1082">
        <f t="shared" si="31"/>
        <v>0</v>
      </c>
      <c r="Q68" s="1094"/>
      <c r="R68" s="1082"/>
      <c r="S68" s="1082"/>
      <c r="T68" s="1082">
        <f t="shared" si="32"/>
        <v>-109218.75</v>
      </c>
      <c r="U68" s="1083">
        <f t="shared" si="26"/>
        <v>-109218.75</v>
      </c>
      <c r="V68" s="1104">
        <f t="shared" si="15"/>
        <v>-109218.75</v>
      </c>
      <c r="W68" s="1087">
        <f t="shared" si="10"/>
        <v>0</v>
      </c>
      <c r="X68" s="1094"/>
      <c r="Y68" s="1082"/>
      <c r="Z68" s="1082"/>
      <c r="AA68" s="1082"/>
      <c r="AB68" s="1203"/>
      <c r="AC68" s="1208">
        <f t="shared" si="19"/>
        <v>0</v>
      </c>
      <c r="AD68" s="1112">
        <f t="shared" si="27"/>
        <v>-109218.75</v>
      </c>
      <c r="AE68" s="1083">
        <f t="shared" si="28"/>
        <v>0</v>
      </c>
      <c r="AF68" s="1082">
        <f t="shared" si="9"/>
        <v>-109218.75</v>
      </c>
      <c r="AG68" s="1082">
        <f t="shared" si="29"/>
        <v>0</v>
      </c>
      <c r="AH68" s="1082">
        <f t="shared" si="30"/>
        <v>-80685.163915445621</v>
      </c>
      <c r="AI68" s="1116">
        <f t="shared" si="20"/>
        <v>-80685.163915445621</v>
      </c>
      <c r="AJ68" s="1087">
        <f t="shared" si="33"/>
        <v>4908835.3984737359</v>
      </c>
      <c r="AK68" s="1094"/>
      <c r="AL68" s="1129">
        <f t="shared" si="22"/>
        <v>4908835.3984737359</v>
      </c>
      <c r="AM68" s="1094"/>
      <c r="AN68" s="1094"/>
      <c r="AO68" s="1127"/>
      <c r="AP68" s="1127"/>
      <c r="AQ68" s="1127"/>
      <c r="AR68" s="1127"/>
      <c r="AS68" s="1127"/>
      <c r="AT68" s="1126">
        <f t="shared" si="23"/>
        <v>43</v>
      </c>
      <c r="AU68" s="675"/>
      <c r="AV68" s="675"/>
      <c r="AW68" s="675"/>
      <c r="AX68" s="675"/>
      <c r="AY68" s="675"/>
      <c r="AZ68" s="675"/>
      <c r="BA68" s="675"/>
      <c r="BH68" s="675"/>
      <c r="BI68" s="675"/>
    </row>
    <row r="69" spans="2:61" ht="15.75" customHeight="1">
      <c r="B69" s="1097">
        <f t="shared" si="18"/>
        <v>44</v>
      </c>
      <c r="C69" s="1098">
        <f t="shared" si="11"/>
        <v>9</v>
      </c>
      <c r="D69" s="1099" t="str">
        <f>IF($C68=12,$D$57+1,"             ")</f>
        <v xml:space="preserve">             </v>
      </c>
      <c r="E69" s="1087"/>
      <c r="F69" s="1094"/>
      <c r="G69" s="1082"/>
      <c r="H69" s="1094"/>
      <c r="I69" s="1082"/>
      <c r="J69" s="1094"/>
      <c r="K69" s="1082"/>
      <c r="L69" s="1094"/>
      <c r="M69" s="1082"/>
      <c r="N69" s="1217"/>
      <c r="O69" s="1082"/>
      <c r="P69" s="1082">
        <f t="shared" si="31"/>
        <v>0</v>
      </c>
      <c r="Q69" s="1094"/>
      <c r="R69" s="1082"/>
      <c r="S69" s="1082"/>
      <c r="T69" s="1082">
        <f t="shared" si="32"/>
        <v>-109218.75</v>
      </c>
      <c r="U69" s="1083">
        <f t="shared" si="26"/>
        <v>-109218.75</v>
      </c>
      <c r="V69" s="1104">
        <f t="shared" si="15"/>
        <v>-109218.75</v>
      </c>
      <c r="W69" s="1087">
        <f t="shared" si="10"/>
        <v>0</v>
      </c>
      <c r="X69" s="1094"/>
      <c r="Y69" s="1082"/>
      <c r="Z69" s="1082"/>
      <c r="AA69" s="1082"/>
      <c r="AB69" s="1203"/>
      <c r="AC69" s="1208">
        <f t="shared" si="19"/>
        <v>0</v>
      </c>
      <c r="AD69" s="1112">
        <f t="shared" si="27"/>
        <v>-109218.75</v>
      </c>
      <c r="AE69" s="1083">
        <f t="shared" si="28"/>
        <v>0</v>
      </c>
      <c r="AF69" s="1082">
        <f t="shared" si="9"/>
        <v>-109218.75</v>
      </c>
      <c r="AG69" s="1082">
        <f t="shared" si="29"/>
        <v>0</v>
      </c>
      <c r="AH69" s="1082">
        <f t="shared" si="30"/>
        <v>-80118.989721414255</v>
      </c>
      <c r="AI69" s="1116">
        <f t="shared" si="20"/>
        <v>-80118.989721414255</v>
      </c>
      <c r="AJ69" s="1087">
        <f t="shared" si="33"/>
        <v>4908835.3984737359</v>
      </c>
      <c r="AK69" s="1094"/>
      <c r="AL69" s="1129">
        <f t="shared" si="22"/>
        <v>4908835.3984737359</v>
      </c>
      <c r="AM69" s="1094"/>
      <c r="AN69" s="1094"/>
      <c r="AO69" s="1127"/>
      <c r="AP69" s="1127"/>
      <c r="AQ69" s="1127"/>
      <c r="AR69" s="1127"/>
      <c r="AS69" s="1127"/>
      <c r="AT69" s="1126">
        <f t="shared" si="23"/>
        <v>44</v>
      </c>
      <c r="AU69" s="675"/>
      <c r="AV69" s="675"/>
      <c r="AW69" s="675"/>
      <c r="AX69" s="675"/>
      <c r="AY69" s="675"/>
      <c r="AZ69" s="675"/>
      <c r="BA69" s="675"/>
      <c r="BH69" s="675"/>
      <c r="BI69" s="675"/>
    </row>
    <row r="70" spans="2:61" ht="15.75" customHeight="1">
      <c r="B70" s="1097">
        <f t="shared" si="18"/>
        <v>45</v>
      </c>
      <c r="C70" s="1098">
        <f t="shared" si="11"/>
        <v>10</v>
      </c>
      <c r="D70" s="1099" t="str">
        <f t="shared" si="34"/>
        <v xml:space="preserve">             </v>
      </c>
      <c r="E70" s="1087"/>
      <c r="F70" s="1094"/>
      <c r="G70" s="1082"/>
      <c r="H70" s="1094"/>
      <c r="I70" s="1082"/>
      <c r="J70" s="1094"/>
      <c r="K70" s="1082"/>
      <c r="L70" s="1094"/>
      <c r="M70" s="1082"/>
      <c r="N70" s="1217"/>
      <c r="O70" s="1082"/>
      <c r="P70" s="1082">
        <f t="shared" si="31"/>
        <v>0</v>
      </c>
      <c r="Q70" s="1094"/>
      <c r="R70" s="1082"/>
      <c r="S70" s="1082"/>
      <c r="T70" s="1082">
        <f t="shared" si="32"/>
        <v>-109218.75</v>
      </c>
      <c r="U70" s="1083">
        <f t="shared" si="26"/>
        <v>-109218.75</v>
      </c>
      <c r="V70" s="1104">
        <f t="shared" si="15"/>
        <v>-109218.75</v>
      </c>
      <c r="W70" s="1087">
        <f t="shared" si="10"/>
        <v>0</v>
      </c>
      <c r="X70" s="1094"/>
      <c r="Y70" s="1082"/>
      <c r="Z70" s="1082"/>
      <c r="AA70" s="1082"/>
      <c r="AB70" s="1203"/>
      <c r="AC70" s="1208">
        <f t="shared" si="19"/>
        <v>0</v>
      </c>
      <c r="AD70" s="1112">
        <f t="shared" si="27"/>
        <v>-109218.75</v>
      </c>
      <c r="AE70" s="1083">
        <f t="shared" si="28"/>
        <v>0</v>
      </c>
      <c r="AF70" s="1082">
        <f t="shared" si="9"/>
        <v>-109218.75</v>
      </c>
      <c r="AG70" s="1082">
        <f t="shared" si="29"/>
        <v>0</v>
      </c>
      <c r="AH70" s="1082">
        <f t="shared" si="30"/>
        <v>-79556.788416603595</v>
      </c>
      <c r="AI70" s="1116">
        <f t="shared" si="20"/>
        <v>-79556.788416603595</v>
      </c>
      <c r="AJ70" s="1087">
        <f t="shared" si="33"/>
        <v>4908835.3984737359</v>
      </c>
      <c r="AK70" s="1094"/>
      <c r="AL70" s="1129">
        <f t="shared" si="22"/>
        <v>4908835.3984737359</v>
      </c>
      <c r="AM70" s="1094"/>
      <c r="AN70" s="1094"/>
      <c r="AO70" s="1127"/>
      <c r="AP70" s="1127"/>
      <c r="AQ70" s="1127"/>
      <c r="AR70" s="1127"/>
      <c r="AS70" s="1127"/>
      <c r="AT70" s="1126">
        <f t="shared" si="23"/>
        <v>45</v>
      </c>
      <c r="AU70" s="675"/>
      <c r="AV70" s="675"/>
      <c r="AW70" s="675"/>
      <c r="AX70" s="675"/>
      <c r="AY70" s="675"/>
      <c r="AZ70" s="675"/>
      <c r="BA70" s="675"/>
      <c r="BH70" s="675"/>
      <c r="BI70" s="675"/>
    </row>
    <row r="71" spans="2:61" ht="15.75" customHeight="1">
      <c r="B71" s="1097">
        <f t="shared" si="18"/>
        <v>46</v>
      </c>
      <c r="C71" s="1098">
        <f t="shared" si="11"/>
        <v>11</v>
      </c>
      <c r="D71" s="1099" t="str">
        <f t="shared" si="34"/>
        <v xml:space="preserve">             </v>
      </c>
      <c r="E71" s="1087"/>
      <c r="F71" s="1094"/>
      <c r="G71" s="1082"/>
      <c r="H71" s="1094"/>
      <c r="I71" s="1082"/>
      <c r="J71" s="1094"/>
      <c r="K71" s="1082"/>
      <c r="L71" s="1094"/>
      <c r="M71" s="1082"/>
      <c r="N71" s="1217"/>
      <c r="O71" s="1082"/>
      <c r="P71" s="1082">
        <f t="shared" si="31"/>
        <v>0</v>
      </c>
      <c r="Q71" s="1094"/>
      <c r="R71" s="1082"/>
      <c r="S71" s="1082"/>
      <c r="T71" s="1082">
        <f t="shared" si="32"/>
        <v>-109218.75</v>
      </c>
      <c r="U71" s="1083">
        <f t="shared" si="26"/>
        <v>-109218.75</v>
      </c>
      <c r="V71" s="1104">
        <f t="shared" si="15"/>
        <v>-109218.75</v>
      </c>
      <c r="W71" s="1087">
        <f t="shared" si="10"/>
        <v>0</v>
      </c>
      <c r="X71" s="1094"/>
      <c r="Y71" s="1082"/>
      <c r="Z71" s="1082"/>
      <c r="AA71" s="1082"/>
      <c r="AB71" s="1203"/>
      <c r="AC71" s="1208">
        <f t="shared" si="19"/>
        <v>0</v>
      </c>
      <c r="AD71" s="1112">
        <f t="shared" si="27"/>
        <v>-109218.75</v>
      </c>
      <c r="AE71" s="1083">
        <f t="shared" si="28"/>
        <v>0</v>
      </c>
      <c r="AF71" s="1082">
        <f t="shared" si="9"/>
        <v>-109218.75</v>
      </c>
      <c r="AG71" s="1082">
        <f t="shared" si="29"/>
        <v>0</v>
      </c>
      <c r="AH71" s="1082">
        <f t="shared" si="30"/>
        <v>-78998.532122934819</v>
      </c>
      <c r="AI71" s="1116">
        <f t="shared" si="20"/>
        <v>-78998.532122934819</v>
      </c>
      <c r="AJ71" s="1087">
        <f t="shared" si="33"/>
        <v>4908835.3984737359</v>
      </c>
      <c r="AK71" s="1094"/>
      <c r="AL71" s="1129">
        <f t="shared" si="22"/>
        <v>4908835.3984737359</v>
      </c>
      <c r="AM71" s="1094"/>
      <c r="AN71" s="1094"/>
      <c r="AO71" s="1127"/>
      <c r="AP71" s="1127"/>
      <c r="AQ71" s="1127"/>
      <c r="AR71" s="1127"/>
      <c r="AS71" s="1127"/>
      <c r="AT71" s="1126">
        <f t="shared" si="23"/>
        <v>46</v>
      </c>
      <c r="AU71" s="675"/>
      <c r="AV71" s="675"/>
      <c r="AW71" s="675"/>
      <c r="AX71" s="675"/>
      <c r="AY71" s="675"/>
      <c r="AZ71" s="675"/>
      <c r="BA71" s="675"/>
      <c r="BH71" s="675"/>
      <c r="BI71" s="675"/>
    </row>
    <row r="72" spans="2:61" ht="15.75" customHeight="1">
      <c r="B72" s="1097">
        <f t="shared" si="18"/>
        <v>47</v>
      </c>
      <c r="C72" s="1098">
        <f t="shared" si="11"/>
        <v>12</v>
      </c>
      <c r="D72" s="1099" t="str">
        <f t="shared" si="34"/>
        <v xml:space="preserve">             </v>
      </c>
      <c r="E72" s="1087"/>
      <c r="F72" s="1094"/>
      <c r="G72" s="1082"/>
      <c r="H72" s="1094"/>
      <c r="I72" s="1082"/>
      <c r="J72" s="1094"/>
      <c r="K72" s="1082"/>
      <c r="L72" s="1094"/>
      <c r="M72" s="1082">
        <f>IF(B72&lt;=$J$7,($AA$9/($J$7/12))*-1,)</f>
        <v>-321250</v>
      </c>
      <c r="N72" s="1217"/>
      <c r="O72" s="1082"/>
      <c r="P72" s="1082">
        <f t="shared" si="31"/>
        <v>0</v>
      </c>
      <c r="Q72" s="1094"/>
      <c r="R72" s="1082"/>
      <c r="S72" s="1082"/>
      <c r="T72" s="1082">
        <f t="shared" si="32"/>
        <v>-109218.75</v>
      </c>
      <c r="U72" s="1083">
        <f t="shared" si="26"/>
        <v>-430468.75</v>
      </c>
      <c r="V72" s="1104">
        <f t="shared" si="15"/>
        <v>-430468.75</v>
      </c>
      <c r="W72" s="1087">
        <f t="shared" si="10"/>
        <v>0</v>
      </c>
      <c r="X72" s="1094"/>
      <c r="Y72" s="1082"/>
      <c r="Z72" s="1082"/>
      <c r="AA72" s="1082"/>
      <c r="AB72" s="1203"/>
      <c r="AC72" s="1208">
        <f t="shared" si="19"/>
        <v>0</v>
      </c>
      <c r="AD72" s="1112">
        <f t="shared" si="27"/>
        <v>-430468.75</v>
      </c>
      <c r="AE72" s="1083">
        <f t="shared" si="28"/>
        <v>0</v>
      </c>
      <c r="AF72" s="1082">
        <f t="shared" si="9"/>
        <v>-430468.75</v>
      </c>
      <c r="AG72" s="1082">
        <f t="shared" si="29"/>
        <v>0</v>
      </c>
      <c r="AH72" s="1082">
        <f t="shared" si="30"/>
        <v>-309175.61108749302</v>
      </c>
      <c r="AI72" s="1116">
        <f t="shared" si="20"/>
        <v>-309175.61108749302</v>
      </c>
      <c r="AJ72" s="1087">
        <f t="shared" si="33"/>
        <v>4908835.3984737359</v>
      </c>
      <c r="AK72" s="1094"/>
      <c r="AL72" s="1129">
        <f t="shared" si="22"/>
        <v>4908835.3984737359</v>
      </c>
      <c r="AM72" s="1094"/>
      <c r="AN72" s="1094"/>
      <c r="AO72" s="1127"/>
      <c r="AP72" s="1127"/>
      <c r="AQ72" s="1127"/>
      <c r="AR72" s="1127"/>
      <c r="AS72" s="1127"/>
      <c r="AT72" s="1126">
        <f t="shared" si="23"/>
        <v>47</v>
      </c>
      <c r="AU72" s="675"/>
      <c r="AV72" s="675"/>
      <c r="AW72" s="675"/>
      <c r="AX72" s="675"/>
      <c r="AY72" s="675"/>
      <c r="AZ72" s="675"/>
      <c r="BA72" s="675"/>
      <c r="BH72" s="675"/>
      <c r="BI72" s="675"/>
    </row>
    <row r="73" spans="2:61" ht="15.75" customHeight="1">
      <c r="B73" s="1097">
        <f t="shared" si="18"/>
        <v>48</v>
      </c>
      <c r="C73" s="1098">
        <f t="shared" si="11"/>
        <v>1</v>
      </c>
      <c r="D73" s="1099">
        <f t="shared" si="34"/>
        <v>2022</v>
      </c>
      <c r="E73" s="1087"/>
      <c r="F73" s="1094"/>
      <c r="G73" s="1082"/>
      <c r="H73" s="1094"/>
      <c r="I73" s="1082"/>
      <c r="J73" s="1094"/>
      <c r="K73" s="1082"/>
      <c r="L73" s="1094"/>
      <c r="M73" s="1082"/>
      <c r="N73" s="1217">
        <f>IF(B73&lt;=($J$7-1),($AA$8/($J$7/12))*-1,)</f>
        <v>0</v>
      </c>
      <c r="O73" s="1082"/>
      <c r="P73" s="1082">
        <f t="shared" si="31"/>
        <v>0</v>
      </c>
      <c r="Q73" s="1094"/>
      <c r="R73" s="1082"/>
      <c r="S73" s="1082"/>
      <c r="T73" s="1082">
        <f t="shared" si="32"/>
        <v>-109218.75</v>
      </c>
      <c r="U73" s="1083">
        <f t="shared" si="26"/>
        <v>-109218.75</v>
      </c>
      <c r="V73" s="1104">
        <f t="shared" si="15"/>
        <v>-109218.75</v>
      </c>
      <c r="W73" s="1087">
        <f t="shared" si="10"/>
        <v>0</v>
      </c>
      <c r="X73" s="1094"/>
      <c r="Y73" s="1082"/>
      <c r="Z73" s="1082"/>
      <c r="AA73" s="1082"/>
      <c r="AB73" s="1203"/>
      <c r="AC73" s="1208">
        <f t="shared" si="19"/>
        <v>0</v>
      </c>
      <c r="AD73" s="1112">
        <f t="shared" si="27"/>
        <v>-109218.75</v>
      </c>
      <c r="AE73" s="1083">
        <f t="shared" si="28"/>
        <v>0</v>
      </c>
      <c r="AF73" s="1082">
        <f t="shared" si="9"/>
        <v>-109218.75</v>
      </c>
      <c r="AG73" s="1082">
        <f t="shared" si="29"/>
        <v>0</v>
      </c>
      <c r="AH73" s="1082">
        <f t="shared" si="30"/>
        <v>-77893.744033448893</v>
      </c>
      <c r="AI73" s="1116">
        <f t="shared" si="20"/>
        <v>-77893.744033448893</v>
      </c>
      <c r="AJ73" s="1087">
        <f t="shared" si="33"/>
        <v>4908835.3984737359</v>
      </c>
      <c r="AK73" s="1094"/>
      <c r="AL73" s="1129">
        <f t="shared" si="22"/>
        <v>4908835.3984737359</v>
      </c>
      <c r="AM73" s="1094"/>
      <c r="AN73" s="1094"/>
      <c r="AO73" s="1127"/>
      <c r="AP73" s="1127"/>
      <c r="AQ73" s="1127"/>
      <c r="AR73" s="1127"/>
      <c r="AS73" s="1127"/>
      <c r="AT73" s="1126">
        <f t="shared" si="23"/>
        <v>48</v>
      </c>
      <c r="AU73" s="675"/>
      <c r="AV73" s="675"/>
      <c r="AW73" s="675"/>
      <c r="AX73" s="675"/>
      <c r="AY73" s="675"/>
      <c r="AZ73" s="675"/>
      <c r="BA73" s="675"/>
      <c r="BH73" s="675"/>
      <c r="BI73" s="675"/>
    </row>
    <row r="74" spans="2:61" ht="15.75" customHeight="1">
      <c r="B74" s="1097">
        <f t="shared" si="18"/>
        <v>49</v>
      </c>
      <c r="C74" s="1098">
        <f t="shared" si="11"/>
        <v>2</v>
      </c>
      <c r="D74" s="1099" t="str">
        <f>IF($C73=12,$D$73+1,"             ")</f>
        <v xml:space="preserve">             </v>
      </c>
      <c r="E74" s="1087"/>
      <c r="F74" s="1094"/>
      <c r="G74" s="1082"/>
      <c r="H74" s="1094"/>
      <c r="I74" s="1082"/>
      <c r="J74" s="1094"/>
      <c r="K74" s="1082"/>
      <c r="L74" s="1094"/>
      <c r="M74" s="1082"/>
      <c r="N74" s="1217"/>
      <c r="O74" s="1082"/>
      <c r="P74" s="1082">
        <f t="shared" si="31"/>
        <v>0</v>
      </c>
      <c r="Q74" s="1094"/>
      <c r="R74" s="1082"/>
      <c r="S74" s="1082"/>
      <c r="T74" s="1082">
        <f t="shared" si="32"/>
        <v>0</v>
      </c>
      <c r="U74" s="1083">
        <f t="shared" si="26"/>
        <v>0</v>
      </c>
      <c r="V74" s="1104">
        <f t="shared" si="15"/>
        <v>0</v>
      </c>
      <c r="W74" s="1087">
        <f t="shared" si="10"/>
        <v>51616928.36945454</v>
      </c>
      <c r="X74" s="1094"/>
      <c r="Y74" s="1082"/>
      <c r="Z74" s="1082"/>
      <c r="AA74" s="1082"/>
      <c r="AB74" s="1203">
        <f>IF(B74&lt;=($J$7-1),($AA$11/($J$7/12)),)</f>
        <v>0</v>
      </c>
      <c r="AC74" s="1208">
        <f t="shared" si="19"/>
        <v>51616928.36945454</v>
      </c>
      <c r="AD74" s="1112">
        <f t="shared" si="27"/>
        <v>51616928.36945454</v>
      </c>
      <c r="AE74" s="1083">
        <f t="shared" si="28"/>
        <v>51616928.36945454</v>
      </c>
      <c r="AF74" s="1082">
        <f t="shared" si="9"/>
        <v>0</v>
      </c>
      <c r="AG74" s="1082">
        <f t="shared" si="29"/>
        <v>30740070.545272931</v>
      </c>
      <c r="AH74" s="1082">
        <f t="shared" si="30"/>
        <v>0</v>
      </c>
      <c r="AI74" s="1116">
        <f t="shared" si="20"/>
        <v>30740070.545272931</v>
      </c>
      <c r="AJ74" s="1087">
        <f t="shared" si="33"/>
        <v>0</v>
      </c>
      <c r="AK74" s="1094"/>
      <c r="AL74" s="1129">
        <f t="shared" si="22"/>
        <v>0</v>
      </c>
      <c r="AM74" s="1094"/>
      <c r="AN74" s="1094"/>
      <c r="AO74" s="1127"/>
      <c r="AP74" s="1127"/>
      <c r="AQ74" s="1127"/>
      <c r="AR74" s="1127"/>
      <c r="AS74" s="1127"/>
      <c r="AT74" s="1126">
        <f t="shared" si="23"/>
        <v>49</v>
      </c>
      <c r="AU74" s="675"/>
      <c r="AV74" s="675"/>
      <c r="AW74" s="675"/>
      <c r="AX74" s="675"/>
      <c r="AY74" s="675"/>
      <c r="AZ74" s="675"/>
      <c r="BA74" s="675"/>
      <c r="BH74" s="675"/>
      <c r="BI74" s="675"/>
    </row>
    <row r="75" spans="2:61" ht="15.75" customHeight="1">
      <c r="B75" s="1097">
        <f>B74+1</f>
        <v>50</v>
      </c>
      <c r="C75" s="1098">
        <f>IF($C74=12,1,$C74+1)</f>
        <v>3</v>
      </c>
      <c r="D75" s="1099" t="str">
        <f>IF($C74=12,$D$73+1,"             ")</f>
        <v xml:space="preserve">             </v>
      </c>
      <c r="E75" s="1087"/>
      <c r="F75" s="1094"/>
      <c r="G75" s="1082"/>
      <c r="H75" s="1094"/>
      <c r="I75" s="1082"/>
      <c r="J75" s="1094"/>
      <c r="K75" s="1082"/>
      <c r="L75" s="1094"/>
      <c r="M75" s="1082"/>
      <c r="N75" s="1217"/>
      <c r="O75" s="1082"/>
      <c r="P75" s="1082">
        <f t="shared" si="31"/>
        <v>0</v>
      </c>
      <c r="Q75" s="1094"/>
      <c r="R75" s="1082"/>
      <c r="S75" s="1082"/>
      <c r="T75" s="1082">
        <f t="shared" si="32"/>
        <v>0</v>
      </c>
      <c r="U75" s="1083">
        <f t="shared" si="26"/>
        <v>0</v>
      </c>
      <c r="V75" s="1104">
        <f t="shared" si="15"/>
        <v>0</v>
      </c>
      <c r="W75" s="1087">
        <f t="shared" si="10"/>
        <v>0</v>
      </c>
      <c r="X75" s="1094"/>
      <c r="Y75" s="1082"/>
      <c r="Z75" s="1082"/>
      <c r="AA75" s="1082"/>
      <c r="AB75" s="1203"/>
      <c r="AC75" s="1208">
        <f t="shared" si="19"/>
        <v>0</v>
      </c>
      <c r="AD75" s="1112">
        <f t="shared" si="27"/>
        <v>0</v>
      </c>
      <c r="AE75" s="1083">
        <f t="shared" si="28"/>
        <v>0</v>
      </c>
      <c r="AF75" s="1082">
        <f t="shared" si="9"/>
        <v>0</v>
      </c>
      <c r="AG75" s="1082">
        <f t="shared" si="29"/>
        <v>0</v>
      </c>
      <c r="AH75" s="1082">
        <f t="shared" si="30"/>
        <v>0</v>
      </c>
      <c r="AI75" s="1116">
        <f t="shared" si="20"/>
        <v>0</v>
      </c>
      <c r="AJ75" s="1087">
        <f t="shared" si="33"/>
        <v>0</v>
      </c>
      <c r="AK75" s="1094"/>
      <c r="AL75" s="1129">
        <f t="shared" si="22"/>
        <v>0</v>
      </c>
      <c r="AM75" s="1094"/>
      <c r="AN75" s="1094"/>
      <c r="AO75" s="1127"/>
      <c r="AP75" s="1127"/>
      <c r="AQ75" s="1127"/>
      <c r="AR75" s="1127"/>
      <c r="AS75" s="1127"/>
      <c r="AT75" s="1126">
        <f>AT74+1</f>
        <v>50</v>
      </c>
      <c r="AU75" s="675"/>
      <c r="AV75" s="675"/>
      <c r="AW75" s="675"/>
      <c r="AX75" s="675"/>
      <c r="AY75" s="675"/>
      <c r="AZ75" s="675"/>
      <c r="BA75" s="675"/>
      <c r="BH75" s="675"/>
      <c r="BI75" s="675"/>
    </row>
    <row r="76" spans="2:61" ht="15.75" customHeight="1">
      <c r="B76" s="1097">
        <f t="shared" si="18"/>
        <v>51</v>
      </c>
      <c r="C76" s="1098">
        <f t="shared" si="11"/>
        <v>4</v>
      </c>
      <c r="D76" s="1099" t="str">
        <f t="shared" ref="D76:D84" si="35">IF($C75=12,$D$73+1,"             ")</f>
        <v xml:space="preserve">             </v>
      </c>
      <c r="E76" s="1087"/>
      <c r="F76" s="1094"/>
      <c r="G76" s="1082"/>
      <c r="H76" s="1094"/>
      <c r="I76" s="1082"/>
      <c r="J76" s="1094"/>
      <c r="K76" s="1082"/>
      <c r="L76" s="1094"/>
      <c r="M76" s="1082"/>
      <c r="N76" s="1217"/>
      <c r="O76" s="1082"/>
      <c r="P76" s="1082">
        <f t="shared" si="31"/>
        <v>0</v>
      </c>
      <c r="Q76" s="1094"/>
      <c r="R76" s="1082"/>
      <c r="S76" s="1082"/>
      <c r="T76" s="1082">
        <f t="shared" si="32"/>
        <v>0</v>
      </c>
      <c r="U76" s="1083">
        <f t="shared" si="26"/>
        <v>0</v>
      </c>
      <c r="V76" s="1104">
        <f t="shared" si="15"/>
        <v>0</v>
      </c>
      <c r="W76" s="1087">
        <f t="shared" si="10"/>
        <v>0</v>
      </c>
      <c r="X76" s="1094"/>
      <c r="Y76" s="1082"/>
      <c r="Z76" s="1082"/>
      <c r="AA76" s="1082"/>
      <c r="AB76" s="1203"/>
      <c r="AC76" s="1208">
        <f t="shared" si="19"/>
        <v>0</v>
      </c>
      <c r="AD76" s="1112">
        <f t="shared" si="27"/>
        <v>0</v>
      </c>
      <c r="AE76" s="1083">
        <f t="shared" si="28"/>
        <v>0</v>
      </c>
      <c r="AF76" s="1082">
        <f t="shared" si="9"/>
        <v>0</v>
      </c>
      <c r="AG76" s="1082">
        <f t="shared" si="29"/>
        <v>0</v>
      </c>
      <c r="AH76" s="1082">
        <f t="shared" si="30"/>
        <v>0</v>
      </c>
      <c r="AI76" s="1116">
        <f t="shared" si="20"/>
        <v>0</v>
      </c>
      <c r="AJ76" s="1087">
        <f t="shared" si="33"/>
        <v>0</v>
      </c>
      <c r="AK76" s="1094"/>
      <c r="AL76" s="1129">
        <f t="shared" si="22"/>
        <v>0</v>
      </c>
      <c r="AM76" s="1094"/>
      <c r="AN76" s="1094"/>
      <c r="AO76" s="1127"/>
      <c r="AP76" s="1127"/>
      <c r="AQ76" s="1127"/>
      <c r="AR76" s="1127"/>
      <c r="AS76" s="1127"/>
      <c r="AT76" s="1126">
        <f t="shared" si="23"/>
        <v>51</v>
      </c>
      <c r="AU76" s="675"/>
      <c r="AV76" s="675"/>
      <c r="AW76" s="675"/>
      <c r="AX76" s="675"/>
      <c r="AY76" s="675"/>
      <c r="AZ76" s="675"/>
      <c r="BA76" s="675"/>
      <c r="BH76" s="675"/>
      <c r="BI76" s="675"/>
    </row>
    <row r="77" spans="2:61" ht="15.75" customHeight="1">
      <c r="B77" s="1097">
        <f t="shared" si="18"/>
        <v>52</v>
      </c>
      <c r="C77" s="1098">
        <f t="shared" si="11"/>
        <v>5</v>
      </c>
      <c r="D77" s="1099" t="str">
        <f t="shared" si="35"/>
        <v xml:space="preserve">             </v>
      </c>
      <c r="E77" s="1087"/>
      <c r="F77" s="1094"/>
      <c r="G77" s="1082"/>
      <c r="H77" s="1094"/>
      <c r="I77" s="1082"/>
      <c r="J77" s="1094"/>
      <c r="K77" s="1082"/>
      <c r="L77" s="1094"/>
      <c r="M77" s="1082"/>
      <c r="N77" s="1217"/>
      <c r="O77" s="1082"/>
      <c r="P77" s="1082">
        <f t="shared" si="31"/>
        <v>0</v>
      </c>
      <c r="Q77" s="1094"/>
      <c r="R77" s="1082"/>
      <c r="S77" s="1082"/>
      <c r="T77" s="1082">
        <f t="shared" si="32"/>
        <v>0</v>
      </c>
      <c r="U77" s="1083">
        <f t="shared" si="26"/>
        <v>0</v>
      </c>
      <c r="V77" s="1104">
        <f t="shared" si="15"/>
        <v>0</v>
      </c>
      <c r="W77" s="1087">
        <f t="shared" si="10"/>
        <v>0</v>
      </c>
      <c r="X77" s="1094"/>
      <c r="Y77" s="1082"/>
      <c r="Z77" s="1082"/>
      <c r="AA77" s="1082"/>
      <c r="AB77" s="1203"/>
      <c r="AC77" s="1208">
        <f t="shared" si="19"/>
        <v>0</v>
      </c>
      <c r="AD77" s="1112">
        <f t="shared" si="27"/>
        <v>0</v>
      </c>
      <c r="AE77" s="1083">
        <f t="shared" si="28"/>
        <v>0</v>
      </c>
      <c r="AF77" s="1082">
        <f t="shared" si="9"/>
        <v>0</v>
      </c>
      <c r="AG77" s="1082">
        <f t="shared" si="29"/>
        <v>0</v>
      </c>
      <c r="AH77" s="1082">
        <f t="shared" si="30"/>
        <v>0</v>
      </c>
      <c r="AI77" s="1116">
        <f t="shared" si="20"/>
        <v>0</v>
      </c>
      <c r="AJ77" s="1087">
        <f t="shared" si="33"/>
        <v>0</v>
      </c>
      <c r="AK77" s="1094"/>
      <c r="AL77" s="1129">
        <f t="shared" si="22"/>
        <v>0</v>
      </c>
      <c r="AM77" s="1094"/>
      <c r="AN77" s="1094"/>
      <c r="AO77" s="1127"/>
      <c r="AP77" s="1127"/>
      <c r="AQ77" s="1127"/>
      <c r="AR77" s="1127"/>
      <c r="AS77" s="1127"/>
      <c r="AT77" s="1126">
        <f t="shared" si="23"/>
        <v>52</v>
      </c>
      <c r="AU77" s="675"/>
      <c r="AV77" s="675"/>
      <c r="AW77" s="675"/>
      <c r="AX77" s="675"/>
      <c r="AY77" s="675"/>
      <c r="AZ77" s="675"/>
      <c r="BA77" s="675"/>
      <c r="BH77" s="675"/>
      <c r="BI77" s="675"/>
    </row>
    <row r="78" spans="2:61" ht="15.75" customHeight="1">
      <c r="B78" s="1097">
        <f t="shared" si="18"/>
        <v>53</v>
      </c>
      <c r="C78" s="1098">
        <f t="shared" si="11"/>
        <v>6</v>
      </c>
      <c r="D78" s="1099" t="str">
        <f t="shared" si="35"/>
        <v xml:space="preserve">             </v>
      </c>
      <c r="E78" s="1087"/>
      <c r="F78" s="1094"/>
      <c r="G78" s="1082"/>
      <c r="H78" s="1094"/>
      <c r="I78" s="1082"/>
      <c r="J78" s="1094"/>
      <c r="K78" s="1082"/>
      <c r="L78" s="1094"/>
      <c r="M78" s="1082"/>
      <c r="N78" s="1217"/>
      <c r="O78" s="1082"/>
      <c r="P78" s="1082">
        <f t="shared" si="31"/>
        <v>0</v>
      </c>
      <c r="Q78" s="1094"/>
      <c r="R78" s="1082"/>
      <c r="S78" s="1082"/>
      <c r="T78" s="1082">
        <f t="shared" si="32"/>
        <v>0</v>
      </c>
      <c r="U78" s="1083">
        <f t="shared" si="26"/>
        <v>0</v>
      </c>
      <c r="V78" s="1104">
        <f t="shared" si="15"/>
        <v>0</v>
      </c>
      <c r="W78" s="1087">
        <f t="shared" si="10"/>
        <v>0</v>
      </c>
      <c r="X78" s="1094"/>
      <c r="Y78" s="1082"/>
      <c r="Z78" s="1082"/>
      <c r="AA78" s="1082"/>
      <c r="AB78" s="1203"/>
      <c r="AC78" s="1208">
        <f t="shared" si="19"/>
        <v>0</v>
      </c>
      <c r="AD78" s="1112">
        <f t="shared" si="27"/>
        <v>0</v>
      </c>
      <c r="AE78" s="1083">
        <f t="shared" si="28"/>
        <v>0</v>
      </c>
      <c r="AF78" s="1082">
        <f t="shared" si="9"/>
        <v>0</v>
      </c>
      <c r="AG78" s="1082">
        <f t="shared" si="29"/>
        <v>0</v>
      </c>
      <c r="AH78" s="1082">
        <f t="shared" si="30"/>
        <v>0</v>
      </c>
      <c r="AI78" s="1116">
        <f t="shared" si="20"/>
        <v>0</v>
      </c>
      <c r="AJ78" s="1087">
        <f t="shared" si="33"/>
        <v>0</v>
      </c>
      <c r="AK78" s="1094"/>
      <c r="AL78" s="1129">
        <f t="shared" si="22"/>
        <v>0</v>
      </c>
      <c r="AM78" s="1094"/>
      <c r="AN78" s="1094"/>
      <c r="AO78" s="1127"/>
      <c r="AP78" s="1127"/>
      <c r="AQ78" s="1127"/>
      <c r="AR78" s="1127"/>
      <c r="AS78" s="1127"/>
      <c r="AT78" s="1126">
        <f t="shared" si="23"/>
        <v>53</v>
      </c>
      <c r="AU78" s="675"/>
      <c r="AV78" s="675"/>
      <c r="AW78" s="675"/>
      <c r="AX78" s="675"/>
      <c r="AY78" s="675"/>
      <c r="AZ78" s="675"/>
      <c r="BA78" s="675"/>
      <c r="BH78" s="675"/>
      <c r="BI78" s="675"/>
    </row>
    <row r="79" spans="2:61" ht="15.75" customHeight="1">
      <c r="B79" s="1097">
        <f t="shared" si="18"/>
        <v>54</v>
      </c>
      <c r="C79" s="1098">
        <f t="shared" si="11"/>
        <v>7</v>
      </c>
      <c r="D79" s="1099" t="str">
        <f t="shared" si="35"/>
        <v xml:space="preserve">             </v>
      </c>
      <c r="E79" s="1087"/>
      <c r="F79" s="1094"/>
      <c r="G79" s="1082"/>
      <c r="H79" s="1094"/>
      <c r="I79" s="1082"/>
      <c r="J79" s="1094"/>
      <c r="K79" s="1082"/>
      <c r="L79" s="1094"/>
      <c r="M79" s="1082"/>
      <c r="N79" s="1217"/>
      <c r="O79" s="1082"/>
      <c r="P79" s="1082">
        <f t="shared" si="31"/>
        <v>0</v>
      </c>
      <c r="Q79" s="1094"/>
      <c r="R79" s="1082"/>
      <c r="S79" s="1082"/>
      <c r="T79" s="1082">
        <f t="shared" si="32"/>
        <v>0</v>
      </c>
      <c r="U79" s="1083">
        <f t="shared" si="26"/>
        <v>0</v>
      </c>
      <c r="V79" s="1104">
        <f t="shared" si="15"/>
        <v>0</v>
      </c>
      <c r="W79" s="1087">
        <f t="shared" si="10"/>
        <v>0</v>
      </c>
      <c r="X79" s="1094"/>
      <c r="Y79" s="1082"/>
      <c r="Z79" s="1082"/>
      <c r="AA79" s="1082"/>
      <c r="AB79" s="1203"/>
      <c r="AC79" s="1208">
        <f t="shared" si="19"/>
        <v>0</v>
      </c>
      <c r="AD79" s="1112">
        <f t="shared" si="27"/>
        <v>0</v>
      </c>
      <c r="AE79" s="1083">
        <f t="shared" si="28"/>
        <v>0</v>
      </c>
      <c r="AF79" s="1082">
        <f t="shared" si="9"/>
        <v>0</v>
      </c>
      <c r="AG79" s="1082">
        <f t="shared" si="29"/>
        <v>0</v>
      </c>
      <c r="AH79" s="1082">
        <f t="shared" si="30"/>
        <v>0</v>
      </c>
      <c r="AI79" s="1116">
        <f t="shared" si="20"/>
        <v>0</v>
      </c>
      <c r="AJ79" s="1087">
        <f t="shared" si="33"/>
        <v>0</v>
      </c>
      <c r="AK79" s="1094"/>
      <c r="AL79" s="1129">
        <f t="shared" si="22"/>
        <v>0</v>
      </c>
      <c r="AM79" s="1094"/>
      <c r="AN79" s="1094"/>
      <c r="AO79" s="1127"/>
      <c r="AP79" s="1127"/>
      <c r="AQ79" s="1127"/>
      <c r="AR79" s="1127"/>
      <c r="AS79" s="1127"/>
      <c r="AT79" s="1126">
        <f t="shared" si="23"/>
        <v>54</v>
      </c>
      <c r="AU79" s="675"/>
      <c r="AV79" s="675"/>
      <c r="AW79" s="675"/>
      <c r="AX79" s="675"/>
      <c r="AY79" s="675"/>
      <c r="AZ79" s="675"/>
      <c r="BA79" s="675"/>
      <c r="BH79" s="675"/>
      <c r="BI79" s="675"/>
    </row>
    <row r="80" spans="2:61" ht="15.75" customHeight="1">
      <c r="B80" s="1097">
        <f t="shared" si="18"/>
        <v>55</v>
      </c>
      <c r="C80" s="1098">
        <f t="shared" si="11"/>
        <v>8</v>
      </c>
      <c r="D80" s="1099" t="str">
        <f t="shared" si="35"/>
        <v xml:space="preserve">             </v>
      </c>
      <c r="E80" s="1087"/>
      <c r="F80" s="1094"/>
      <c r="G80" s="1082"/>
      <c r="H80" s="1094"/>
      <c r="I80" s="1082"/>
      <c r="J80" s="1094"/>
      <c r="K80" s="1082"/>
      <c r="L80" s="1094"/>
      <c r="M80" s="1082"/>
      <c r="N80" s="1217"/>
      <c r="O80" s="1082"/>
      <c r="P80" s="1082">
        <f t="shared" si="31"/>
        <v>0</v>
      </c>
      <c r="Q80" s="1094"/>
      <c r="R80" s="1082"/>
      <c r="S80" s="1082"/>
      <c r="T80" s="1082">
        <f t="shared" si="32"/>
        <v>0</v>
      </c>
      <c r="U80" s="1083">
        <f t="shared" si="26"/>
        <v>0</v>
      </c>
      <c r="V80" s="1104">
        <f t="shared" si="15"/>
        <v>0</v>
      </c>
      <c r="W80" s="1087">
        <f t="shared" si="10"/>
        <v>0</v>
      </c>
      <c r="X80" s="1094"/>
      <c r="Y80" s="1082"/>
      <c r="Z80" s="1082"/>
      <c r="AA80" s="1082"/>
      <c r="AB80" s="1203"/>
      <c r="AC80" s="1208">
        <f t="shared" si="19"/>
        <v>0</v>
      </c>
      <c r="AD80" s="1112">
        <f t="shared" si="27"/>
        <v>0</v>
      </c>
      <c r="AE80" s="1083">
        <f t="shared" si="28"/>
        <v>0</v>
      </c>
      <c r="AF80" s="1082">
        <f t="shared" si="9"/>
        <v>0</v>
      </c>
      <c r="AG80" s="1082">
        <f t="shared" si="29"/>
        <v>0</v>
      </c>
      <c r="AH80" s="1082">
        <f t="shared" si="30"/>
        <v>0</v>
      </c>
      <c r="AI80" s="1116">
        <f t="shared" si="20"/>
        <v>0</v>
      </c>
      <c r="AJ80" s="1087">
        <f t="shared" si="33"/>
        <v>0</v>
      </c>
      <c r="AK80" s="1094"/>
      <c r="AL80" s="1129">
        <f t="shared" si="22"/>
        <v>0</v>
      </c>
      <c r="AM80" s="1094"/>
      <c r="AN80" s="1094"/>
      <c r="AO80" s="1127"/>
      <c r="AP80" s="1127"/>
      <c r="AQ80" s="1127"/>
      <c r="AR80" s="1127"/>
      <c r="AS80" s="1127"/>
      <c r="AT80" s="1126">
        <f t="shared" si="23"/>
        <v>55</v>
      </c>
      <c r="AU80" s="675"/>
      <c r="AV80" s="675"/>
      <c r="AW80" s="675"/>
      <c r="AX80" s="675"/>
      <c r="AY80" s="675"/>
      <c r="AZ80" s="675"/>
      <c r="BA80" s="675"/>
      <c r="BH80" s="675"/>
      <c r="BI80" s="675"/>
    </row>
    <row r="81" spans="2:62" ht="15.75" customHeight="1">
      <c r="B81" s="1097">
        <f t="shared" si="18"/>
        <v>56</v>
      </c>
      <c r="C81" s="1098">
        <f t="shared" si="11"/>
        <v>9</v>
      </c>
      <c r="D81" s="1099"/>
      <c r="E81" s="1087"/>
      <c r="F81" s="1094"/>
      <c r="G81" s="1082"/>
      <c r="H81" s="1094"/>
      <c r="I81" s="1082"/>
      <c r="J81" s="1094"/>
      <c r="K81" s="1082"/>
      <c r="L81" s="1094"/>
      <c r="M81" s="1082"/>
      <c r="N81" s="1217"/>
      <c r="O81" s="1082"/>
      <c r="P81" s="1082">
        <f t="shared" si="31"/>
        <v>0</v>
      </c>
      <c r="Q81" s="1094"/>
      <c r="R81" s="1082"/>
      <c r="S81" s="1082"/>
      <c r="T81" s="1082">
        <f t="shared" si="32"/>
        <v>0</v>
      </c>
      <c r="U81" s="1083">
        <f t="shared" si="26"/>
        <v>0</v>
      </c>
      <c r="V81" s="1104">
        <f t="shared" si="15"/>
        <v>0</v>
      </c>
      <c r="W81" s="1087">
        <f t="shared" si="10"/>
        <v>0</v>
      </c>
      <c r="X81" s="1094"/>
      <c r="Y81" s="1082"/>
      <c r="Z81" s="1082"/>
      <c r="AA81" s="1082"/>
      <c r="AB81" s="1203"/>
      <c r="AC81" s="1208">
        <f t="shared" si="19"/>
        <v>0</v>
      </c>
      <c r="AD81" s="1112">
        <f t="shared" si="27"/>
        <v>0</v>
      </c>
      <c r="AE81" s="1083">
        <f t="shared" si="28"/>
        <v>0</v>
      </c>
      <c r="AF81" s="1082">
        <f t="shared" si="9"/>
        <v>0</v>
      </c>
      <c r="AG81" s="1082">
        <f t="shared" si="29"/>
        <v>0</v>
      </c>
      <c r="AH81" s="1082">
        <f t="shared" si="30"/>
        <v>0</v>
      </c>
      <c r="AI81" s="1116">
        <f t="shared" si="20"/>
        <v>0</v>
      </c>
      <c r="AJ81" s="1087">
        <f t="shared" si="33"/>
        <v>0</v>
      </c>
      <c r="AK81" s="1094"/>
      <c r="AL81" s="1129">
        <f t="shared" si="22"/>
        <v>0</v>
      </c>
      <c r="AM81" s="1094"/>
      <c r="AN81" s="1094"/>
      <c r="AO81" s="1127"/>
      <c r="AP81" s="1127"/>
      <c r="AQ81" s="1127"/>
      <c r="AR81" s="1127"/>
      <c r="AS81" s="1127"/>
      <c r="AT81" s="1126">
        <f t="shared" si="23"/>
        <v>56</v>
      </c>
      <c r="AU81" s="675"/>
      <c r="AV81" s="675"/>
      <c r="AW81" s="675"/>
      <c r="AX81" s="675"/>
      <c r="AY81" s="675"/>
      <c r="AZ81" s="675"/>
      <c r="BA81" s="675"/>
      <c r="BH81" s="675"/>
      <c r="BI81" s="675"/>
    </row>
    <row r="82" spans="2:62" ht="15.75" customHeight="1">
      <c r="B82" s="1097">
        <f t="shared" si="18"/>
        <v>57</v>
      </c>
      <c r="C82" s="1098">
        <f t="shared" si="11"/>
        <v>10</v>
      </c>
      <c r="D82" s="1099" t="str">
        <f t="shared" si="35"/>
        <v xml:space="preserve">             </v>
      </c>
      <c r="E82" s="1087"/>
      <c r="F82" s="1094"/>
      <c r="G82" s="1082"/>
      <c r="H82" s="1094"/>
      <c r="I82" s="1082"/>
      <c r="J82" s="1094"/>
      <c r="K82" s="1082"/>
      <c r="L82" s="1094"/>
      <c r="M82" s="1082"/>
      <c r="N82" s="1217"/>
      <c r="O82" s="1082"/>
      <c r="P82" s="1082">
        <f t="shared" si="31"/>
        <v>0</v>
      </c>
      <c r="Q82" s="1094"/>
      <c r="R82" s="1082"/>
      <c r="S82" s="1082"/>
      <c r="T82" s="1082">
        <f t="shared" si="32"/>
        <v>0</v>
      </c>
      <c r="U82" s="1083">
        <f t="shared" si="26"/>
        <v>0</v>
      </c>
      <c r="V82" s="1104">
        <f t="shared" si="15"/>
        <v>0</v>
      </c>
      <c r="W82" s="1087">
        <f t="shared" si="10"/>
        <v>0</v>
      </c>
      <c r="X82" s="1094"/>
      <c r="Y82" s="1082"/>
      <c r="Z82" s="1082"/>
      <c r="AA82" s="1082"/>
      <c r="AB82" s="1203"/>
      <c r="AC82" s="1208">
        <f t="shared" si="19"/>
        <v>0</v>
      </c>
      <c r="AD82" s="1112">
        <f t="shared" si="27"/>
        <v>0</v>
      </c>
      <c r="AE82" s="1083">
        <f t="shared" si="28"/>
        <v>0</v>
      </c>
      <c r="AF82" s="1082">
        <f t="shared" si="9"/>
        <v>0</v>
      </c>
      <c r="AG82" s="1082">
        <f t="shared" si="29"/>
        <v>0</v>
      </c>
      <c r="AH82" s="1082">
        <f t="shared" si="30"/>
        <v>0</v>
      </c>
      <c r="AI82" s="1116">
        <f t="shared" si="20"/>
        <v>0</v>
      </c>
      <c r="AJ82" s="1087">
        <f t="shared" si="33"/>
        <v>0</v>
      </c>
      <c r="AK82" s="1094"/>
      <c r="AL82" s="1129">
        <f t="shared" si="22"/>
        <v>0</v>
      </c>
      <c r="AM82" s="1094"/>
      <c r="AN82" s="1094"/>
      <c r="AO82" s="1127"/>
      <c r="AP82" s="1127"/>
      <c r="AQ82" s="1127"/>
      <c r="AR82" s="1127"/>
      <c r="AS82" s="1127"/>
      <c r="AT82" s="1126">
        <f t="shared" si="23"/>
        <v>57</v>
      </c>
      <c r="AU82" s="675"/>
      <c r="AV82" s="675"/>
      <c r="AW82" s="675"/>
      <c r="AX82" s="675"/>
      <c r="AY82" s="675"/>
      <c r="AZ82" s="675"/>
      <c r="BA82" s="675"/>
      <c r="BH82" s="675"/>
      <c r="BI82" s="675"/>
    </row>
    <row r="83" spans="2:62" ht="15.75" customHeight="1">
      <c r="B83" s="1097">
        <f t="shared" si="18"/>
        <v>58</v>
      </c>
      <c r="C83" s="1098">
        <f t="shared" si="11"/>
        <v>11</v>
      </c>
      <c r="D83" s="1099" t="str">
        <f t="shared" si="35"/>
        <v xml:space="preserve">             </v>
      </c>
      <c r="E83" s="1087"/>
      <c r="F83" s="1094"/>
      <c r="G83" s="1082"/>
      <c r="H83" s="1094"/>
      <c r="I83" s="1082"/>
      <c r="J83" s="1094"/>
      <c r="K83" s="1082"/>
      <c r="L83" s="1094"/>
      <c r="M83" s="1082"/>
      <c r="N83" s="1217"/>
      <c r="O83" s="1082"/>
      <c r="P83" s="1082">
        <f t="shared" si="31"/>
        <v>0</v>
      </c>
      <c r="Q83" s="1094"/>
      <c r="R83" s="1082"/>
      <c r="S83" s="1082"/>
      <c r="T83" s="1082">
        <f t="shared" si="32"/>
        <v>0</v>
      </c>
      <c r="U83" s="1083">
        <f t="shared" si="26"/>
        <v>0</v>
      </c>
      <c r="V83" s="1104">
        <f t="shared" si="15"/>
        <v>0</v>
      </c>
      <c r="W83" s="1087">
        <f t="shared" si="10"/>
        <v>0</v>
      </c>
      <c r="X83" s="1094"/>
      <c r="Y83" s="1082"/>
      <c r="Z83" s="1082"/>
      <c r="AA83" s="1082"/>
      <c r="AB83" s="1203"/>
      <c r="AC83" s="1208">
        <f t="shared" si="19"/>
        <v>0</v>
      </c>
      <c r="AD83" s="1112">
        <f t="shared" si="27"/>
        <v>0</v>
      </c>
      <c r="AE83" s="1083">
        <f t="shared" si="28"/>
        <v>0</v>
      </c>
      <c r="AF83" s="1082">
        <f t="shared" si="9"/>
        <v>0</v>
      </c>
      <c r="AG83" s="1082">
        <f t="shared" si="29"/>
        <v>0</v>
      </c>
      <c r="AH83" s="1082">
        <f t="shared" si="30"/>
        <v>0</v>
      </c>
      <c r="AI83" s="1116">
        <f t="shared" si="20"/>
        <v>0</v>
      </c>
      <c r="AJ83" s="1087">
        <f t="shared" si="33"/>
        <v>0</v>
      </c>
      <c r="AK83" s="1094"/>
      <c r="AL83" s="1129">
        <f t="shared" si="22"/>
        <v>0</v>
      </c>
      <c r="AM83" s="1094"/>
      <c r="AN83" s="1094"/>
      <c r="AO83" s="1127"/>
      <c r="AP83" s="1127"/>
      <c r="AQ83" s="1127"/>
      <c r="AR83" s="1127"/>
      <c r="AS83" s="1127"/>
      <c r="AT83" s="1126">
        <f t="shared" si="23"/>
        <v>58</v>
      </c>
      <c r="AU83" s="675"/>
      <c r="AV83" s="675"/>
      <c r="AW83" s="675"/>
      <c r="AX83" s="675"/>
      <c r="AY83" s="675"/>
      <c r="AZ83" s="675"/>
      <c r="BA83" s="675"/>
      <c r="BH83" s="675"/>
      <c r="BI83" s="675"/>
    </row>
    <row r="84" spans="2:62" ht="15.75" customHeight="1">
      <c r="B84" s="1097">
        <f t="shared" si="18"/>
        <v>59</v>
      </c>
      <c r="C84" s="1098">
        <f t="shared" si="11"/>
        <v>12</v>
      </c>
      <c r="D84" s="1099" t="str">
        <f t="shared" si="35"/>
        <v xml:space="preserve">             </v>
      </c>
      <c r="E84" s="1087"/>
      <c r="F84" s="1094"/>
      <c r="G84" s="1082"/>
      <c r="H84" s="1094"/>
      <c r="I84" s="1082"/>
      <c r="J84" s="1094"/>
      <c r="K84" s="1082"/>
      <c r="L84" s="1094"/>
      <c r="M84" s="1082">
        <f>IF(B84&lt;=$J$7,($AA$9/($J$7/12))*-1,)</f>
        <v>0</v>
      </c>
      <c r="N84" s="1217"/>
      <c r="O84" s="1082"/>
      <c r="P84" s="1082">
        <f t="shared" si="31"/>
        <v>0</v>
      </c>
      <c r="Q84" s="1094"/>
      <c r="R84" s="1082"/>
      <c r="S84" s="1082"/>
      <c r="T84" s="1082">
        <f t="shared" si="32"/>
        <v>0</v>
      </c>
      <c r="U84" s="1083">
        <f t="shared" si="26"/>
        <v>0</v>
      </c>
      <c r="V84" s="1104">
        <f t="shared" si="15"/>
        <v>0</v>
      </c>
      <c r="W84" s="1087">
        <f t="shared" si="10"/>
        <v>0</v>
      </c>
      <c r="X84" s="1094"/>
      <c r="Y84" s="1082"/>
      <c r="Z84" s="1082"/>
      <c r="AA84" s="1082"/>
      <c r="AB84" s="1203"/>
      <c r="AC84" s="1208">
        <f t="shared" si="19"/>
        <v>0</v>
      </c>
      <c r="AD84" s="1112">
        <f t="shared" si="27"/>
        <v>0</v>
      </c>
      <c r="AE84" s="1083">
        <f t="shared" si="28"/>
        <v>0</v>
      </c>
      <c r="AF84" s="1082">
        <f t="shared" si="9"/>
        <v>0</v>
      </c>
      <c r="AG84" s="1082">
        <f t="shared" si="29"/>
        <v>0</v>
      </c>
      <c r="AH84" s="1082">
        <f t="shared" si="30"/>
        <v>0</v>
      </c>
      <c r="AI84" s="1116">
        <f t="shared" si="20"/>
        <v>0</v>
      </c>
      <c r="AJ84" s="1087">
        <f t="shared" si="33"/>
        <v>0</v>
      </c>
      <c r="AK84" s="1094"/>
      <c r="AL84" s="1129">
        <f t="shared" si="22"/>
        <v>0</v>
      </c>
      <c r="AM84" s="1094"/>
      <c r="AN84" s="1094"/>
      <c r="AO84" s="1127"/>
      <c r="AP84" s="1127"/>
      <c r="AQ84" s="1127"/>
      <c r="AR84" s="1127"/>
      <c r="AS84" s="1127"/>
      <c r="AT84" s="1126">
        <f t="shared" si="23"/>
        <v>59</v>
      </c>
      <c r="AU84" s="675"/>
      <c r="AV84" s="675"/>
      <c r="AW84" s="675"/>
      <c r="AX84" s="675"/>
      <c r="AY84" s="675"/>
      <c r="AZ84" s="675"/>
      <c r="BA84" s="675"/>
      <c r="BH84" s="675"/>
      <c r="BI84" s="675"/>
    </row>
    <row r="85" spans="2:62" ht="15.75" customHeight="1">
      <c r="B85" s="1097">
        <f t="shared" si="18"/>
        <v>60</v>
      </c>
      <c r="C85" s="1098">
        <f t="shared" si="11"/>
        <v>1</v>
      </c>
      <c r="D85" s="1099">
        <f>IF($C84=12,$D$73+1,"             ")</f>
        <v>2023</v>
      </c>
      <c r="E85" s="1087"/>
      <c r="F85" s="1094"/>
      <c r="G85" s="1082"/>
      <c r="H85" s="1094"/>
      <c r="I85" s="1082"/>
      <c r="J85" s="1094"/>
      <c r="K85" s="1082"/>
      <c r="L85" s="1094"/>
      <c r="M85" s="1082"/>
      <c r="N85" s="1217">
        <f>IF(B85&lt;=($J$7-1),($AA$8/($J$7/12))*-1,)</f>
        <v>0</v>
      </c>
      <c r="O85" s="1082"/>
      <c r="P85" s="1082">
        <f t="shared" si="31"/>
        <v>0</v>
      </c>
      <c r="Q85" s="1094"/>
      <c r="R85" s="1082"/>
      <c r="S85" s="1082"/>
      <c r="T85" s="1082">
        <f t="shared" si="32"/>
        <v>0</v>
      </c>
      <c r="U85" s="1083">
        <f t="shared" si="26"/>
        <v>0</v>
      </c>
      <c r="V85" s="1104">
        <f t="shared" si="15"/>
        <v>0</v>
      </c>
      <c r="W85" s="1087">
        <f t="shared" si="10"/>
        <v>0</v>
      </c>
      <c r="X85" s="1094"/>
      <c r="Y85" s="1082"/>
      <c r="Z85" s="1082"/>
      <c r="AA85" s="1082"/>
      <c r="AB85" s="1203"/>
      <c r="AC85" s="1208">
        <f t="shared" si="19"/>
        <v>0</v>
      </c>
      <c r="AD85" s="1112">
        <f t="shared" si="27"/>
        <v>0</v>
      </c>
      <c r="AE85" s="1083">
        <f t="shared" si="28"/>
        <v>0</v>
      </c>
      <c r="AF85" s="1082">
        <f t="shared" si="9"/>
        <v>0</v>
      </c>
      <c r="AG85" s="1082">
        <f t="shared" si="29"/>
        <v>0</v>
      </c>
      <c r="AH85" s="1082">
        <f t="shared" si="30"/>
        <v>0</v>
      </c>
      <c r="AI85" s="1116">
        <f t="shared" si="20"/>
        <v>0</v>
      </c>
      <c r="AJ85" s="1087">
        <f t="shared" si="33"/>
        <v>0</v>
      </c>
      <c r="AK85" s="1094"/>
      <c r="AL85" s="1129">
        <f t="shared" si="22"/>
        <v>0</v>
      </c>
      <c r="AM85" s="1094"/>
      <c r="AN85" s="1094"/>
      <c r="AO85" s="1127"/>
      <c r="AP85" s="1127"/>
      <c r="AQ85" s="1127"/>
      <c r="AR85" s="1127"/>
      <c r="AS85" s="1127"/>
      <c r="AT85" s="1126">
        <f t="shared" si="23"/>
        <v>60</v>
      </c>
      <c r="AU85" s="675"/>
      <c r="AV85" s="675"/>
      <c r="AW85" s="675"/>
      <c r="AX85" s="675"/>
      <c r="AY85" s="675"/>
      <c r="AZ85" s="675"/>
      <c r="BA85" s="675"/>
      <c r="BH85" s="675"/>
      <c r="BI85" s="675"/>
    </row>
    <row r="86" spans="2:62" ht="15.75" customHeight="1">
      <c r="B86" s="1097">
        <f t="shared" si="18"/>
        <v>61</v>
      </c>
      <c r="C86" s="1098">
        <f t="shared" si="11"/>
        <v>2</v>
      </c>
      <c r="D86" s="1099" t="str">
        <f>IF($C85=12,$D$85+1,"             ")</f>
        <v xml:space="preserve">             </v>
      </c>
      <c r="E86" s="1087"/>
      <c r="F86" s="1094"/>
      <c r="G86" s="1082"/>
      <c r="H86" s="1094"/>
      <c r="I86" s="1082"/>
      <c r="J86" s="1094"/>
      <c r="K86" s="1082"/>
      <c r="L86" s="1094"/>
      <c r="M86" s="1082"/>
      <c r="N86" s="1217"/>
      <c r="O86" s="1082"/>
      <c r="P86" s="1082">
        <f t="shared" si="31"/>
        <v>0</v>
      </c>
      <c r="Q86" s="1094"/>
      <c r="R86" s="1082"/>
      <c r="S86" s="1082"/>
      <c r="T86" s="1082">
        <f t="shared" si="32"/>
        <v>0</v>
      </c>
      <c r="U86" s="1083">
        <f t="shared" ref="U86:U90" si="36">SUM(E86:T86)</f>
        <v>0</v>
      </c>
      <c r="V86" s="1104">
        <f t="shared" si="15"/>
        <v>0</v>
      </c>
      <c r="W86" s="1087">
        <f>IF($AT86=$J$7+1,$M$14/1.1,0)</f>
        <v>0</v>
      </c>
      <c r="X86" s="1094"/>
      <c r="Y86" s="1082"/>
      <c r="Z86" s="1082"/>
      <c r="AA86" s="1082"/>
      <c r="AB86" s="1203">
        <f>IF(B86&lt;=($J$7-1),($AA$11/($J$7/12)),)</f>
        <v>0</v>
      </c>
      <c r="AC86" s="1208">
        <f t="shared" si="19"/>
        <v>0</v>
      </c>
      <c r="AD86" s="1112">
        <f t="shared" ref="AD86:AD90" si="37">U86+AC86</f>
        <v>0</v>
      </c>
      <c r="AE86" s="1083">
        <f t="shared" si="28"/>
        <v>0</v>
      </c>
      <c r="AF86" s="1082">
        <f t="shared" si="9"/>
        <v>0</v>
      </c>
      <c r="AG86" s="1082">
        <f t="shared" si="29"/>
        <v>0</v>
      </c>
      <c r="AH86" s="1082">
        <f t="shared" si="30"/>
        <v>0</v>
      </c>
      <c r="AI86" s="1116">
        <f t="shared" si="20"/>
        <v>0</v>
      </c>
      <c r="AJ86" s="1087">
        <f t="shared" si="33"/>
        <v>0</v>
      </c>
      <c r="AK86" s="1094"/>
      <c r="AL86" s="1129">
        <f t="shared" si="22"/>
        <v>0</v>
      </c>
      <c r="AM86" s="1094"/>
      <c r="AN86" s="1094"/>
      <c r="AO86" s="1127"/>
      <c r="AP86" s="1127"/>
      <c r="AQ86" s="1127"/>
      <c r="AR86" s="1127"/>
      <c r="AS86" s="1127"/>
      <c r="AT86" s="1126">
        <f t="shared" si="23"/>
        <v>61</v>
      </c>
      <c r="AU86" s="675"/>
      <c r="AV86" s="675"/>
      <c r="AW86" s="675"/>
      <c r="AX86" s="675"/>
      <c r="AY86" s="675"/>
      <c r="AZ86" s="675"/>
      <c r="BA86" s="675"/>
      <c r="BH86" s="675"/>
      <c r="BI86" s="675"/>
    </row>
    <row r="87" spans="2:62" ht="15.75" customHeight="1">
      <c r="B87" s="1097">
        <f t="shared" si="18"/>
        <v>62</v>
      </c>
      <c r="C87" s="1098">
        <f t="shared" si="11"/>
        <v>3</v>
      </c>
      <c r="D87" s="1099" t="str">
        <f>IF($C86=12,$D$85+1,"             ")</f>
        <v xml:space="preserve">             </v>
      </c>
      <c r="E87" s="1087"/>
      <c r="F87" s="1094"/>
      <c r="G87" s="1082"/>
      <c r="H87" s="1094"/>
      <c r="I87" s="1082"/>
      <c r="J87" s="1094"/>
      <c r="K87" s="1082"/>
      <c r="L87" s="1094"/>
      <c r="M87" s="1082"/>
      <c r="N87" s="1217"/>
      <c r="O87" s="1082"/>
      <c r="P87" s="1082">
        <f t="shared" si="31"/>
        <v>0</v>
      </c>
      <c r="Q87" s="1094"/>
      <c r="R87" s="1082"/>
      <c r="S87" s="1082"/>
      <c r="T87" s="1082">
        <f t="shared" si="32"/>
        <v>0</v>
      </c>
      <c r="U87" s="1083">
        <f t="shared" si="36"/>
        <v>0</v>
      </c>
      <c r="V87" s="1104">
        <f t="shared" si="15"/>
        <v>0</v>
      </c>
      <c r="W87" s="1087">
        <f t="shared" ref="W87:W90" si="38">IF($AT87=$J$7+1,$M$14/1.1,0)</f>
        <v>0</v>
      </c>
      <c r="X87" s="1094"/>
      <c r="Y87" s="1082"/>
      <c r="Z87" s="1082"/>
      <c r="AA87" s="1082"/>
      <c r="AB87" s="1203"/>
      <c r="AC87" s="1208">
        <f t="shared" si="19"/>
        <v>0</v>
      </c>
      <c r="AD87" s="1112">
        <f t="shared" si="37"/>
        <v>0</v>
      </c>
      <c r="AE87" s="1083">
        <f t="shared" si="28"/>
        <v>0</v>
      </c>
      <c r="AF87" s="1082">
        <f t="shared" ref="AF87:AF90" si="39">V87</f>
        <v>0</v>
      </c>
      <c r="AG87" s="1082">
        <f t="shared" si="29"/>
        <v>0</v>
      </c>
      <c r="AH87" s="1082">
        <f t="shared" si="30"/>
        <v>0</v>
      </c>
      <c r="AI87" s="1116">
        <f t="shared" si="20"/>
        <v>0</v>
      </c>
      <c r="AJ87" s="1087">
        <f t="shared" si="33"/>
        <v>0</v>
      </c>
      <c r="AK87" s="1094"/>
      <c r="AL87" s="1129">
        <f t="shared" si="22"/>
        <v>0</v>
      </c>
      <c r="AM87" s="1094"/>
      <c r="AN87" s="1094"/>
      <c r="AO87" s="1127"/>
      <c r="AP87" s="1127"/>
      <c r="AQ87" s="1127"/>
      <c r="AR87" s="1127"/>
      <c r="AS87" s="1127"/>
      <c r="AT87" s="1126">
        <f t="shared" si="23"/>
        <v>62</v>
      </c>
      <c r="AU87" s="675"/>
      <c r="AV87" s="675"/>
      <c r="AW87" s="675"/>
      <c r="AX87" s="675"/>
      <c r="AY87" s="675"/>
      <c r="AZ87" s="675"/>
      <c r="BA87" s="675"/>
      <c r="BH87" s="675"/>
      <c r="BI87" s="675"/>
    </row>
    <row r="88" spans="2:62" ht="15.75" customHeight="1">
      <c r="B88" s="1097">
        <f t="shared" si="18"/>
        <v>63</v>
      </c>
      <c r="C88" s="1098">
        <f t="shared" si="11"/>
        <v>4</v>
      </c>
      <c r="D88" s="1099" t="str">
        <f>IF($C87=12,$D$85+1,"             ")</f>
        <v xml:space="preserve">             </v>
      </c>
      <c r="E88" s="1087"/>
      <c r="F88" s="1094"/>
      <c r="G88" s="1082"/>
      <c r="H88" s="1094"/>
      <c r="I88" s="1082"/>
      <c r="J88" s="1094"/>
      <c r="K88" s="1082"/>
      <c r="L88" s="1094"/>
      <c r="M88" s="1082"/>
      <c r="N88" s="1217"/>
      <c r="O88" s="1082"/>
      <c r="P88" s="1082">
        <f t="shared" si="31"/>
        <v>0</v>
      </c>
      <c r="Q88" s="1094"/>
      <c r="R88" s="1082"/>
      <c r="S88" s="1082"/>
      <c r="T88" s="1082">
        <f t="shared" si="32"/>
        <v>0</v>
      </c>
      <c r="U88" s="1083">
        <f t="shared" si="36"/>
        <v>0</v>
      </c>
      <c r="V88" s="1104">
        <f t="shared" si="15"/>
        <v>0</v>
      </c>
      <c r="W88" s="1087">
        <f t="shared" si="38"/>
        <v>0</v>
      </c>
      <c r="X88" s="1094"/>
      <c r="Y88" s="1082"/>
      <c r="Z88" s="1082"/>
      <c r="AA88" s="1082"/>
      <c r="AB88" s="1203"/>
      <c r="AC88" s="1208">
        <f t="shared" si="19"/>
        <v>0</v>
      </c>
      <c r="AD88" s="1112">
        <f t="shared" si="37"/>
        <v>0</v>
      </c>
      <c r="AE88" s="1083">
        <f t="shared" si="28"/>
        <v>0</v>
      </c>
      <c r="AF88" s="1082">
        <f t="shared" si="39"/>
        <v>0</v>
      </c>
      <c r="AG88" s="1082">
        <f t="shared" si="29"/>
        <v>0</v>
      </c>
      <c r="AH88" s="1082">
        <f t="shared" si="30"/>
        <v>0</v>
      </c>
      <c r="AI88" s="1116">
        <f t="shared" si="20"/>
        <v>0</v>
      </c>
      <c r="AJ88" s="1087">
        <f t="shared" si="33"/>
        <v>0</v>
      </c>
      <c r="AK88" s="1094"/>
      <c r="AL88" s="1129">
        <f t="shared" si="22"/>
        <v>0</v>
      </c>
      <c r="AM88" s="1094"/>
      <c r="AN88" s="1094"/>
      <c r="AO88" s="1127"/>
      <c r="AP88" s="1127"/>
      <c r="AQ88" s="1127"/>
      <c r="AR88" s="1127"/>
      <c r="AS88" s="1127"/>
      <c r="AT88" s="1126">
        <f t="shared" si="23"/>
        <v>63</v>
      </c>
      <c r="AU88" s="675"/>
      <c r="AV88" s="675"/>
      <c r="AW88" s="675"/>
      <c r="AX88" s="675"/>
      <c r="AY88" s="675"/>
      <c r="AZ88" s="675"/>
      <c r="BA88" s="675"/>
      <c r="BH88" s="675"/>
      <c r="BI88" s="675"/>
    </row>
    <row r="89" spans="2:62" ht="15.75" customHeight="1">
      <c r="B89" s="1097">
        <f t="shared" si="18"/>
        <v>64</v>
      </c>
      <c r="C89" s="1098">
        <f t="shared" si="11"/>
        <v>5</v>
      </c>
      <c r="D89" s="1099" t="str">
        <f>IF($C88=12,$D$85+1,"             ")</f>
        <v xml:space="preserve">             </v>
      </c>
      <c r="E89" s="1087"/>
      <c r="F89" s="1094"/>
      <c r="G89" s="1082"/>
      <c r="H89" s="1094"/>
      <c r="I89" s="1082"/>
      <c r="J89" s="1094"/>
      <c r="K89" s="1082"/>
      <c r="L89" s="1094"/>
      <c r="M89" s="1082"/>
      <c r="N89" s="1217"/>
      <c r="O89" s="1082"/>
      <c r="P89" s="1082">
        <f t="shared" si="31"/>
        <v>0</v>
      </c>
      <c r="Q89" s="1094"/>
      <c r="R89" s="1082"/>
      <c r="S89" s="1082"/>
      <c r="T89" s="1082">
        <f t="shared" si="32"/>
        <v>0</v>
      </c>
      <c r="U89" s="1083">
        <f t="shared" si="36"/>
        <v>0</v>
      </c>
      <c r="V89" s="1104">
        <f t="shared" si="15"/>
        <v>0</v>
      </c>
      <c r="W89" s="1087">
        <f t="shared" si="38"/>
        <v>0</v>
      </c>
      <c r="X89" s="1094"/>
      <c r="Y89" s="1082"/>
      <c r="Z89" s="1082"/>
      <c r="AA89" s="1082"/>
      <c r="AB89" s="1203"/>
      <c r="AC89" s="1208">
        <f t="shared" si="19"/>
        <v>0</v>
      </c>
      <c r="AD89" s="1112">
        <f t="shared" si="37"/>
        <v>0</v>
      </c>
      <c r="AE89" s="1083">
        <f t="shared" si="28"/>
        <v>0</v>
      </c>
      <c r="AF89" s="1082">
        <f t="shared" si="39"/>
        <v>0</v>
      </c>
      <c r="AG89" s="1082">
        <f t="shared" si="29"/>
        <v>0</v>
      </c>
      <c r="AH89" s="1082">
        <f t="shared" si="30"/>
        <v>0</v>
      </c>
      <c r="AI89" s="1116">
        <f t="shared" si="20"/>
        <v>0</v>
      </c>
      <c r="AJ89" s="1087">
        <f t="shared" si="33"/>
        <v>0</v>
      </c>
      <c r="AK89" s="1094"/>
      <c r="AL89" s="1129">
        <f t="shared" si="22"/>
        <v>0</v>
      </c>
      <c r="AM89" s="1094"/>
      <c r="AN89" s="1094"/>
      <c r="AO89" s="1127"/>
      <c r="AP89" s="1127"/>
      <c r="AQ89" s="1127"/>
      <c r="AR89" s="1127"/>
      <c r="AS89" s="1127"/>
      <c r="AT89" s="1126">
        <f t="shared" si="23"/>
        <v>64</v>
      </c>
      <c r="AU89" s="675"/>
      <c r="AV89" s="675"/>
      <c r="AW89" s="675"/>
      <c r="AX89" s="675"/>
      <c r="AY89" s="675"/>
      <c r="AZ89" s="675"/>
      <c r="BA89" s="675"/>
      <c r="BH89" s="675"/>
      <c r="BI89" s="675"/>
    </row>
    <row r="90" spans="2:62" ht="15.75" customHeight="1" thickBot="1">
      <c r="B90" s="1097">
        <f t="shared" si="18"/>
        <v>65</v>
      </c>
      <c r="C90" s="1098">
        <f>IF($C89=12,1,$C89+1)</f>
        <v>6</v>
      </c>
      <c r="D90" s="1099" t="str">
        <f>IF($C89=12,$D$85+1,"             ")</f>
        <v xml:space="preserve">             </v>
      </c>
      <c r="E90" s="1088"/>
      <c r="F90" s="1095"/>
      <c r="G90" s="1089"/>
      <c r="H90" s="1095"/>
      <c r="I90" s="1089"/>
      <c r="J90" s="1095"/>
      <c r="K90" s="1089"/>
      <c r="L90" s="1095"/>
      <c r="M90" s="1089"/>
      <c r="N90" s="1218"/>
      <c r="O90" s="1089"/>
      <c r="P90" s="1089">
        <f t="shared" si="31"/>
        <v>0</v>
      </c>
      <c r="Q90" s="1095"/>
      <c r="R90" s="1089"/>
      <c r="S90" s="1089"/>
      <c r="T90" s="1089">
        <f t="shared" si="32"/>
        <v>0</v>
      </c>
      <c r="U90" s="1090">
        <f t="shared" si="36"/>
        <v>0</v>
      </c>
      <c r="V90" s="1105">
        <f t="shared" ref="V90" si="40">M90+P90+T90+N90</f>
        <v>0</v>
      </c>
      <c r="W90" s="1087">
        <f t="shared" si="38"/>
        <v>0</v>
      </c>
      <c r="X90" s="1095"/>
      <c r="Y90" s="1089"/>
      <c r="Z90" s="1089"/>
      <c r="AA90" s="1089"/>
      <c r="AB90" s="1204"/>
      <c r="AC90" s="1208">
        <f t="shared" ref="AC90" si="41">SUM(W90:AB90)-X90-Z90</f>
        <v>0</v>
      </c>
      <c r="AD90" s="1187">
        <f t="shared" si="37"/>
        <v>0</v>
      </c>
      <c r="AE90" s="1090">
        <f t="shared" si="28"/>
        <v>0</v>
      </c>
      <c r="AF90" s="1089">
        <f t="shared" si="39"/>
        <v>0</v>
      </c>
      <c r="AG90" s="1089">
        <f t="shared" si="29"/>
        <v>0</v>
      </c>
      <c r="AH90" s="1089">
        <f t="shared" si="30"/>
        <v>0</v>
      </c>
      <c r="AI90" s="1188">
        <f t="shared" ref="AI90" si="42">AG90+AH90</f>
        <v>0</v>
      </c>
      <c r="AJ90" s="1088">
        <f t="shared" si="33"/>
        <v>0</v>
      </c>
      <c r="AK90" s="1095"/>
      <c r="AL90" s="1189">
        <f t="shared" si="22"/>
        <v>0</v>
      </c>
      <c r="AM90" s="1095"/>
      <c r="AN90" s="1095"/>
      <c r="AO90" s="1190"/>
      <c r="AP90" s="1190"/>
      <c r="AQ90" s="1190"/>
      <c r="AR90" s="1190"/>
      <c r="AS90" s="1190"/>
      <c r="AT90" s="1191">
        <f t="shared" si="23"/>
        <v>65</v>
      </c>
      <c r="AU90" s="675"/>
      <c r="AV90" s="675"/>
      <c r="AW90" s="675"/>
      <c r="AX90" s="675"/>
      <c r="AY90" s="675"/>
      <c r="AZ90" s="675"/>
      <c r="BA90" s="675"/>
      <c r="BH90" s="675"/>
      <c r="BI90" s="675"/>
    </row>
    <row r="91" spans="2:62" s="1050" customFormat="1" ht="20.100000000000001" customHeight="1" thickTop="1" thickBot="1">
      <c r="B91" s="1048"/>
      <c r="C91" s="1049"/>
      <c r="D91" s="1100"/>
      <c r="E91" s="1091">
        <f t="shared" ref="E91:J91" si="43">SUM(E22:E90)</f>
        <v>-208311712.39942348</v>
      </c>
      <c r="F91" s="1096">
        <f t="shared" si="43"/>
        <v>0</v>
      </c>
      <c r="G91" s="820">
        <f t="shared" si="43"/>
        <v>0</v>
      </c>
      <c r="H91" s="1096">
        <f t="shared" si="43"/>
        <v>0</v>
      </c>
      <c r="I91" s="820">
        <f t="shared" si="43"/>
        <v>0</v>
      </c>
      <c r="J91" s="1096">
        <f t="shared" si="43"/>
        <v>0</v>
      </c>
      <c r="K91" s="820">
        <f t="shared" ref="K91:AA91" si="44">SUM(K22:K90)</f>
        <v>0</v>
      </c>
      <c r="L91" s="1096">
        <f t="shared" si="44"/>
        <v>0</v>
      </c>
      <c r="M91" s="820">
        <f t="shared" si="44"/>
        <v>-1285000</v>
      </c>
      <c r="N91" s="1219">
        <f t="shared" si="44"/>
        <v>0</v>
      </c>
      <c r="O91" s="820">
        <f t="shared" si="44"/>
        <v>0</v>
      </c>
      <c r="P91" s="820">
        <f>SUM(P22:P90)</f>
        <v>0</v>
      </c>
      <c r="Q91" s="1096">
        <f t="shared" si="44"/>
        <v>0</v>
      </c>
      <c r="R91" s="820">
        <f t="shared" si="44"/>
        <v>-736034.71714462957</v>
      </c>
      <c r="S91" s="820">
        <f t="shared" si="44"/>
        <v>0</v>
      </c>
      <c r="T91" s="820">
        <f t="shared" si="44"/>
        <v>-5242500</v>
      </c>
      <c r="U91" s="1228">
        <f t="shared" si="44"/>
        <v>-215575247.11656812</v>
      </c>
      <c r="V91" s="1227">
        <f>SUM(V22:V90)</f>
        <v>-6527500</v>
      </c>
      <c r="W91" s="1110">
        <f t="shared" si="44"/>
        <v>51616928.36945454</v>
      </c>
      <c r="X91" s="1161">
        <f t="shared" si="44"/>
        <v>0</v>
      </c>
      <c r="Y91" s="1111">
        <f t="shared" si="44"/>
        <v>0</v>
      </c>
      <c r="Z91" s="1111">
        <f t="shared" si="44"/>
        <v>0</v>
      </c>
      <c r="AA91" s="1111">
        <f t="shared" si="44"/>
        <v>0</v>
      </c>
      <c r="AB91" s="1205">
        <f>SUM(AB22:AB75)</f>
        <v>0</v>
      </c>
      <c r="AC91" s="1209">
        <f t="shared" ref="AC91:AJ91" si="45">SUM(AC22:AC90)</f>
        <v>51616928.36945454</v>
      </c>
      <c r="AD91" s="1192">
        <f>SUM(AD22:AD90)</f>
        <v>-163958318.74711359</v>
      </c>
      <c r="AE91" s="1193">
        <f>SUM(AE22:AE90)</f>
        <v>-157430818.74711359</v>
      </c>
      <c r="AF91" s="1193">
        <f>SUM(AF22:AF90)</f>
        <v>-6527500</v>
      </c>
      <c r="AG91" s="1229">
        <f>SUM(AG22:AG90)</f>
        <v>-178307676.5712952</v>
      </c>
      <c r="AH91" s="1229">
        <f>SUM(AH22:AH90)</f>
        <v>-5485111.4152724724</v>
      </c>
      <c r="AI91" s="1230">
        <f t="shared" si="45"/>
        <v>-183792787.98656768</v>
      </c>
      <c r="AJ91" s="1194">
        <f t="shared" si="45"/>
        <v>235624099.12673947</v>
      </c>
      <c r="AK91" s="1195"/>
      <c r="AL91" s="1196">
        <f>SUM(AL25:AL90)</f>
        <v>235624099.12673947</v>
      </c>
      <c r="AM91" s="1195">
        <f>SUM(AM22:AM90)</f>
        <v>0</v>
      </c>
      <c r="AN91" s="1195">
        <f>SUM(AN22:AN90)</f>
        <v>0</v>
      </c>
      <c r="AO91" s="1195">
        <f>SUM(AO22:AO90)</f>
        <v>0</v>
      </c>
      <c r="AP91" s="1195">
        <f>SUM(AP22:AP90)</f>
        <v>0</v>
      </c>
      <c r="AQ91" s="1195">
        <f>SUM(AQ22:AQ90)</f>
        <v>0</v>
      </c>
      <c r="AR91" s="1195"/>
      <c r="AS91" s="1195">
        <f>SUM(AS22:AS90)</f>
        <v>0</v>
      </c>
      <c r="AT91" s="1197"/>
    </row>
    <row r="92" spans="2:62" s="1009" customFormat="1" ht="22.5" customHeight="1" thickTop="1">
      <c r="B92" s="1051"/>
      <c r="C92" s="1052"/>
      <c r="D92" s="1051"/>
      <c r="E92" s="1053"/>
      <c r="F92" s="1053"/>
      <c r="G92" s="1053"/>
      <c r="H92" s="1053"/>
      <c r="I92" s="1053"/>
      <c r="J92" s="1053"/>
      <c r="K92" s="1053"/>
      <c r="L92" s="1053"/>
      <c r="M92" s="1053"/>
      <c r="N92" s="1053"/>
      <c r="O92" s="1053"/>
      <c r="P92" s="1053"/>
      <c r="Q92" s="1053"/>
      <c r="R92" s="1053"/>
      <c r="S92" s="1053"/>
      <c r="T92" s="1053"/>
      <c r="U92" s="1053"/>
      <c r="V92" s="1053"/>
      <c r="W92" s="1053"/>
      <c r="X92" s="1053"/>
      <c r="Y92" s="1053"/>
      <c r="Z92" s="1053"/>
      <c r="AA92" s="1053"/>
      <c r="AB92" s="1053"/>
      <c r="AC92" s="1008"/>
      <c r="AD92" s="1008">
        <f>AD91-(AE91+AF91)</f>
        <v>0</v>
      </c>
      <c r="AE92" s="1008"/>
      <c r="AF92" s="1008"/>
      <c r="AG92" s="1008"/>
      <c r="AH92" s="1008"/>
      <c r="AI92" s="1008"/>
      <c r="AJ92" s="1008"/>
      <c r="AK92" s="1054"/>
      <c r="AL92" s="1054"/>
      <c r="AM92" s="1198"/>
      <c r="AN92" s="1199"/>
      <c r="AO92" s="1199"/>
      <c r="AP92" s="1055"/>
      <c r="AQ92" s="1199"/>
      <c r="AR92" s="1055"/>
      <c r="AS92" s="1055"/>
      <c r="AT92" s="1055"/>
      <c r="AU92" s="1055"/>
      <c r="AV92" s="1055"/>
      <c r="AW92" s="1055"/>
      <c r="AX92" s="1055"/>
      <c r="AY92" s="1055"/>
      <c r="AZ92" s="1055"/>
      <c r="BA92" s="1055" t="e">
        <f>I167+J167+#REF!+K167</f>
        <v>#REF!</v>
      </c>
      <c r="BB92" s="1056"/>
      <c r="BI92" s="1057"/>
      <c r="BJ92" s="1057"/>
    </row>
    <row r="93" spans="2:62" ht="15" thickBot="1">
      <c r="B93" s="1007"/>
      <c r="C93" s="789"/>
      <c r="D93" s="789"/>
      <c r="E93" s="789"/>
      <c r="F93" s="789"/>
      <c r="G93" s="789"/>
      <c r="H93" s="789"/>
      <c r="I93" s="789"/>
      <c r="J93" s="789"/>
      <c r="K93" s="789"/>
      <c r="L93" s="789"/>
      <c r="M93" s="789"/>
      <c r="N93" s="789"/>
      <c r="O93" s="789"/>
      <c r="P93" s="789"/>
      <c r="Q93" s="789"/>
      <c r="R93" s="790"/>
      <c r="S93" s="790"/>
      <c r="AQ93" s="1010"/>
    </row>
    <row r="94" spans="2:62" ht="24" customHeight="1" thickTop="1">
      <c r="B94" s="1620" t="s">
        <v>175</v>
      </c>
      <c r="C94" s="1623" t="s">
        <v>176</v>
      </c>
      <c r="D94" s="1624"/>
      <c r="E94" s="1624"/>
      <c r="F94" s="1624"/>
      <c r="G94" s="1624"/>
      <c r="H94" s="1624"/>
      <c r="I94" s="1625"/>
      <c r="J94" s="1626" t="s">
        <v>177</v>
      </c>
      <c r="K94" s="1627"/>
      <c r="L94" s="1628"/>
      <c r="M94" s="1642" t="s">
        <v>178</v>
      </c>
      <c r="N94" s="1643"/>
      <c r="O94" s="1644"/>
      <c r="P94" s="1633" t="s">
        <v>179</v>
      </c>
      <c r="Q94" s="1630" t="s">
        <v>180</v>
      </c>
      <c r="AP94" s="1010"/>
      <c r="AQ94" s="1010"/>
      <c r="AY94" s="1042"/>
      <c r="AZ94" s="675"/>
      <c r="BA94" s="675"/>
      <c r="BF94" s="1043"/>
      <c r="BG94" s="1043"/>
      <c r="BH94" s="675"/>
      <c r="BI94" s="675"/>
    </row>
    <row r="95" spans="2:62" ht="24" customHeight="1">
      <c r="B95" s="1621"/>
      <c r="C95" s="1645" t="s">
        <v>275</v>
      </c>
      <c r="D95" s="1646"/>
      <c r="E95" s="1646" t="s">
        <v>274</v>
      </c>
      <c r="F95" s="1646"/>
      <c r="G95" s="1646" t="s">
        <v>165</v>
      </c>
      <c r="H95" s="1646"/>
      <c r="I95" s="1618" t="s">
        <v>58</v>
      </c>
      <c r="J95" s="1647" t="s">
        <v>189</v>
      </c>
      <c r="K95" s="1638" t="s">
        <v>191</v>
      </c>
      <c r="L95" s="1620" t="s">
        <v>58</v>
      </c>
      <c r="M95" s="1640" t="s">
        <v>192</v>
      </c>
      <c r="N95" s="1638" t="s">
        <v>193</v>
      </c>
      <c r="O95" s="1636" t="s">
        <v>194</v>
      </c>
      <c r="P95" s="1634"/>
      <c r="Q95" s="1631"/>
      <c r="AP95" s="1010"/>
      <c r="AQ95" s="1010"/>
      <c r="AY95" s="1042"/>
      <c r="AZ95" s="675"/>
      <c r="BA95" s="675"/>
      <c r="BF95" s="1043"/>
      <c r="BG95" s="1043"/>
      <c r="BH95" s="675"/>
      <c r="BI95" s="675"/>
    </row>
    <row r="96" spans="2:62" ht="39" customHeight="1" thickBot="1">
      <c r="B96" s="1622"/>
      <c r="C96" s="1131" t="s">
        <v>195</v>
      </c>
      <c r="D96" s="1132" t="s">
        <v>273</v>
      </c>
      <c r="E96" s="1210" t="s">
        <v>351</v>
      </c>
      <c r="F96" s="1132" t="s">
        <v>169</v>
      </c>
      <c r="G96" s="1003" t="s">
        <v>196</v>
      </c>
      <c r="H96" s="1132" t="s">
        <v>169</v>
      </c>
      <c r="I96" s="1619"/>
      <c r="J96" s="1648"/>
      <c r="K96" s="1639"/>
      <c r="L96" s="1629"/>
      <c r="M96" s="1641"/>
      <c r="N96" s="1639"/>
      <c r="O96" s="1637"/>
      <c r="P96" s="1635"/>
      <c r="Q96" s="1632"/>
      <c r="AP96" s="1010"/>
      <c r="AQ96" s="1010"/>
      <c r="AY96" s="1042"/>
      <c r="AZ96" s="675"/>
      <c r="BA96" s="675"/>
      <c r="BF96" s="1043"/>
      <c r="BG96" s="1043"/>
      <c r="BH96" s="675"/>
      <c r="BI96" s="675"/>
    </row>
    <row r="97" spans="2:61" ht="12" thickTop="1" thickBot="1">
      <c r="B97" s="1026"/>
      <c r="C97" s="1026"/>
      <c r="D97" s="1026"/>
      <c r="E97" s="1211"/>
      <c r="F97" s="1026"/>
      <c r="G97" s="1026"/>
      <c r="H97" s="1026"/>
      <c r="I97" s="1026"/>
      <c r="J97" s="1026"/>
      <c r="K97" s="1026"/>
      <c r="L97" s="1026"/>
      <c r="M97" s="1046"/>
      <c r="N97" s="1046"/>
      <c r="O97" s="1046"/>
      <c r="P97" s="1047"/>
      <c r="Q97" s="1047"/>
      <c r="AP97" s="1010"/>
      <c r="AQ97" s="1010"/>
      <c r="AY97" s="1042"/>
      <c r="AZ97" s="675"/>
      <c r="BA97" s="675"/>
      <c r="BF97" s="1043"/>
      <c r="BG97" s="1043"/>
      <c r="BH97" s="675"/>
      <c r="BI97" s="675"/>
    </row>
    <row r="98" spans="2:61" ht="15.75" customHeight="1" thickTop="1">
      <c r="B98" s="1142">
        <f t="shared" ref="B98:B129" si="46">B22</f>
        <v>-3</v>
      </c>
      <c r="C98" s="1133">
        <f>AL22-AN22</f>
        <v>0</v>
      </c>
      <c r="D98" s="1134"/>
      <c r="E98" s="1212">
        <f>W22</f>
        <v>0</v>
      </c>
      <c r="F98" s="1134"/>
      <c r="G98" s="1114">
        <f t="shared" ref="G98:G129" si="47">Y22</f>
        <v>0</v>
      </c>
      <c r="H98" s="1134"/>
      <c r="I98" s="1145">
        <f t="shared" ref="I98:I129" si="48">C98+E98+G98</f>
        <v>0</v>
      </c>
      <c r="J98" s="1133">
        <f t="shared" ref="J98:J129" si="49">U22</f>
        <v>0</v>
      </c>
      <c r="K98" s="1114">
        <v>0</v>
      </c>
      <c r="L98" s="1145">
        <f t="shared" ref="L98:L129" si="50">J98+K98</f>
        <v>0</v>
      </c>
      <c r="M98" s="1146">
        <f>I98+L98</f>
        <v>0</v>
      </c>
      <c r="N98" s="1147">
        <v>0</v>
      </c>
      <c r="O98" s="1148">
        <f>M98+N98</f>
        <v>0</v>
      </c>
      <c r="P98" s="1155">
        <f>IF($O98&lt;0,$O98*-1,0)</f>
        <v>0</v>
      </c>
      <c r="Q98" s="1156">
        <f t="shared" ref="Q98:Q129" si="51">$P98*$G$14*1/12</f>
        <v>0</v>
      </c>
      <c r="AP98" s="1010"/>
      <c r="AQ98" s="1010"/>
      <c r="AY98" s="1042"/>
      <c r="AZ98" s="675"/>
      <c r="BA98" s="675"/>
      <c r="BF98" s="1043"/>
      <c r="BG98" s="1043"/>
      <c r="BH98" s="675"/>
      <c r="BI98" s="675"/>
    </row>
    <row r="99" spans="2:61" ht="15.75" customHeight="1">
      <c r="B99" s="1142">
        <f t="shared" si="46"/>
        <v>-2</v>
      </c>
      <c r="C99" s="1117">
        <f>AL23-AN23</f>
        <v>0</v>
      </c>
      <c r="D99" s="1135"/>
      <c r="E99" s="1213">
        <f>W23</f>
        <v>0</v>
      </c>
      <c r="F99" s="1135"/>
      <c r="G99" s="1083">
        <f t="shared" si="47"/>
        <v>0</v>
      </c>
      <c r="H99" s="1135"/>
      <c r="I99" s="1109">
        <f t="shared" si="48"/>
        <v>0</v>
      </c>
      <c r="J99" s="1117">
        <f t="shared" si="49"/>
        <v>0</v>
      </c>
      <c r="K99" s="1083">
        <f>Q98*-1</f>
        <v>0</v>
      </c>
      <c r="L99" s="1109">
        <f t="shared" si="50"/>
        <v>0</v>
      </c>
      <c r="M99" s="1149">
        <f>I99+L99</f>
        <v>0</v>
      </c>
      <c r="N99" s="1150">
        <f>O98</f>
        <v>0</v>
      </c>
      <c r="O99" s="1151">
        <f>M99+N99</f>
        <v>0</v>
      </c>
      <c r="P99" s="1157">
        <f t="shared" ref="P99:P129" si="52">IF($O99&lt;0,$O99*-1,0)</f>
        <v>0</v>
      </c>
      <c r="Q99" s="1158">
        <f t="shared" si="51"/>
        <v>0</v>
      </c>
      <c r="AP99" s="1010"/>
      <c r="AQ99" s="1010"/>
      <c r="AY99" s="1042"/>
      <c r="AZ99" s="675"/>
      <c r="BA99" s="675"/>
      <c r="BF99" s="1043"/>
      <c r="BG99" s="1043"/>
      <c r="BH99" s="675"/>
      <c r="BI99" s="675"/>
    </row>
    <row r="100" spans="2:61" ht="15.75" customHeight="1">
      <c r="B100" s="1142">
        <f t="shared" si="46"/>
        <v>-1</v>
      </c>
      <c r="C100" s="1117">
        <f>AL24-AN24</f>
        <v>0</v>
      </c>
      <c r="D100" s="1135"/>
      <c r="E100" s="1213">
        <f>W24</f>
        <v>0</v>
      </c>
      <c r="F100" s="1135"/>
      <c r="G100" s="1083">
        <f t="shared" si="47"/>
        <v>0</v>
      </c>
      <c r="H100" s="1135"/>
      <c r="I100" s="1109">
        <f t="shared" si="48"/>
        <v>0</v>
      </c>
      <c r="J100" s="1117">
        <f t="shared" si="49"/>
        <v>0</v>
      </c>
      <c r="K100" s="1083">
        <f>Q99*-1</f>
        <v>0</v>
      </c>
      <c r="L100" s="1109">
        <f t="shared" si="50"/>
        <v>0</v>
      </c>
      <c r="M100" s="1149">
        <f t="shared" ref="M100:M129" si="53">I100+L100</f>
        <v>0</v>
      </c>
      <c r="N100" s="1150">
        <f>O99</f>
        <v>0</v>
      </c>
      <c r="O100" s="1151">
        <f>M100+N100</f>
        <v>0</v>
      </c>
      <c r="P100" s="1157">
        <f t="shared" si="52"/>
        <v>0</v>
      </c>
      <c r="Q100" s="1158">
        <f t="shared" si="51"/>
        <v>0</v>
      </c>
      <c r="AP100" s="1010"/>
      <c r="AQ100" s="1010"/>
      <c r="AY100" s="1042"/>
      <c r="AZ100" s="675"/>
      <c r="BA100" s="675"/>
      <c r="BF100" s="1043"/>
      <c r="BG100" s="1043"/>
      <c r="BH100" s="675"/>
      <c r="BI100" s="675"/>
    </row>
    <row r="101" spans="2:61" ht="15.75" customHeight="1">
      <c r="B101" s="1143">
        <f t="shared" si="46"/>
        <v>0</v>
      </c>
      <c r="C101" s="1117">
        <f>AL25-AN25</f>
        <v>0</v>
      </c>
      <c r="D101" s="1135"/>
      <c r="E101" s="1213">
        <f>AB25+W25</f>
        <v>0</v>
      </c>
      <c r="F101" s="1135"/>
      <c r="G101" s="1083">
        <f t="shared" si="47"/>
        <v>0</v>
      </c>
      <c r="H101" s="1135"/>
      <c r="I101" s="1109">
        <f t="shared" si="48"/>
        <v>0</v>
      </c>
      <c r="J101" s="1117">
        <f t="shared" si="49"/>
        <v>-209047747.11656812</v>
      </c>
      <c r="K101" s="1083">
        <f t="shared" ref="K101:K164" si="54">Q100*-1</f>
        <v>0</v>
      </c>
      <c r="L101" s="1109">
        <f t="shared" si="50"/>
        <v>-209047747.11656812</v>
      </c>
      <c r="M101" s="1149">
        <f t="shared" si="53"/>
        <v>-209047747.11656812</v>
      </c>
      <c r="N101" s="1150">
        <f>O100</f>
        <v>0</v>
      </c>
      <c r="O101" s="1151">
        <f>M101+N101</f>
        <v>-209047747.11656812</v>
      </c>
      <c r="P101" s="1157">
        <f t="shared" si="52"/>
        <v>209047747.11656812</v>
      </c>
      <c r="Q101" s="1158">
        <f t="shared" si="51"/>
        <v>1477270.7462904146</v>
      </c>
      <c r="AP101" s="1010"/>
      <c r="AQ101" s="1010"/>
      <c r="AY101" s="1042"/>
      <c r="AZ101" s="675"/>
      <c r="BA101" s="675"/>
      <c r="BF101" s="1043"/>
      <c r="BG101" s="1043"/>
      <c r="BH101" s="675"/>
      <c r="BI101" s="675"/>
    </row>
    <row r="102" spans="2:61" ht="15.75" customHeight="1">
      <c r="B102" s="1143">
        <f t="shared" si="46"/>
        <v>1</v>
      </c>
      <c r="C102" s="1117">
        <f t="shared" ref="C102:C133" si="55">AL26+AN26</f>
        <v>4908835.3984737359</v>
      </c>
      <c r="D102" s="1135"/>
      <c r="E102" s="1213">
        <f t="shared" ref="E102:E165" si="56">AB26+W26</f>
        <v>0</v>
      </c>
      <c r="F102" s="1135"/>
      <c r="G102" s="1083">
        <f t="shared" si="47"/>
        <v>0</v>
      </c>
      <c r="H102" s="1135"/>
      <c r="I102" s="1109">
        <f t="shared" si="48"/>
        <v>4908835.3984737359</v>
      </c>
      <c r="J102" s="1117">
        <f t="shared" si="49"/>
        <v>-109218.75</v>
      </c>
      <c r="K102" s="1083">
        <f>Q101*-1</f>
        <v>-1477270.7462904146</v>
      </c>
      <c r="L102" s="1109">
        <f t="shared" si="50"/>
        <v>-1586489.4962904146</v>
      </c>
      <c r="M102" s="1149">
        <f t="shared" si="53"/>
        <v>3322345.9021833213</v>
      </c>
      <c r="N102" s="1150">
        <f>O101</f>
        <v>-209047747.11656812</v>
      </c>
      <c r="O102" s="1151">
        <f t="shared" ref="O102:O163" si="57">M102+N102</f>
        <v>-205725401.21438479</v>
      </c>
      <c r="P102" s="1157">
        <f t="shared" si="52"/>
        <v>205725401.21438479</v>
      </c>
      <c r="Q102" s="1158">
        <f t="shared" si="51"/>
        <v>1453792.8352483192</v>
      </c>
      <c r="AP102" s="1010"/>
      <c r="AQ102" s="1010"/>
      <c r="AY102" s="1042"/>
      <c r="AZ102" s="675"/>
      <c r="BA102" s="675"/>
      <c r="BF102" s="1043"/>
      <c r="BG102" s="1043"/>
      <c r="BH102" s="675"/>
      <c r="BI102" s="675"/>
    </row>
    <row r="103" spans="2:61" ht="15.75" customHeight="1">
      <c r="B103" s="1143">
        <f t="shared" si="46"/>
        <v>2</v>
      </c>
      <c r="C103" s="1117">
        <f t="shared" si="55"/>
        <v>4908835.3984737359</v>
      </c>
      <c r="D103" s="1135"/>
      <c r="E103" s="1213">
        <f t="shared" si="56"/>
        <v>0</v>
      </c>
      <c r="F103" s="1135"/>
      <c r="G103" s="1083">
        <f t="shared" si="47"/>
        <v>0</v>
      </c>
      <c r="H103" s="1135"/>
      <c r="I103" s="1109">
        <f t="shared" si="48"/>
        <v>4908835.3984737359</v>
      </c>
      <c r="J103" s="1117">
        <f t="shared" si="49"/>
        <v>-109218.75</v>
      </c>
      <c r="K103" s="1083">
        <f>Q102*-1</f>
        <v>-1453792.8352483192</v>
      </c>
      <c r="L103" s="1109">
        <f t="shared" si="50"/>
        <v>-1563011.5852483192</v>
      </c>
      <c r="M103" s="1149">
        <f t="shared" si="53"/>
        <v>3345823.8132254165</v>
      </c>
      <c r="N103" s="1150">
        <f>O102</f>
        <v>-205725401.21438479</v>
      </c>
      <c r="O103" s="1151">
        <f>M103+N103</f>
        <v>-202379577.40115938</v>
      </c>
      <c r="P103" s="1157">
        <f t="shared" si="52"/>
        <v>202379577.40115938</v>
      </c>
      <c r="Q103" s="1158">
        <f t="shared" si="51"/>
        <v>1430149.0136348596</v>
      </c>
      <c r="AP103" s="1010"/>
      <c r="AQ103" s="1010"/>
      <c r="AY103" s="1042"/>
      <c r="AZ103" s="675"/>
      <c r="BA103" s="675"/>
      <c r="BF103" s="1043"/>
      <c r="BG103" s="1043"/>
      <c r="BH103" s="675"/>
      <c r="BI103" s="675"/>
    </row>
    <row r="104" spans="2:61" ht="15.75" customHeight="1">
      <c r="B104" s="1143">
        <f t="shared" si="46"/>
        <v>3</v>
      </c>
      <c r="C104" s="1117">
        <f t="shared" si="55"/>
        <v>4908835.3984737359</v>
      </c>
      <c r="D104" s="1135"/>
      <c r="E104" s="1213">
        <f t="shared" si="56"/>
        <v>0</v>
      </c>
      <c r="F104" s="1135"/>
      <c r="G104" s="1083">
        <f t="shared" si="47"/>
        <v>0</v>
      </c>
      <c r="H104" s="1135"/>
      <c r="I104" s="1109">
        <f t="shared" si="48"/>
        <v>4908835.3984737359</v>
      </c>
      <c r="J104" s="1117">
        <f t="shared" si="49"/>
        <v>-109218.75</v>
      </c>
      <c r="K104" s="1083">
        <f t="shared" si="54"/>
        <v>-1430149.0136348596</v>
      </c>
      <c r="L104" s="1109">
        <f t="shared" si="50"/>
        <v>-1539367.7636348596</v>
      </c>
      <c r="M104" s="1149">
        <f t="shared" si="53"/>
        <v>3369467.6348388763</v>
      </c>
      <c r="N104" s="1150">
        <f t="shared" ref="N104:N163" si="58">O103</f>
        <v>-202379577.40115938</v>
      </c>
      <c r="O104" s="1151">
        <f t="shared" si="57"/>
        <v>-199010109.7663205</v>
      </c>
      <c r="P104" s="1157">
        <f t="shared" si="52"/>
        <v>199010109.7663205</v>
      </c>
      <c r="Q104" s="1158">
        <f t="shared" si="51"/>
        <v>1406338.1090153316</v>
      </c>
      <c r="AP104" s="1010"/>
      <c r="AQ104" s="1010"/>
      <c r="AY104" s="1042"/>
      <c r="AZ104" s="675"/>
      <c r="BA104" s="675"/>
      <c r="BF104" s="1043"/>
      <c r="BG104" s="1043"/>
      <c r="BH104" s="675"/>
      <c r="BI104" s="675"/>
    </row>
    <row r="105" spans="2:61" ht="15.75" customHeight="1">
      <c r="B105" s="1143">
        <f t="shared" si="46"/>
        <v>4</v>
      </c>
      <c r="C105" s="1117">
        <f t="shared" si="55"/>
        <v>4908835.3984737359</v>
      </c>
      <c r="D105" s="1135"/>
      <c r="E105" s="1213">
        <f t="shared" si="56"/>
        <v>0</v>
      </c>
      <c r="F105" s="1135"/>
      <c r="G105" s="1083">
        <f t="shared" si="47"/>
        <v>0</v>
      </c>
      <c r="H105" s="1135"/>
      <c r="I105" s="1109">
        <f t="shared" si="48"/>
        <v>4908835.3984737359</v>
      </c>
      <c r="J105" s="1117">
        <f t="shared" si="49"/>
        <v>-109218.75</v>
      </c>
      <c r="K105" s="1083">
        <f t="shared" si="54"/>
        <v>-1406338.1090153316</v>
      </c>
      <c r="L105" s="1109">
        <f t="shared" si="50"/>
        <v>-1515556.8590153316</v>
      </c>
      <c r="M105" s="1149">
        <f t="shared" si="53"/>
        <v>3393278.5394584043</v>
      </c>
      <c r="N105" s="1150">
        <f>O104</f>
        <v>-199010109.7663205</v>
      </c>
      <c r="O105" s="1151">
        <f t="shared" si="57"/>
        <v>-195616831.2268621</v>
      </c>
      <c r="P105" s="1157">
        <f t="shared" si="52"/>
        <v>195616831.2268621</v>
      </c>
      <c r="Q105" s="1158">
        <f t="shared" si="51"/>
        <v>1382358.9406698255</v>
      </c>
      <c r="AP105" s="1010"/>
      <c r="AQ105" s="1010"/>
      <c r="AY105" s="1042"/>
      <c r="AZ105" s="675"/>
      <c r="BA105" s="675"/>
      <c r="BF105" s="1043"/>
      <c r="BG105" s="1043"/>
      <c r="BH105" s="675"/>
      <c r="BI105" s="675"/>
    </row>
    <row r="106" spans="2:61" ht="15.75" customHeight="1">
      <c r="B106" s="1143">
        <f t="shared" si="46"/>
        <v>5</v>
      </c>
      <c r="C106" s="1117">
        <f t="shared" si="55"/>
        <v>4908835.3984737359</v>
      </c>
      <c r="D106" s="1135"/>
      <c r="E106" s="1213">
        <f t="shared" si="56"/>
        <v>0</v>
      </c>
      <c r="F106" s="1135"/>
      <c r="G106" s="1083">
        <f t="shared" si="47"/>
        <v>0</v>
      </c>
      <c r="H106" s="1135"/>
      <c r="I106" s="1109">
        <f t="shared" si="48"/>
        <v>4908835.3984737359</v>
      </c>
      <c r="J106" s="1117">
        <f t="shared" si="49"/>
        <v>-109218.75</v>
      </c>
      <c r="K106" s="1083">
        <f t="shared" si="54"/>
        <v>-1382358.9406698255</v>
      </c>
      <c r="L106" s="1109">
        <f t="shared" si="50"/>
        <v>-1491577.6906698255</v>
      </c>
      <c r="M106" s="1149">
        <f t="shared" si="53"/>
        <v>3417257.7078039106</v>
      </c>
      <c r="N106" s="1150">
        <f t="shared" si="58"/>
        <v>-195616831.2268621</v>
      </c>
      <c r="O106" s="1151">
        <f>M106+N106</f>
        <v>-192199573.5190582</v>
      </c>
      <c r="P106" s="1157">
        <f t="shared" si="52"/>
        <v>192199573.5190582</v>
      </c>
      <c r="Q106" s="1158">
        <f t="shared" si="51"/>
        <v>1358210.319534678</v>
      </c>
      <c r="AP106" s="1010"/>
      <c r="AQ106" s="1010"/>
      <c r="AY106" s="1042"/>
      <c r="AZ106" s="675"/>
      <c r="BA106" s="675"/>
      <c r="BF106" s="1043"/>
      <c r="BG106" s="1043"/>
      <c r="BH106" s="675"/>
      <c r="BI106" s="675"/>
    </row>
    <row r="107" spans="2:61" ht="15.75" customHeight="1">
      <c r="B107" s="1143">
        <f t="shared" si="46"/>
        <v>6</v>
      </c>
      <c r="C107" s="1117">
        <f t="shared" si="55"/>
        <v>4908835.3984737359</v>
      </c>
      <c r="D107" s="1135"/>
      <c r="E107" s="1213">
        <f t="shared" si="56"/>
        <v>0</v>
      </c>
      <c r="F107" s="1135"/>
      <c r="G107" s="1083">
        <f t="shared" si="47"/>
        <v>0</v>
      </c>
      <c r="H107" s="1135"/>
      <c r="I107" s="1109">
        <f t="shared" si="48"/>
        <v>4908835.3984737359</v>
      </c>
      <c r="J107" s="1117">
        <f t="shared" si="49"/>
        <v>-109218.75</v>
      </c>
      <c r="K107" s="1083">
        <f t="shared" si="54"/>
        <v>-1358210.319534678</v>
      </c>
      <c r="L107" s="1109">
        <f t="shared" si="50"/>
        <v>-1467429.069534678</v>
      </c>
      <c r="M107" s="1149">
        <f t="shared" si="53"/>
        <v>3441406.3289390579</v>
      </c>
      <c r="N107" s="1150">
        <f t="shared" si="58"/>
        <v>-192199573.5190582</v>
      </c>
      <c r="O107" s="1151">
        <f t="shared" si="57"/>
        <v>-188758167.19011915</v>
      </c>
      <c r="P107" s="1157">
        <f t="shared" si="52"/>
        <v>188758167.19011915</v>
      </c>
      <c r="Q107" s="1158">
        <f t="shared" si="51"/>
        <v>1333891.0481435086</v>
      </c>
      <c r="AP107" s="1010"/>
      <c r="AQ107" s="1010"/>
      <c r="AY107" s="1042"/>
      <c r="AZ107" s="675"/>
      <c r="BA107" s="675"/>
      <c r="BF107" s="1043"/>
      <c r="BG107" s="1043"/>
      <c r="BH107" s="675"/>
      <c r="BI107" s="675"/>
    </row>
    <row r="108" spans="2:61" ht="15.75" customHeight="1">
      <c r="B108" s="1143">
        <f t="shared" si="46"/>
        <v>7</v>
      </c>
      <c r="C108" s="1117">
        <f t="shared" si="55"/>
        <v>4908835.3984737359</v>
      </c>
      <c r="D108" s="1135"/>
      <c r="E108" s="1213">
        <f t="shared" si="56"/>
        <v>0</v>
      </c>
      <c r="F108" s="1135"/>
      <c r="G108" s="1083">
        <f t="shared" si="47"/>
        <v>0</v>
      </c>
      <c r="H108" s="1135"/>
      <c r="I108" s="1109">
        <f t="shared" si="48"/>
        <v>4908835.3984737359</v>
      </c>
      <c r="J108" s="1117">
        <f t="shared" si="49"/>
        <v>-109218.75</v>
      </c>
      <c r="K108" s="1083">
        <f t="shared" si="54"/>
        <v>-1333891.0481435086</v>
      </c>
      <c r="L108" s="1109">
        <f t="shared" si="50"/>
        <v>-1443109.7981435086</v>
      </c>
      <c r="M108" s="1149">
        <f t="shared" si="53"/>
        <v>3465725.6003302271</v>
      </c>
      <c r="N108" s="1150">
        <f t="shared" si="58"/>
        <v>-188758167.19011915</v>
      </c>
      <c r="O108" s="1151">
        <f t="shared" si="57"/>
        <v>-185292441.58978891</v>
      </c>
      <c r="P108" s="1157">
        <f t="shared" si="52"/>
        <v>185292441.58978891</v>
      </c>
      <c r="Q108" s="1158">
        <f t="shared" si="51"/>
        <v>1309399.9205678417</v>
      </c>
      <c r="AP108" s="1010"/>
      <c r="AQ108" s="1010"/>
      <c r="AY108" s="1042"/>
      <c r="AZ108" s="675"/>
      <c r="BA108" s="675"/>
      <c r="BF108" s="1043"/>
      <c r="BG108" s="1043"/>
      <c r="BH108" s="675"/>
      <c r="BI108" s="675"/>
    </row>
    <row r="109" spans="2:61" ht="15.75" customHeight="1">
      <c r="B109" s="1143">
        <f t="shared" si="46"/>
        <v>8</v>
      </c>
      <c r="C109" s="1117">
        <f t="shared" si="55"/>
        <v>4908835.3984737359</v>
      </c>
      <c r="D109" s="1135"/>
      <c r="E109" s="1213">
        <f t="shared" si="56"/>
        <v>0</v>
      </c>
      <c r="F109" s="1135"/>
      <c r="G109" s="1083">
        <f t="shared" si="47"/>
        <v>0</v>
      </c>
      <c r="H109" s="1135"/>
      <c r="I109" s="1109">
        <f t="shared" si="48"/>
        <v>4908835.3984737359</v>
      </c>
      <c r="J109" s="1117">
        <f t="shared" si="49"/>
        <v>-109218.75</v>
      </c>
      <c r="K109" s="1083">
        <f t="shared" si="54"/>
        <v>-1309399.9205678417</v>
      </c>
      <c r="L109" s="1109">
        <f t="shared" si="50"/>
        <v>-1418618.6705678417</v>
      </c>
      <c r="M109" s="1149">
        <f t="shared" si="53"/>
        <v>3490216.7279058942</v>
      </c>
      <c r="N109" s="1150">
        <f t="shared" si="58"/>
        <v>-185292441.58978891</v>
      </c>
      <c r="O109" s="1151">
        <f t="shared" si="57"/>
        <v>-181802224.86188301</v>
      </c>
      <c r="P109" s="1157">
        <f t="shared" si="52"/>
        <v>181802224.86188301</v>
      </c>
      <c r="Q109" s="1158">
        <f t="shared" si="51"/>
        <v>1284735.7223573066</v>
      </c>
      <c r="AP109" s="1010"/>
      <c r="AQ109" s="1010"/>
      <c r="AY109" s="1042"/>
      <c r="AZ109" s="675"/>
      <c r="BA109" s="675"/>
      <c r="BF109" s="1043"/>
      <c r="BG109" s="1043"/>
      <c r="BH109" s="675"/>
      <c r="BI109" s="675"/>
    </row>
    <row r="110" spans="2:61" ht="15.75" customHeight="1">
      <c r="B110" s="1143">
        <f t="shared" si="46"/>
        <v>9</v>
      </c>
      <c r="C110" s="1117">
        <f t="shared" si="55"/>
        <v>4908835.3984737359</v>
      </c>
      <c r="D110" s="1135"/>
      <c r="E110" s="1213">
        <f t="shared" si="56"/>
        <v>0</v>
      </c>
      <c r="F110" s="1135"/>
      <c r="G110" s="1083">
        <f t="shared" si="47"/>
        <v>0</v>
      </c>
      <c r="H110" s="1135"/>
      <c r="I110" s="1109">
        <f t="shared" si="48"/>
        <v>4908835.3984737359</v>
      </c>
      <c r="J110" s="1117">
        <f t="shared" si="49"/>
        <v>-109218.75</v>
      </c>
      <c r="K110" s="1083">
        <f t="shared" si="54"/>
        <v>-1284735.7223573066</v>
      </c>
      <c r="L110" s="1109">
        <f t="shared" si="50"/>
        <v>-1393954.4723573066</v>
      </c>
      <c r="M110" s="1149">
        <f t="shared" si="53"/>
        <v>3514880.9261164293</v>
      </c>
      <c r="N110" s="1150">
        <f t="shared" si="58"/>
        <v>-181802224.86188301</v>
      </c>
      <c r="O110" s="1151">
        <f t="shared" si="57"/>
        <v>-178287343.93576658</v>
      </c>
      <c r="P110" s="1157">
        <f t="shared" si="52"/>
        <v>178287343.93576658</v>
      </c>
      <c r="Q110" s="1158">
        <f t="shared" si="51"/>
        <v>1259897.2304794171</v>
      </c>
      <c r="AP110" s="1010"/>
      <c r="AQ110" s="1010"/>
      <c r="AY110" s="1042"/>
      <c r="AZ110" s="675"/>
      <c r="BA110" s="675"/>
      <c r="BF110" s="1043"/>
      <c r="BG110" s="1043"/>
      <c r="BH110" s="675"/>
      <c r="BI110" s="675"/>
    </row>
    <row r="111" spans="2:61" ht="15.75" customHeight="1">
      <c r="B111" s="1143">
        <f t="shared" si="46"/>
        <v>10</v>
      </c>
      <c r="C111" s="1117">
        <f t="shared" si="55"/>
        <v>4908835.3984737359</v>
      </c>
      <c r="D111" s="1135"/>
      <c r="E111" s="1213">
        <f t="shared" si="56"/>
        <v>0</v>
      </c>
      <c r="F111" s="1135"/>
      <c r="G111" s="1083">
        <f t="shared" si="47"/>
        <v>0</v>
      </c>
      <c r="H111" s="1135"/>
      <c r="I111" s="1109">
        <f t="shared" si="48"/>
        <v>4908835.3984737359</v>
      </c>
      <c r="J111" s="1117">
        <f t="shared" si="49"/>
        <v>-109218.75</v>
      </c>
      <c r="K111" s="1083">
        <f t="shared" si="54"/>
        <v>-1259897.2304794171</v>
      </c>
      <c r="L111" s="1109">
        <f t="shared" si="50"/>
        <v>-1369115.9804794171</v>
      </c>
      <c r="M111" s="1149">
        <f t="shared" si="53"/>
        <v>3539719.4179943185</v>
      </c>
      <c r="N111" s="1150">
        <f t="shared" si="58"/>
        <v>-178287343.93576658</v>
      </c>
      <c r="O111" s="1151">
        <f t="shared" si="57"/>
        <v>-174747624.51777226</v>
      </c>
      <c r="P111" s="1157">
        <f t="shared" si="52"/>
        <v>174747624.51777226</v>
      </c>
      <c r="Q111" s="1158">
        <f t="shared" si="51"/>
        <v>1234883.213258924</v>
      </c>
      <c r="AP111" s="1010"/>
      <c r="AQ111" s="1010"/>
      <c r="AY111" s="1042"/>
      <c r="AZ111" s="675"/>
      <c r="BA111" s="675"/>
      <c r="BF111" s="1043"/>
      <c r="BG111" s="1043"/>
      <c r="BH111" s="675"/>
      <c r="BI111" s="675"/>
    </row>
    <row r="112" spans="2:61" ht="15.75" customHeight="1">
      <c r="B112" s="1143">
        <f t="shared" si="46"/>
        <v>11</v>
      </c>
      <c r="C112" s="1117">
        <f t="shared" si="55"/>
        <v>4908835.3984737359</v>
      </c>
      <c r="D112" s="1135"/>
      <c r="E112" s="1213">
        <f t="shared" si="56"/>
        <v>0</v>
      </c>
      <c r="F112" s="1135"/>
      <c r="G112" s="1083">
        <f t="shared" si="47"/>
        <v>0</v>
      </c>
      <c r="H112" s="1135"/>
      <c r="I112" s="1109">
        <f t="shared" si="48"/>
        <v>4908835.3984737359</v>
      </c>
      <c r="J112" s="1117">
        <f t="shared" si="49"/>
        <v>-430468.75</v>
      </c>
      <c r="K112" s="1083">
        <f t="shared" si="54"/>
        <v>-1234883.213258924</v>
      </c>
      <c r="L112" s="1109">
        <f t="shared" si="50"/>
        <v>-1665351.963258924</v>
      </c>
      <c r="M112" s="1149">
        <f t="shared" si="53"/>
        <v>3243483.4352148119</v>
      </c>
      <c r="N112" s="1150">
        <f t="shared" si="58"/>
        <v>-174747624.51777226</v>
      </c>
      <c r="O112" s="1151">
        <f t="shared" si="57"/>
        <v>-171504141.08255744</v>
      </c>
      <c r="P112" s="1157">
        <f t="shared" si="52"/>
        <v>171504141.08255744</v>
      </c>
      <c r="Q112" s="1158">
        <f t="shared" si="51"/>
        <v>1211962.596983406</v>
      </c>
      <c r="AP112" s="1010"/>
      <c r="AQ112" s="1010"/>
      <c r="AY112" s="1042"/>
      <c r="AZ112" s="675"/>
      <c r="BA112" s="675"/>
      <c r="BF112" s="1043"/>
      <c r="BG112" s="1043"/>
      <c r="BH112" s="675"/>
      <c r="BI112" s="675"/>
    </row>
    <row r="113" spans="2:61" ht="15.75" customHeight="1">
      <c r="B113" s="1143">
        <f t="shared" si="46"/>
        <v>12</v>
      </c>
      <c r="C113" s="1117">
        <f t="shared" si="55"/>
        <v>4908835.3984737359</v>
      </c>
      <c r="D113" s="1135"/>
      <c r="E113" s="1213">
        <f t="shared" si="56"/>
        <v>0</v>
      </c>
      <c r="F113" s="1135"/>
      <c r="G113" s="1083">
        <f t="shared" si="47"/>
        <v>0</v>
      </c>
      <c r="H113" s="1135"/>
      <c r="I113" s="1109">
        <f t="shared" si="48"/>
        <v>4908835.3984737359</v>
      </c>
      <c r="J113" s="1117">
        <f t="shared" si="49"/>
        <v>-109218.75</v>
      </c>
      <c r="K113" s="1083">
        <f t="shared" si="54"/>
        <v>-1211962.596983406</v>
      </c>
      <c r="L113" s="1109">
        <f t="shared" si="50"/>
        <v>-1321181.346983406</v>
      </c>
      <c r="M113" s="1149">
        <f t="shared" si="53"/>
        <v>3587654.0514903301</v>
      </c>
      <c r="N113" s="1150">
        <f t="shared" si="58"/>
        <v>-171504141.08255744</v>
      </c>
      <c r="O113" s="1151">
        <f t="shared" si="57"/>
        <v>-167916487.0310671</v>
      </c>
      <c r="P113" s="1157">
        <f t="shared" si="52"/>
        <v>167916487.0310671</v>
      </c>
      <c r="Q113" s="1158">
        <f t="shared" si="51"/>
        <v>1186609.8416862076</v>
      </c>
      <c r="AP113" s="1010"/>
      <c r="AQ113" s="1010"/>
      <c r="AY113" s="1042"/>
      <c r="AZ113" s="675"/>
      <c r="BA113" s="675"/>
      <c r="BF113" s="1043"/>
      <c r="BG113" s="1043"/>
      <c r="BH113" s="675"/>
      <c r="BI113" s="675"/>
    </row>
    <row r="114" spans="2:61" ht="15.75" customHeight="1">
      <c r="B114" s="1143">
        <f t="shared" si="46"/>
        <v>13</v>
      </c>
      <c r="C114" s="1117">
        <f t="shared" si="55"/>
        <v>4908835.3984737359</v>
      </c>
      <c r="D114" s="1135"/>
      <c r="E114" s="1213">
        <f t="shared" si="56"/>
        <v>0</v>
      </c>
      <c r="F114" s="1135"/>
      <c r="G114" s="1083">
        <f t="shared" si="47"/>
        <v>0</v>
      </c>
      <c r="H114" s="1135"/>
      <c r="I114" s="1109">
        <f t="shared" si="48"/>
        <v>4908835.3984737359</v>
      </c>
      <c r="J114" s="1117">
        <f t="shared" si="49"/>
        <v>-109218.75</v>
      </c>
      <c r="K114" s="1083">
        <f t="shared" si="54"/>
        <v>-1186609.8416862076</v>
      </c>
      <c r="L114" s="1109">
        <f t="shared" si="50"/>
        <v>-1295828.5916862076</v>
      </c>
      <c r="M114" s="1149">
        <f t="shared" si="53"/>
        <v>3613006.8067875281</v>
      </c>
      <c r="N114" s="1150">
        <f t="shared" si="58"/>
        <v>-167916487.0310671</v>
      </c>
      <c r="O114" s="1151">
        <f t="shared" si="57"/>
        <v>-164303480.22427958</v>
      </c>
      <c r="P114" s="1157">
        <f t="shared" si="52"/>
        <v>164303480.22427958</v>
      </c>
      <c r="Q114" s="1158">
        <f t="shared" si="51"/>
        <v>1161077.9269182424</v>
      </c>
      <c r="AP114" s="1010"/>
      <c r="AQ114" s="1010"/>
      <c r="AY114" s="1042"/>
      <c r="AZ114" s="675"/>
      <c r="BA114" s="675"/>
      <c r="BF114" s="1043"/>
      <c r="BG114" s="1043"/>
      <c r="BH114" s="675"/>
      <c r="BI114" s="675"/>
    </row>
    <row r="115" spans="2:61" ht="15.75" customHeight="1">
      <c r="B115" s="1143">
        <f t="shared" si="46"/>
        <v>14</v>
      </c>
      <c r="C115" s="1117">
        <f t="shared" si="55"/>
        <v>4908835.3984737359</v>
      </c>
      <c r="D115" s="1135"/>
      <c r="E115" s="1213">
        <f t="shared" si="56"/>
        <v>0</v>
      </c>
      <c r="F115" s="1135"/>
      <c r="G115" s="1083">
        <f t="shared" si="47"/>
        <v>0</v>
      </c>
      <c r="H115" s="1135"/>
      <c r="I115" s="1109">
        <f t="shared" si="48"/>
        <v>4908835.3984737359</v>
      </c>
      <c r="J115" s="1117">
        <f t="shared" si="49"/>
        <v>-109218.75</v>
      </c>
      <c r="K115" s="1083">
        <f t="shared" si="54"/>
        <v>-1161077.9269182424</v>
      </c>
      <c r="L115" s="1109">
        <f t="shared" si="50"/>
        <v>-1270296.6769182424</v>
      </c>
      <c r="M115" s="1149">
        <f t="shared" si="53"/>
        <v>3638538.7215554938</v>
      </c>
      <c r="N115" s="1150">
        <f t="shared" si="58"/>
        <v>-164303480.22427958</v>
      </c>
      <c r="O115" s="1151">
        <f t="shared" si="57"/>
        <v>-160664941.50272408</v>
      </c>
      <c r="P115" s="1157">
        <f t="shared" si="52"/>
        <v>160664941.50272408</v>
      </c>
      <c r="Q115" s="1158">
        <f t="shared" si="51"/>
        <v>1135365.5866192502</v>
      </c>
      <c r="AP115" s="1010"/>
      <c r="AQ115" s="1010"/>
      <c r="AY115" s="1042"/>
      <c r="AZ115" s="675"/>
      <c r="BA115" s="675"/>
      <c r="BF115" s="1043"/>
      <c r="BG115" s="1043"/>
      <c r="BH115" s="675"/>
      <c r="BI115" s="675"/>
    </row>
    <row r="116" spans="2:61" ht="15.75" customHeight="1">
      <c r="B116" s="1143">
        <f t="shared" si="46"/>
        <v>15</v>
      </c>
      <c r="C116" s="1117">
        <f t="shared" si="55"/>
        <v>4908835.3984737359</v>
      </c>
      <c r="D116" s="1135"/>
      <c r="E116" s="1213">
        <f t="shared" si="56"/>
        <v>0</v>
      </c>
      <c r="F116" s="1135"/>
      <c r="G116" s="1083">
        <f t="shared" si="47"/>
        <v>0</v>
      </c>
      <c r="H116" s="1135"/>
      <c r="I116" s="1109">
        <f t="shared" si="48"/>
        <v>4908835.3984737359</v>
      </c>
      <c r="J116" s="1117">
        <f t="shared" si="49"/>
        <v>-109218.75</v>
      </c>
      <c r="K116" s="1083">
        <f t="shared" si="54"/>
        <v>-1135365.5866192502</v>
      </c>
      <c r="L116" s="1109">
        <f t="shared" si="50"/>
        <v>-1244584.3366192502</v>
      </c>
      <c r="M116" s="1149">
        <f t="shared" si="53"/>
        <v>3664251.0618544854</v>
      </c>
      <c r="N116" s="1150">
        <f t="shared" si="58"/>
        <v>-160664941.50272408</v>
      </c>
      <c r="O116" s="1151">
        <f t="shared" si="57"/>
        <v>-157000690.4408696</v>
      </c>
      <c r="P116" s="1157">
        <f t="shared" si="52"/>
        <v>157000690.4408696</v>
      </c>
      <c r="Q116" s="1158">
        <f t="shared" si="51"/>
        <v>1109471.5457821451</v>
      </c>
      <c r="AP116" s="1010"/>
      <c r="AQ116" s="1010"/>
      <c r="AY116" s="1042"/>
      <c r="AZ116" s="675"/>
      <c r="BA116" s="675"/>
      <c r="BF116" s="1043"/>
      <c r="BG116" s="1043"/>
      <c r="BH116" s="675"/>
      <c r="BI116" s="675"/>
    </row>
    <row r="117" spans="2:61" ht="15.75" customHeight="1">
      <c r="B117" s="1143">
        <f t="shared" si="46"/>
        <v>16</v>
      </c>
      <c r="C117" s="1117">
        <f t="shared" si="55"/>
        <v>4908835.3984737359</v>
      </c>
      <c r="D117" s="1135"/>
      <c r="E117" s="1213">
        <f t="shared" si="56"/>
        <v>0</v>
      </c>
      <c r="F117" s="1135"/>
      <c r="G117" s="1083">
        <f t="shared" si="47"/>
        <v>0</v>
      </c>
      <c r="H117" s="1135"/>
      <c r="I117" s="1109">
        <f t="shared" si="48"/>
        <v>4908835.3984737359</v>
      </c>
      <c r="J117" s="1117">
        <f t="shared" si="49"/>
        <v>-109218.75</v>
      </c>
      <c r="K117" s="1083">
        <f t="shared" si="54"/>
        <v>-1109471.5457821451</v>
      </c>
      <c r="L117" s="1109">
        <f t="shared" si="50"/>
        <v>-1218690.2957821451</v>
      </c>
      <c r="M117" s="1149">
        <f t="shared" si="53"/>
        <v>3690145.1026915908</v>
      </c>
      <c r="N117" s="1150">
        <f t="shared" si="58"/>
        <v>-157000690.4408696</v>
      </c>
      <c r="O117" s="1151">
        <f t="shared" si="57"/>
        <v>-153310545.33817801</v>
      </c>
      <c r="P117" s="1157">
        <f t="shared" si="52"/>
        <v>153310545.33817801</v>
      </c>
      <c r="Q117" s="1158">
        <f t="shared" si="51"/>
        <v>1083394.5203897913</v>
      </c>
      <c r="AP117" s="1010"/>
      <c r="AQ117" s="1010"/>
      <c r="AY117" s="1042"/>
      <c r="AZ117" s="675"/>
      <c r="BA117" s="675"/>
      <c r="BF117" s="1043"/>
      <c r="BG117" s="1043"/>
      <c r="BH117" s="675"/>
      <c r="BI117" s="675"/>
    </row>
    <row r="118" spans="2:61" ht="15.75" customHeight="1">
      <c r="B118" s="1143">
        <f t="shared" si="46"/>
        <v>17</v>
      </c>
      <c r="C118" s="1117">
        <f t="shared" si="55"/>
        <v>4908835.3984737359</v>
      </c>
      <c r="D118" s="1135"/>
      <c r="E118" s="1213">
        <f t="shared" si="56"/>
        <v>0</v>
      </c>
      <c r="F118" s="1135"/>
      <c r="G118" s="1083">
        <f t="shared" si="47"/>
        <v>0</v>
      </c>
      <c r="H118" s="1135"/>
      <c r="I118" s="1109">
        <f t="shared" si="48"/>
        <v>4908835.3984737359</v>
      </c>
      <c r="J118" s="1117">
        <f t="shared" si="49"/>
        <v>-109218.75</v>
      </c>
      <c r="K118" s="1083">
        <f t="shared" si="54"/>
        <v>-1083394.5203897913</v>
      </c>
      <c r="L118" s="1109">
        <f t="shared" si="50"/>
        <v>-1192613.2703897913</v>
      </c>
      <c r="M118" s="1149">
        <f t="shared" si="53"/>
        <v>3716222.1280839443</v>
      </c>
      <c r="N118" s="1150">
        <f t="shared" si="58"/>
        <v>-153310545.33817801</v>
      </c>
      <c r="O118" s="1151">
        <f t="shared" si="57"/>
        <v>-149594323.21009406</v>
      </c>
      <c r="P118" s="1157">
        <f t="shared" si="52"/>
        <v>149594323.21009406</v>
      </c>
      <c r="Q118" s="1158">
        <f t="shared" si="51"/>
        <v>1057133.2173513314</v>
      </c>
      <c r="AP118" s="1010"/>
      <c r="AQ118" s="1010"/>
      <c r="AY118" s="1042"/>
      <c r="AZ118" s="675"/>
      <c r="BA118" s="675"/>
      <c r="BF118" s="1043"/>
      <c r="BG118" s="1043"/>
      <c r="BH118" s="675"/>
      <c r="BI118" s="675"/>
    </row>
    <row r="119" spans="2:61" ht="15.75" customHeight="1">
      <c r="B119" s="1143">
        <f t="shared" si="46"/>
        <v>18</v>
      </c>
      <c r="C119" s="1117">
        <f t="shared" si="55"/>
        <v>4908835.3984737359</v>
      </c>
      <c r="D119" s="1135"/>
      <c r="E119" s="1213">
        <f t="shared" si="56"/>
        <v>0</v>
      </c>
      <c r="F119" s="1135"/>
      <c r="G119" s="1083">
        <f t="shared" si="47"/>
        <v>0</v>
      </c>
      <c r="H119" s="1135"/>
      <c r="I119" s="1109">
        <f t="shared" si="48"/>
        <v>4908835.3984737359</v>
      </c>
      <c r="J119" s="1117">
        <f t="shared" si="49"/>
        <v>-109218.75</v>
      </c>
      <c r="K119" s="1083">
        <f t="shared" si="54"/>
        <v>-1057133.2173513314</v>
      </c>
      <c r="L119" s="1109">
        <f t="shared" si="50"/>
        <v>-1166351.9673513314</v>
      </c>
      <c r="M119" s="1149">
        <f t="shared" si="53"/>
        <v>3742483.4311224045</v>
      </c>
      <c r="N119" s="1150">
        <f t="shared" si="58"/>
        <v>-149594323.21009406</v>
      </c>
      <c r="O119" s="1151">
        <f t="shared" si="57"/>
        <v>-145851839.77897167</v>
      </c>
      <c r="P119" s="1157">
        <f t="shared" si="52"/>
        <v>145851839.77897167</v>
      </c>
      <c r="Q119" s="1158">
        <f t="shared" si="51"/>
        <v>1030686.3344380665</v>
      </c>
      <c r="AP119" s="1010"/>
      <c r="AQ119" s="1010"/>
      <c r="AY119" s="1042"/>
      <c r="AZ119" s="675"/>
      <c r="BA119" s="675"/>
      <c r="BF119" s="1043"/>
      <c r="BG119" s="1043"/>
      <c r="BH119" s="675"/>
      <c r="BI119" s="675"/>
    </row>
    <row r="120" spans="2:61" ht="15.75" customHeight="1">
      <c r="B120" s="1143">
        <f t="shared" si="46"/>
        <v>19</v>
      </c>
      <c r="C120" s="1117">
        <f t="shared" si="55"/>
        <v>4908835.3984737359</v>
      </c>
      <c r="D120" s="1135"/>
      <c r="E120" s="1213">
        <f t="shared" si="56"/>
        <v>0</v>
      </c>
      <c r="F120" s="1135"/>
      <c r="G120" s="1083">
        <f t="shared" si="47"/>
        <v>0</v>
      </c>
      <c r="H120" s="1135"/>
      <c r="I120" s="1109">
        <f t="shared" si="48"/>
        <v>4908835.3984737359</v>
      </c>
      <c r="J120" s="1117">
        <f t="shared" si="49"/>
        <v>-109218.75</v>
      </c>
      <c r="K120" s="1083">
        <f t="shared" si="54"/>
        <v>-1030686.3344380665</v>
      </c>
      <c r="L120" s="1109">
        <f t="shared" si="50"/>
        <v>-1139905.0844380665</v>
      </c>
      <c r="M120" s="1149">
        <f t="shared" si="53"/>
        <v>3768930.3140356694</v>
      </c>
      <c r="N120" s="1150">
        <f t="shared" si="58"/>
        <v>-145851839.77897167</v>
      </c>
      <c r="O120" s="1151">
        <f t="shared" si="57"/>
        <v>-142082909.46493599</v>
      </c>
      <c r="P120" s="1157">
        <f t="shared" si="52"/>
        <v>142082909.46493599</v>
      </c>
      <c r="Q120" s="1158">
        <f t="shared" si="51"/>
        <v>1004052.560218881</v>
      </c>
      <c r="AP120" s="1010"/>
      <c r="AQ120" s="1010"/>
      <c r="AY120" s="1042"/>
      <c r="AZ120" s="675"/>
      <c r="BA120" s="675"/>
      <c r="BF120" s="1043"/>
      <c r="BG120" s="1043"/>
      <c r="BH120" s="675"/>
      <c r="BI120" s="675"/>
    </row>
    <row r="121" spans="2:61" ht="15.75" customHeight="1">
      <c r="B121" s="1143">
        <f t="shared" si="46"/>
        <v>20</v>
      </c>
      <c r="C121" s="1117">
        <f t="shared" si="55"/>
        <v>4908835.3984737359</v>
      </c>
      <c r="D121" s="1135"/>
      <c r="E121" s="1213">
        <f t="shared" si="56"/>
        <v>0</v>
      </c>
      <c r="F121" s="1135"/>
      <c r="G121" s="1083">
        <f t="shared" si="47"/>
        <v>0</v>
      </c>
      <c r="H121" s="1135"/>
      <c r="I121" s="1109">
        <f t="shared" si="48"/>
        <v>4908835.3984737359</v>
      </c>
      <c r="J121" s="1117">
        <f t="shared" si="49"/>
        <v>-109218.75</v>
      </c>
      <c r="K121" s="1083">
        <f t="shared" si="54"/>
        <v>-1004052.560218881</v>
      </c>
      <c r="L121" s="1109">
        <f t="shared" si="50"/>
        <v>-1113271.3102188809</v>
      </c>
      <c r="M121" s="1149">
        <f t="shared" si="53"/>
        <v>3795564.088254855</v>
      </c>
      <c r="N121" s="1150">
        <f t="shared" si="58"/>
        <v>-142082909.46493599</v>
      </c>
      <c r="O121" s="1151">
        <f t="shared" si="57"/>
        <v>-138287345.37668112</v>
      </c>
      <c r="P121" s="1157">
        <f t="shared" si="52"/>
        <v>138287345.37668112</v>
      </c>
      <c r="Q121" s="1158">
        <f t="shared" si="51"/>
        <v>977230.57399521314</v>
      </c>
      <c r="AP121" s="1010"/>
      <c r="AQ121" s="1010"/>
      <c r="AY121" s="1042"/>
      <c r="AZ121" s="675"/>
      <c r="BA121" s="675"/>
      <c r="BF121" s="1043"/>
      <c r="BG121" s="1043"/>
      <c r="BH121" s="675"/>
      <c r="BI121" s="675"/>
    </row>
    <row r="122" spans="2:61" ht="15.75" customHeight="1">
      <c r="B122" s="1143">
        <f t="shared" si="46"/>
        <v>21</v>
      </c>
      <c r="C122" s="1117">
        <f t="shared" si="55"/>
        <v>4908835.3984737359</v>
      </c>
      <c r="D122" s="1135"/>
      <c r="E122" s="1213">
        <f t="shared" si="56"/>
        <v>0</v>
      </c>
      <c r="F122" s="1135"/>
      <c r="G122" s="1083">
        <f t="shared" si="47"/>
        <v>0</v>
      </c>
      <c r="H122" s="1135"/>
      <c r="I122" s="1109">
        <f t="shared" si="48"/>
        <v>4908835.3984737359</v>
      </c>
      <c r="J122" s="1117">
        <f t="shared" si="49"/>
        <v>-109218.75</v>
      </c>
      <c r="K122" s="1083">
        <f t="shared" si="54"/>
        <v>-977230.57399521314</v>
      </c>
      <c r="L122" s="1109">
        <f t="shared" si="50"/>
        <v>-1086449.323995213</v>
      </c>
      <c r="M122" s="1149">
        <f t="shared" si="53"/>
        <v>3822386.0744785229</v>
      </c>
      <c r="N122" s="1150">
        <f t="shared" si="58"/>
        <v>-138287345.37668112</v>
      </c>
      <c r="O122" s="1151">
        <f t="shared" si="57"/>
        <v>-134464959.30220258</v>
      </c>
      <c r="P122" s="1157">
        <f t="shared" si="52"/>
        <v>134464959.30220258</v>
      </c>
      <c r="Q122" s="1158">
        <f t="shared" si="51"/>
        <v>950219.0457355649</v>
      </c>
      <c r="AP122" s="1010"/>
      <c r="AQ122" s="1010"/>
      <c r="AY122" s="1042"/>
      <c r="AZ122" s="675"/>
      <c r="BA122" s="675"/>
      <c r="BF122" s="1043"/>
      <c r="BG122" s="1043"/>
      <c r="BH122" s="675"/>
      <c r="BI122" s="675"/>
    </row>
    <row r="123" spans="2:61" ht="15.75" customHeight="1">
      <c r="B123" s="1143">
        <f t="shared" si="46"/>
        <v>22</v>
      </c>
      <c r="C123" s="1117">
        <f t="shared" si="55"/>
        <v>4908835.3984737359</v>
      </c>
      <c r="D123" s="1135"/>
      <c r="E123" s="1213">
        <f t="shared" si="56"/>
        <v>0</v>
      </c>
      <c r="F123" s="1135"/>
      <c r="G123" s="1083">
        <f t="shared" si="47"/>
        <v>0</v>
      </c>
      <c r="H123" s="1135"/>
      <c r="I123" s="1109">
        <f t="shared" si="48"/>
        <v>4908835.3984737359</v>
      </c>
      <c r="J123" s="1117">
        <f t="shared" si="49"/>
        <v>-109218.75</v>
      </c>
      <c r="K123" s="1083">
        <f t="shared" si="54"/>
        <v>-950219.0457355649</v>
      </c>
      <c r="L123" s="1109">
        <f t="shared" si="50"/>
        <v>-1059437.795735565</v>
      </c>
      <c r="M123" s="1149">
        <f t="shared" si="53"/>
        <v>3849397.6027381709</v>
      </c>
      <c r="N123" s="1150">
        <f t="shared" si="58"/>
        <v>-134464959.30220258</v>
      </c>
      <c r="O123" s="1151">
        <f t="shared" si="57"/>
        <v>-130615561.69946441</v>
      </c>
      <c r="P123" s="1157">
        <f t="shared" si="52"/>
        <v>130615561.69946441</v>
      </c>
      <c r="Q123" s="1158">
        <f t="shared" si="51"/>
        <v>923016.63600954844</v>
      </c>
      <c r="AP123" s="1010"/>
      <c r="AQ123" s="1010"/>
      <c r="AY123" s="1042"/>
      <c r="AZ123" s="675"/>
      <c r="BA123" s="675"/>
      <c r="BF123" s="1043"/>
      <c r="BG123" s="1043"/>
      <c r="BH123" s="675"/>
      <c r="BI123" s="675"/>
    </row>
    <row r="124" spans="2:61" ht="15.75" customHeight="1">
      <c r="B124" s="1143">
        <f t="shared" si="46"/>
        <v>23</v>
      </c>
      <c r="C124" s="1117">
        <f t="shared" si="55"/>
        <v>4908835.3984737359</v>
      </c>
      <c r="D124" s="1135"/>
      <c r="E124" s="1213">
        <f t="shared" si="56"/>
        <v>0</v>
      </c>
      <c r="F124" s="1135"/>
      <c r="G124" s="1083">
        <f t="shared" si="47"/>
        <v>0</v>
      </c>
      <c r="H124" s="1135"/>
      <c r="I124" s="1109">
        <f t="shared" si="48"/>
        <v>4908835.3984737359</v>
      </c>
      <c r="J124" s="1117">
        <f t="shared" si="49"/>
        <v>-430468.75</v>
      </c>
      <c r="K124" s="1083">
        <f t="shared" si="54"/>
        <v>-923016.63600954844</v>
      </c>
      <c r="L124" s="1109">
        <f t="shared" si="50"/>
        <v>-1353485.3860095483</v>
      </c>
      <c r="M124" s="1149">
        <f t="shared" si="53"/>
        <v>3555350.0124641876</v>
      </c>
      <c r="N124" s="1150">
        <f t="shared" si="58"/>
        <v>-130615561.69946441</v>
      </c>
      <c r="O124" s="1151">
        <f t="shared" si="57"/>
        <v>-127060211.68700023</v>
      </c>
      <c r="P124" s="1157">
        <f t="shared" si="52"/>
        <v>127060211.68700023</v>
      </c>
      <c r="Q124" s="1158">
        <f t="shared" si="51"/>
        <v>897892.16258813499</v>
      </c>
      <c r="AP124" s="1010"/>
      <c r="AQ124" s="1010"/>
      <c r="AY124" s="1042"/>
      <c r="AZ124" s="675"/>
      <c r="BA124" s="675"/>
      <c r="BF124" s="1043"/>
      <c r="BG124" s="1043"/>
      <c r="BH124" s="675"/>
      <c r="BI124" s="675"/>
    </row>
    <row r="125" spans="2:61" ht="15.75" customHeight="1">
      <c r="B125" s="1143">
        <f t="shared" si="46"/>
        <v>24</v>
      </c>
      <c r="C125" s="1117">
        <f t="shared" si="55"/>
        <v>4908835.3984737359</v>
      </c>
      <c r="D125" s="1135"/>
      <c r="E125" s="1213">
        <f t="shared" si="56"/>
        <v>0</v>
      </c>
      <c r="F125" s="1135"/>
      <c r="G125" s="1083">
        <f t="shared" si="47"/>
        <v>0</v>
      </c>
      <c r="H125" s="1135"/>
      <c r="I125" s="1109">
        <f t="shared" si="48"/>
        <v>4908835.3984737359</v>
      </c>
      <c r="J125" s="1117">
        <f t="shared" si="49"/>
        <v>-109218.75</v>
      </c>
      <c r="K125" s="1083">
        <f t="shared" si="54"/>
        <v>-897892.16258813499</v>
      </c>
      <c r="L125" s="1109">
        <f t="shared" si="50"/>
        <v>-1007110.912588135</v>
      </c>
      <c r="M125" s="1149">
        <f t="shared" si="53"/>
        <v>3901724.485885601</v>
      </c>
      <c r="N125" s="1150">
        <f t="shared" si="58"/>
        <v>-127060211.68700023</v>
      </c>
      <c r="O125" s="1151">
        <f t="shared" si="57"/>
        <v>-123158487.20111462</v>
      </c>
      <c r="P125" s="1157">
        <f t="shared" si="52"/>
        <v>123158487.20111462</v>
      </c>
      <c r="Q125" s="1158">
        <f t="shared" si="51"/>
        <v>870319.97622120997</v>
      </c>
      <c r="AP125" s="1010"/>
      <c r="AQ125" s="1010"/>
      <c r="AY125" s="1042"/>
      <c r="AZ125" s="675"/>
      <c r="BA125" s="675"/>
      <c r="BF125" s="1043"/>
      <c r="BG125" s="1043"/>
      <c r="BH125" s="675"/>
      <c r="BI125" s="675"/>
    </row>
    <row r="126" spans="2:61" ht="15.75" customHeight="1">
      <c r="B126" s="1143">
        <f t="shared" si="46"/>
        <v>25</v>
      </c>
      <c r="C126" s="1117">
        <f t="shared" si="55"/>
        <v>4908835.3984737359</v>
      </c>
      <c r="D126" s="1135"/>
      <c r="E126" s="1213">
        <f t="shared" si="56"/>
        <v>0</v>
      </c>
      <c r="F126" s="1135"/>
      <c r="G126" s="1083">
        <f t="shared" si="47"/>
        <v>0</v>
      </c>
      <c r="H126" s="1135"/>
      <c r="I126" s="1109">
        <f t="shared" si="48"/>
        <v>4908835.3984737359</v>
      </c>
      <c r="J126" s="1117">
        <f t="shared" si="49"/>
        <v>-109218.75</v>
      </c>
      <c r="K126" s="1083">
        <f t="shared" si="54"/>
        <v>-870319.97622120997</v>
      </c>
      <c r="L126" s="1109">
        <f t="shared" si="50"/>
        <v>-979538.72622120997</v>
      </c>
      <c r="M126" s="1149">
        <f t="shared" si="53"/>
        <v>3929296.672252526</v>
      </c>
      <c r="N126" s="1150">
        <f t="shared" si="58"/>
        <v>-123158487.20111462</v>
      </c>
      <c r="O126" s="1151">
        <f t="shared" si="57"/>
        <v>-119229190.5288621</v>
      </c>
      <c r="P126" s="1157">
        <f t="shared" si="52"/>
        <v>119229190.5288621</v>
      </c>
      <c r="Q126" s="1158">
        <f t="shared" si="51"/>
        <v>842552.94640395883</v>
      </c>
      <c r="AP126" s="1010"/>
      <c r="AQ126" s="1010"/>
      <c r="AY126" s="1042"/>
      <c r="AZ126" s="675"/>
      <c r="BA126" s="675"/>
      <c r="BF126" s="1043"/>
      <c r="BG126" s="1043"/>
      <c r="BH126" s="675"/>
      <c r="BI126" s="675"/>
    </row>
    <row r="127" spans="2:61" ht="15.75" customHeight="1">
      <c r="B127" s="1143">
        <f t="shared" si="46"/>
        <v>26</v>
      </c>
      <c r="C127" s="1117">
        <f t="shared" si="55"/>
        <v>4908835.3984737359</v>
      </c>
      <c r="D127" s="1135"/>
      <c r="E127" s="1213">
        <f t="shared" si="56"/>
        <v>0</v>
      </c>
      <c r="F127" s="1135"/>
      <c r="G127" s="1083">
        <f t="shared" si="47"/>
        <v>0</v>
      </c>
      <c r="H127" s="1135"/>
      <c r="I127" s="1109">
        <f t="shared" si="48"/>
        <v>4908835.3984737359</v>
      </c>
      <c r="J127" s="1117">
        <f t="shared" si="49"/>
        <v>-109218.75</v>
      </c>
      <c r="K127" s="1083">
        <f t="shared" si="54"/>
        <v>-842552.94640395883</v>
      </c>
      <c r="L127" s="1109">
        <f t="shared" si="50"/>
        <v>-951771.69640395883</v>
      </c>
      <c r="M127" s="1149">
        <f t="shared" si="53"/>
        <v>3957063.7020697771</v>
      </c>
      <c r="N127" s="1150">
        <f t="shared" si="58"/>
        <v>-119229190.5288621</v>
      </c>
      <c r="O127" s="1151">
        <f t="shared" si="57"/>
        <v>-115272126.82679233</v>
      </c>
      <c r="P127" s="1157">
        <f t="shared" si="52"/>
        <v>115272126.82679233</v>
      </c>
      <c r="Q127" s="1158">
        <f t="shared" si="51"/>
        <v>814589.69624266587</v>
      </c>
      <c r="AP127" s="1010"/>
      <c r="AQ127" s="1010"/>
      <c r="AY127" s="1042"/>
      <c r="AZ127" s="675"/>
      <c r="BA127" s="675"/>
      <c r="BF127" s="1043"/>
      <c r="BG127" s="1043"/>
      <c r="BH127" s="675"/>
      <c r="BI127" s="675"/>
    </row>
    <row r="128" spans="2:61" ht="15.75" customHeight="1">
      <c r="B128" s="1143">
        <f t="shared" si="46"/>
        <v>27</v>
      </c>
      <c r="C128" s="1117">
        <f t="shared" si="55"/>
        <v>4908835.3984737359</v>
      </c>
      <c r="D128" s="1135"/>
      <c r="E128" s="1213">
        <f t="shared" si="56"/>
        <v>0</v>
      </c>
      <c r="F128" s="1135"/>
      <c r="G128" s="1083">
        <f t="shared" si="47"/>
        <v>0</v>
      </c>
      <c r="H128" s="1135"/>
      <c r="I128" s="1109">
        <f t="shared" si="48"/>
        <v>4908835.3984737359</v>
      </c>
      <c r="J128" s="1117">
        <f t="shared" si="49"/>
        <v>-109218.75</v>
      </c>
      <c r="K128" s="1083">
        <f t="shared" si="54"/>
        <v>-814589.69624266587</v>
      </c>
      <c r="L128" s="1109">
        <f t="shared" si="50"/>
        <v>-923808.44624266587</v>
      </c>
      <c r="M128" s="1149">
        <f t="shared" si="53"/>
        <v>3985026.95223107</v>
      </c>
      <c r="N128" s="1150">
        <f t="shared" si="58"/>
        <v>-115272126.82679233</v>
      </c>
      <c r="O128" s="1151">
        <f t="shared" si="57"/>
        <v>-111287099.87456127</v>
      </c>
      <c r="P128" s="1157">
        <f t="shared" si="52"/>
        <v>111287099.87456127</v>
      </c>
      <c r="Q128" s="1158">
        <f t="shared" si="51"/>
        <v>786428.83911356621</v>
      </c>
      <c r="AP128" s="1010"/>
      <c r="AQ128" s="1010"/>
      <c r="AY128" s="1042"/>
      <c r="AZ128" s="675"/>
      <c r="BA128" s="675"/>
      <c r="BF128" s="1043"/>
      <c r="BG128" s="1043"/>
      <c r="BH128" s="675"/>
      <c r="BI128" s="675"/>
    </row>
    <row r="129" spans="2:61" ht="15.75" customHeight="1">
      <c r="B129" s="1143">
        <f t="shared" si="46"/>
        <v>28</v>
      </c>
      <c r="C129" s="1117">
        <f t="shared" si="55"/>
        <v>4908835.3984737359</v>
      </c>
      <c r="D129" s="1135"/>
      <c r="E129" s="1213">
        <f t="shared" si="56"/>
        <v>0</v>
      </c>
      <c r="F129" s="1135"/>
      <c r="G129" s="1083">
        <f t="shared" si="47"/>
        <v>0</v>
      </c>
      <c r="H129" s="1135"/>
      <c r="I129" s="1109">
        <f t="shared" si="48"/>
        <v>4908835.3984737359</v>
      </c>
      <c r="J129" s="1117">
        <f t="shared" si="49"/>
        <v>-109218.75</v>
      </c>
      <c r="K129" s="1083">
        <f t="shared" si="54"/>
        <v>-786428.83911356621</v>
      </c>
      <c r="L129" s="1109">
        <f t="shared" si="50"/>
        <v>-895647.58911356621</v>
      </c>
      <c r="M129" s="1149">
        <f t="shared" si="53"/>
        <v>4013187.8093601698</v>
      </c>
      <c r="N129" s="1150">
        <f t="shared" si="58"/>
        <v>-111287099.87456127</v>
      </c>
      <c r="O129" s="1151">
        <f t="shared" si="57"/>
        <v>-107273912.06520109</v>
      </c>
      <c r="P129" s="1157">
        <f t="shared" si="52"/>
        <v>107273912.06520109</v>
      </c>
      <c r="Q129" s="1158">
        <f t="shared" si="51"/>
        <v>758068.97859408765</v>
      </c>
      <c r="AP129" s="1010"/>
      <c r="AQ129" s="1010"/>
      <c r="AY129" s="1042"/>
      <c r="AZ129" s="675"/>
      <c r="BA129" s="675"/>
      <c r="BF129" s="1043"/>
      <c r="BG129" s="1043"/>
      <c r="BH129" s="675"/>
      <c r="BI129" s="675"/>
    </row>
    <row r="130" spans="2:61" ht="15.75" customHeight="1">
      <c r="B130" s="1143">
        <f t="shared" ref="B130:B161" si="59">B54</f>
        <v>29</v>
      </c>
      <c r="C130" s="1117">
        <f t="shared" si="55"/>
        <v>4908835.3984737359</v>
      </c>
      <c r="D130" s="1135"/>
      <c r="E130" s="1213">
        <f t="shared" si="56"/>
        <v>0</v>
      </c>
      <c r="F130" s="1135"/>
      <c r="G130" s="1083">
        <f t="shared" ref="G130:G161" si="60">Y54</f>
        <v>0</v>
      </c>
      <c r="H130" s="1135"/>
      <c r="I130" s="1109">
        <f t="shared" ref="I130:I166" si="61">C130+E130+G130</f>
        <v>4908835.3984737359</v>
      </c>
      <c r="J130" s="1117">
        <f t="shared" ref="J130:J161" si="62">U54</f>
        <v>-109218.75</v>
      </c>
      <c r="K130" s="1083">
        <f t="shared" si="54"/>
        <v>-758068.97859408765</v>
      </c>
      <c r="L130" s="1109">
        <f t="shared" ref="L130:L161" si="63">J130+K130</f>
        <v>-867287.72859408765</v>
      </c>
      <c r="M130" s="1149">
        <f t="shared" ref="M130:M161" si="64">I130+L130</f>
        <v>4041547.6698796484</v>
      </c>
      <c r="N130" s="1150">
        <f t="shared" si="58"/>
        <v>-107273912.06520109</v>
      </c>
      <c r="O130" s="1151">
        <f t="shared" si="57"/>
        <v>-103232364.39532144</v>
      </c>
      <c r="P130" s="1157">
        <f t="shared" ref="P130:P166" si="65">IF($O130&lt;0,$O130*-1,0)</f>
        <v>103232364.39532144</v>
      </c>
      <c r="Q130" s="1158">
        <f t="shared" ref="Q130:Q161" si="66">$P130*$G$14*1/12</f>
        <v>729508.70839360484</v>
      </c>
      <c r="AP130" s="1010"/>
      <c r="AQ130" s="1010"/>
      <c r="AY130" s="1042"/>
      <c r="AZ130" s="675"/>
      <c r="BA130" s="675"/>
      <c r="BF130" s="1043"/>
      <c r="BG130" s="1043"/>
      <c r="BH130" s="675"/>
      <c r="BI130" s="675"/>
    </row>
    <row r="131" spans="2:61" ht="15.75" customHeight="1">
      <c r="B131" s="1143">
        <f t="shared" si="59"/>
        <v>30</v>
      </c>
      <c r="C131" s="1117">
        <f t="shared" si="55"/>
        <v>4908835.3984737359</v>
      </c>
      <c r="D131" s="1135"/>
      <c r="E131" s="1213">
        <f t="shared" si="56"/>
        <v>0</v>
      </c>
      <c r="F131" s="1135"/>
      <c r="G131" s="1083">
        <f t="shared" si="60"/>
        <v>0</v>
      </c>
      <c r="H131" s="1135"/>
      <c r="I131" s="1109">
        <f t="shared" si="61"/>
        <v>4908835.3984737359</v>
      </c>
      <c r="J131" s="1117">
        <f t="shared" si="62"/>
        <v>-109218.75</v>
      </c>
      <c r="K131" s="1083">
        <f t="shared" si="54"/>
        <v>-729508.70839360484</v>
      </c>
      <c r="L131" s="1109">
        <f t="shared" si="63"/>
        <v>-838727.45839360484</v>
      </c>
      <c r="M131" s="1149">
        <f t="shared" si="64"/>
        <v>4070107.9400801309</v>
      </c>
      <c r="N131" s="1150">
        <f t="shared" si="58"/>
        <v>-103232364.39532144</v>
      </c>
      <c r="O131" s="1151">
        <f t="shared" si="57"/>
        <v>-99162256.455241308</v>
      </c>
      <c r="P131" s="1157">
        <f t="shared" si="65"/>
        <v>99162256.455241308</v>
      </c>
      <c r="Q131" s="1158">
        <f t="shared" si="66"/>
        <v>700746.61228370527</v>
      </c>
      <c r="AP131" s="1010"/>
      <c r="AQ131" s="1010"/>
      <c r="AY131" s="1042"/>
      <c r="AZ131" s="675"/>
      <c r="BA131" s="675"/>
      <c r="BF131" s="1043"/>
      <c r="BG131" s="1043"/>
      <c r="BH131" s="675"/>
      <c r="BI131" s="675"/>
    </row>
    <row r="132" spans="2:61" ht="15.75" customHeight="1">
      <c r="B132" s="1143">
        <f t="shared" si="59"/>
        <v>31</v>
      </c>
      <c r="C132" s="1117">
        <f t="shared" si="55"/>
        <v>4908835.3984737359</v>
      </c>
      <c r="D132" s="1135"/>
      <c r="E132" s="1213">
        <f t="shared" si="56"/>
        <v>0</v>
      </c>
      <c r="F132" s="1135"/>
      <c r="G132" s="1083">
        <f t="shared" si="60"/>
        <v>0</v>
      </c>
      <c r="H132" s="1135"/>
      <c r="I132" s="1109">
        <f t="shared" si="61"/>
        <v>4908835.3984737359</v>
      </c>
      <c r="J132" s="1117">
        <f t="shared" si="62"/>
        <v>-109218.75</v>
      </c>
      <c r="K132" s="1083">
        <f t="shared" si="54"/>
        <v>-700746.61228370527</v>
      </c>
      <c r="L132" s="1109">
        <f t="shared" si="63"/>
        <v>-809965.36228370527</v>
      </c>
      <c r="M132" s="1149">
        <f t="shared" si="64"/>
        <v>4098870.0361900306</v>
      </c>
      <c r="N132" s="1150">
        <f t="shared" si="58"/>
        <v>-99162256.455241308</v>
      </c>
      <c r="O132" s="1151">
        <f t="shared" si="57"/>
        <v>-95063386.419051275</v>
      </c>
      <c r="P132" s="1157">
        <f t="shared" si="65"/>
        <v>95063386.419051275</v>
      </c>
      <c r="Q132" s="1158">
        <f t="shared" si="66"/>
        <v>671781.26402796234</v>
      </c>
      <c r="AP132" s="1010"/>
      <c r="AQ132" s="1010"/>
      <c r="AY132" s="1042"/>
      <c r="AZ132" s="675"/>
      <c r="BA132" s="675"/>
      <c r="BF132" s="1043"/>
      <c r="BG132" s="1043"/>
      <c r="BH132" s="675"/>
      <c r="BI132" s="675"/>
    </row>
    <row r="133" spans="2:61" ht="15.75" customHeight="1">
      <c r="B133" s="1143">
        <f t="shared" si="59"/>
        <v>32</v>
      </c>
      <c r="C133" s="1117">
        <f t="shared" si="55"/>
        <v>4908835.3984737359</v>
      </c>
      <c r="D133" s="1135"/>
      <c r="E133" s="1213">
        <f t="shared" si="56"/>
        <v>0</v>
      </c>
      <c r="F133" s="1135"/>
      <c r="G133" s="1083">
        <f t="shared" si="60"/>
        <v>0</v>
      </c>
      <c r="H133" s="1135"/>
      <c r="I133" s="1109">
        <f t="shared" si="61"/>
        <v>4908835.3984737359</v>
      </c>
      <c r="J133" s="1117">
        <f t="shared" si="62"/>
        <v>-109218.75</v>
      </c>
      <c r="K133" s="1083">
        <f t="shared" si="54"/>
        <v>-671781.26402796234</v>
      </c>
      <c r="L133" s="1109">
        <f t="shared" si="63"/>
        <v>-781000.01402796234</v>
      </c>
      <c r="M133" s="1149">
        <f t="shared" si="64"/>
        <v>4127835.3844457734</v>
      </c>
      <c r="N133" s="1150">
        <f t="shared" si="58"/>
        <v>-95063386.419051275</v>
      </c>
      <c r="O133" s="1151">
        <f t="shared" si="57"/>
        <v>-90935551.034605503</v>
      </c>
      <c r="P133" s="1157">
        <f t="shared" si="65"/>
        <v>90935551.034605503</v>
      </c>
      <c r="Q133" s="1158">
        <f t="shared" si="66"/>
        <v>642611.22731121222</v>
      </c>
      <c r="AP133" s="1010"/>
      <c r="AQ133" s="1010"/>
      <c r="AY133" s="1042"/>
      <c r="AZ133" s="675"/>
      <c r="BA133" s="675"/>
      <c r="BF133" s="1043"/>
      <c r="BG133" s="1043"/>
      <c r="BH133" s="675"/>
      <c r="BI133" s="675"/>
    </row>
    <row r="134" spans="2:61" ht="15.75" customHeight="1">
      <c r="B134" s="1143">
        <f t="shared" si="59"/>
        <v>33</v>
      </c>
      <c r="C134" s="1117">
        <f t="shared" ref="C134:C151" si="67">AL58+AN58</f>
        <v>4908835.3984737359</v>
      </c>
      <c r="D134" s="1135"/>
      <c r="E134" s="1213">
        <f t="shared" si="56"/>
        <v>0</v>
      </c>
      <c r="F134" s="1135"/>
      <c r="G134" s="1083">
        <f t="shared" si="60"/>
        <v>0</v>
      </c>
      <c r="H134" s="1135"/>
      <c r="I134" s="1109">
        <f t="shared" si="61"/>
        <v>4908835.3984737359</v>
      </c>
      <c r="J134" s="1117">
        <f t="shared" si="62"/>
        <v>-109218.75</v>
      </c>
      <c r="K134" s="1083">
        <f t="shared" si="54"/>
        <v>-642611.22731121222</v>
      </c>
      <c r="L134" s="1109">
        <f t="shared" si="63"/>
        <v>-751829.97731121222</v>
      </c>
      <c r="M134" s="1149">
        <f t="shared" si="64"/>
        <v>4157005.4211625238</v>
      </c>
      <c r="N134" s="1150">
        <f t="shared" si="58"/>
        <v>-90935551.034605503</v>
      </c>
      <c r="O134" s="1151">
        <f t="shared" si="57"/>
        <v>-86778545.613442972</v>
      </c>
      <c r="P134" s="1157">
        <f t="shared" si="65"/>
        <v>86778545.613442972</v>
      </c>
      <c r="Q134" s="1158">
        <f t="shared" si="66"/>
        <v>613235.0556683304</v>
      </c>
      <c r="AP134" s="1010"/>
      <c r="AQ134" s="1010"/>
      <c r="AY134" s="1042"/>
      <c r="AZ134" s="675"/>
      <c r="BA134" s="675"/>
      <c r="BF134" s="1043"/>
      <c r="BG134" s="1043"/>
      <c r="BH134" s="675"/>
      <c r="BI134" s="675"/>
    </row>
    <row r="135" spans="2:61" ht="15.75" customHeight="1">
      <c r="B135" s="1143">
        <f t="shared" si="59"/>
        <v>34</v>
      </c>
      <c r="C135" s="1117">
        <f t="shared" si="67"/>
        <v>4908835.3984737359</v>
      </c>
      <c r="D135" s="1135"/>
      <c r="E135" s="1213">
        <f t="shared" si="56"/>
        <v>0</v>
      </c>
      <c r="F135" s="1135"/>
      <c r="G135" s="1083">
        <f t="shared" si="60"/>
        <v>0</v>
      </c>
      <c r="H135" s="1135"/>
      <c r="I135" s="1109">
        <f t="shared" si="61"/>
        <v>4908835.3984737359</v>
      </c>
      <c r="J135" s="1117">
        <f t="shared" si="62"/>
        <v>-109218.75</v>
      </c>
      <c r="K135" s="1083">
        <f t="shared" si="54"/>
        <v>-613235.0556683304</v>
      </c>
      <c r="L135" s="1109">
        <f t="shared" si="63"/>
        <v>-722453.8056683304</v>
      </c>
      <c r="M135" s="1149">
        <f t="shared" si="64"/>
        <v>4186381.5928054056</v>
      </c>
      <c r="N135" s="1150">
        <f t="shared" si="58"/>
        <v>-86778545.613442972</v>
      </c>
      <c r="O135" s="1151">
        <f t="shared" si="57"/>
        <v>-82592164.020637572</v>
      </c>
      <c r="P135" s="1157">
        <f t="shared" si="65"/>
        <v>82592164.020637572</v>
      </c>
      <c r="Q135" s="1158">
        <f t="shared" si="66"/>
        <v>583651.29241250549</v>
      </c>
      <c r="AP135" s="1010"/>
      <c r="AQ135" s="1010"/>
      <c r="AY135" s="1042"/>
      <c r="AZ135" s="675"/>
      <c r="BA135" s="675"/>
      <c r="BF135" s="1043"/>
      <c r="BG135" s="1043"/>
      <c r="BH135" s="675"/>
      <c r="BI135" s="675"/>
    </row>
    <row r="136" spans="2:61" ht="15.75" customHeight="1">
      <c r="B136" s="1143">
        <f t="shared" si="59"/>
        <v>35</v>
      </c>
      <c r="C136" s="1117">
        <f t="shared" si="67"/>
        <v>4908835.3984737359</v>
      </c>
      <c r="D136" s="1135"/>
      <c r="E136" s="1213">
        <f t="shared" si="56"/>
        <v>0</v>
      </c>
      <c r="F136" s="1135"/>
      <c r="G136" s="1083">
        <f t="shared" si="60"/>
        <v>0</v>
      </c>
      <c r="H136" s="1135"/>
      <c r="I136" s="1109">
        <f t="shared" si="61"/>
        <v>4908835.3984737359</v>
      </c>
      <c r="J136" s="1117">
        <f t="shared" si="62"/>
        <v>-430468.75</v>
      </c>
      <c r="K136" s="1083">
        <f t="shared" si="54"/>
        <v>-583651.29241250549</v>
      </c>
      <c r="L136" s="1109">
        <f t="shared" si="63"/>
        <v>-1014120.0424125055</v>
      </c>
      <c r="M136" s="1149">
        <f t="shared" si="64"/>
        <v>3894715.3560612304</v>
      </c>
      <c r="N136" s="1150">
        <f t="shared" si="58"/>
        <v>-82592164.020637572</v>
      </c>
      <c r="O136" s="1151">
        <f t="shared" si="57"/>
        <v>-78697448.664576337</v>
      </c>
      <c r="P136" s="1157">
        <f t="shared" si="65"/>
        <v>78697448.664576337</v>
      </c>
      <c r="Q136" s="1158">
        <f t="shared" si="66"/>
        <v>556128.63722967275</v>
      </c>
      <c r="AP136" s="1010"/>
      <c r="AQ136" s="1010"/>
      <c r="AY136" s="1042"/>
      <c r="AZ136" s="675"/>
      <c r="BA136" s="675"/>
      <c r="BF136" s="1043"/>
      <c r="BG136" s="1043"/>
      <c r="BH136" s="675"/>
      <c r="BI136" s="675"/>
    </row>
    <row r="137" spans="2:61" ht="15.75" customHeight="1">
      <c r="B137" s="1143">
        <f t="shared" si="59"/>
        <v>36</v>
      </c>
      <c r="C137" s="1117">
        <f t="shared" si="67"/>
        <v>4908835.3984737359</v>
      </c>
      <c r="D137" s="1135"/>
      <c r="E137" s="1213">
        <f t="shared" si="56"/>
        <v>0</v>
      </c>
      <c r="F137" s="1135"/>
      <c r="G137" s="1083">
        <f t="shared" si="60"/>
        <v>0</v>
      </c>
      <c r="H137" s="1135"/>
      <c r="I137" s="1109">
        <f t="shared" si="61"/>
        <v>4908835.3984737359</v>
      </c>
      <c r="J137" s="1117">
        <f t="shared" si="62"/>
        <v>-109218.75</v>
      </c>
      <c r="K137" s="1083">
        <f>Q136*-1</f>
        <v>-556128.63722967275</v>
      </c>
      <c r="L137" s="1109">
        <f t="shared" si="63"/>
        <v>-665347.38722967275</v>
      </c>
      <c r="M137" s="1149">
        <f t="shared" si="64"/>
        <v>4243488.0112440633</v>
      </c>
      <c r="N137" s="1150">
        <f t="shared" si="58"/>
        <v>-78697448.664576337</v>
      </c>
      <c r="O137" s="1151">
        <f t="shared" si="57"/>
        <v>-74453960.653332278</v>
      </c>
      <c r="P137" s="1157">
        <f t="shared" si="65"/>
        <v>74453960.653332278</v>
      </c>
      <c r="Q137" s="1158">
        <f t="shared" si="66"/>
        <v>526141.3219502148</v>
      </c>
      <c r="AP137" s="1010"/>
      <c r="AQ137" s="1010"/>
      <c r="AY137" s="1042"/>
      <c r="AZ137" s="675"/>
      <c r="BA137" s="675"/>
      <c r="BF137" s="1043"/>
      <c r="BG137" s="1043"/>
      <c r="BH137" s="675"/>
      <c r="BI137" s="675"/>
    </row>
    <row r="138" spans="2:61" ht="15.75" customHeight="1">
      <c r="B138" s="1143">
        <f t="shared" si="59"/>
        <v>37</v>
      </c>
      <c r="C138" s="1117">
        <f t="shared" si="67"/>
        <v>4908835.3984737359</v>
      </c>
      <c r="D138" s="1135"/>
      <c r="E138" s="1213">
        <f t="shared" si="56"/>
        <v>0</v>
      </c>
      <c r="F138" s="1135"/>
      <c r="G138" s="1083">
        <f t="shared" si="60"/>
        <v>0</v>
      </c>
      <c r="H138" s="1135"/>
      <c r="I138" s="1109">
        <f t="shared" si="61"/>
        <v>4908835.3984737359</v>
      </c>
      <c r="J138" s="1117">
        <f t="shared" si="62"/>
        <v>-109218.75</v>
      </c>
      <c r="K138" s="1083">
        <f t="shared" si="54"/>
        <v>-526141.3219502148</v>
      </c>
      <c r="L138" s="1109">
        <f t="shared" si="63"/>
        <v>-635360.0719502148</v>
      </c>
      <c r="M138" s="1149">
        <f t="shared" si="64"/>
        <v>4273475.326523521</v>
      </c>
      <c r="N138" s="1150">
        <f t="shared" si="58"/>
        <v>-74453960.653332278</v>
      </c>
      <c r="O138" s="1151">
        <f t="shared" si="57"/>
        <v>-70180485.326808751</v>
      </c>
      <c r="P138" s="1157">
        <f t="shared" si="65"/>
        <v>70180485.326808751</v>
      </c>
      <c r="Q138" s="1158">
        <f t="shared" si="66"/>
        <v>495942.09630944853</v>
      </c>
      <c r="AP138" s="1010"/>
      <c r="AQ138" s="1010"/>
      <c r="AY138" s="1042"/>
      <c r="AZ138" s="675"/>
      <c r="BA138" s="675"/>
      <c r="BF138" s="1043"/>
      <c r="BG138" s="1043"/>
      <c r="BH138" s="675"/>
      <c r="BI138" s="675"/>
    </row>
    <row r="139" spans="2:61" ht="15.75" customHeight="1">
      <c r="B139" s="1143">
        <f t="shared" si="59"/>
        <v>38</v>
      </c>
      <c r="C139" s="1117">
        <f t="shared" si="67"/>
        <v>4908835.3984737359</v>
      </c>
      <c r="D139" s="1135"/>
      <c r="E139" s="1213">
        <f t="shared" si="56"/>
        <v>0</v>
      </c>
      <c r="F139" s="1135"/>
      <c r="G139" s="1083">
        <f t="shared" si="60"/>
        <v>0</v>
      </c>
      <c r="H139" s="1135"/>
      <c r="I139" s="1109">
        <f t="shared" si="61"/>
        <v>4908835.3984737359</v>
      </c>
      <c r="J139" s="1117">
        <f t="shared" si="62"/>
        <v>-109218.75</v>
      </c>
      <c r="K139" s="1083">
        <f t="shared" si="54"/>
        <v>-495942.09630944853</v>
      </c>
      <c r="L139" s="1109">
        <f t="shared" si="63"/>
        <v>-605160.84630944859</v>
      </c>
      <c r="M139" s="1149">
        <f t="shared" si="64"/>
        <v>4303674.5521642873</v>
      </c>
      <c r="N139" s="1150">
        <f>O138</f>
        <v>-70180485.326808751</v>
      </c>
      <c r="O139" s="1151">
        <f t="shared" si="57"/>
        <v>-65876810.774644464</v>
      </c>
      <c r="P139" s="1157">
        <f t="shared" si="65"/>
        <v>65876810.774644464</v>
      </c>
      <c r="Q139" s="1158">
        <f t="shared" si="66"/>
        <v>465529.46280748752</v>
      </c>
      <c r="AP139" s="1010"/>
      <c r="AQ139" s="1010"/>
      <c r="AY139" s="1042"/>
      <c r="AZ139" s="675"/>
      <c r="BA139" s="675"/>
      <c r="BF139" s="1043"/>
      <c r="BG139" s="1043"/>
      <c r="BH139" s="675"/>
      <c r="BI139" s="675"/>
    </row>
    <row r="140" spans="2:61" ht="15.75" customHeight="1">
      <c r="B140" s="1143">
        <f t="shared" si="59"/>
        <v>39</v>
      </c>
      <c r="C140" s="1117">
        <f t="shared" si="67"/>
        <v>4908835.3984737359</v>
      </c>
      <c r="D140" s="1135"/>
      <c r="E140" s="1213">
        <f t="shared" si="56"/>
        <v>0</v>
      </c>
      <c r="F140" s="1135"/>
      <c r="G140" s="1083">
        <f t="shared" si="60"/>
        <v>0</v>
      </c>
      <c r="H140" s="1135"/>
      <c r="I140" s="1109">
        <f t="shared" si="61"/>
        <v>4908835.3984737359</v>
      </c>
      <c r="J140" s="1117">
        <f t="shared" si="62"/>
        <v>-109218.75</v>
      </c>
      <c r="K140" s="1083">
        <f t="shared" si="54"/>
        <v>-465529.46280748752</v>
      </c>
      <c r="L140" s="1109">
        <f t="shared" si="63"/>
        <v>-574748.21280748746</v>
      </c>
      <c r="M140" s="1149">
        <f t="shared" si="64"/>
        <v>4334087.1856662482</v>
      </c>
      <c r="N140" s="1150">
        <f t="shared" si="58"/>
        <v>-65876810.774644464</v>
      </c>
      <c r="O140" s="1151">
        <f t="shared" si="57"/>
        <v>-61542723.588978216</v>
      </c>
      <c r="P140" s="1157">
        <f t="shared" si="65"/>
        <v>61542723.588978216</v>
      </c>
      <c r="Q140" s="1158">
        <f t="shared" si="66"/>
        <v>434901.91336211277</v>
      </c>
      <c r="AP140" s="1010"/>
      <c r="AQ140" s="1010"/>
      <c r="AY140" s="1042"/>
      <c r="AZ140" s="675"/>
      <c r="BA140" s="675"/>
      <c r="BF140" s="1043"/>
      <c r="BG140" s="1043"/>
      <c r="BH140" s="675"/>
      <c r="BI140" s="675"/>
    </row>
    <row r="141" spans="2:61" ht="15.75" customHeight="1">
      <c r="B141" s="1143">
        <f t="shared" si="59"/>
        <v>40</v>
      </c>
      <c r="C141" s="1117">
        <f t="shared" si="67"/>
        <v>4908835.3984737359</v>
      </c>
      <c r="D141" s="1135"/>
      <c r="E141" s="1213">
        <f t="shared" si="56"/>
        <v>0</v>
      </c>
      <c r="F141" s="1135"/>
      <c r="G141" s="1083">
        <f t="shared" si="60"/>
        <v>0</v>
      </c>
      <c r="H141" s="1135"/>
      <c r="I141" s="1109">
        <f t="shared" si="61"/>
        <v>4908835.3984737359</v>
      </c>
      <c r="J141" s="1117">
        <f t="shared" si="62"/>
        <v>-109218.75</v>
      </c>
      <c r="K141" s="1083">
        <f t="shared" si="54"/>
        <v>-434901.91336211277</v>
      </c>
      <c r="L141" s="1109">
        <f t="shared" si="63"/>
        <v>-544120.66336211283</v>
      </c>
      <c r="M141" s="1149">
        <f t="shared" si="64"/>
        <v>4364714.7351116231</v>
      </c>
      <c r="N141" s="1150">
        <f t="shared" si="58"/>
        <v>-61542723.588978216</v>
      </c>
      <c r="O141" s="1151">
        <f t="shared" si="57"/>
        <v>-57178008.853866592</v>
      </c>
      <c r="P141" s="1157">
        <f t="shared" si="65"/>
        <v>57178008.853866592</v>
      </c>
      <c r="Q141" s="1158">
        <f t="shared" si="66"/>
        <v>404057.92923399061</v>
      </c>
      <c r="AP141" s="1010"/>
      <c r="AQ141" s="1010"/>
      <c r="AY141" s="1042"/>
      <c r="AZ141" s="675"/>
      <c r="BA141" s="675"/>
      <c r="BF141" s="1043"/>
      <c r="BG141" s="1043"/>
      <c r="BH141" s="675"/>
      <c r="BI141" s="675"/>
    </row>
    <row r="142" spans="2:61" ht="15.75" customHeight="1">
      <c r="B142" s="1143">
        <f t="shared" si="59"/>
        <v>41</v>
      </c>
      <c r="C142" s="1117">
        <f t="shared" si="67"/>
        <v>4908835.3984737359</v>
      </c>
      <c r="D142" s="1135"/>
      <c r="E142" s="1213">
        <f t="shared" si="56"/>
        <v>0</v>
      </c>
      <c r="F142" s="1135"/>
      <c r="G142" s="1083">
        <f t="shared" si="60"/>
        <v>0</v>
      </c>
      <c r="H142" s="1135"/>
      <c r="I142" s="1109">
        <f t="shared" si="61"/>
        <v>4908835.3984737359</v>
      </c>
      <c r="J142" s="1117">
        <f t="shared" si="62"/>
        <v>-109218.75</v>
      </c>
      <c r="K142" s="1083">
        <f t="shared" si="54"/>
        <v>-404057.92923399061</v>
      </c>
      <c r="L142" s="1109">
        <f t="shared" si="63"/>
        <v>-513276.67923399061</v>
      </c>
      <c r="M142" s="1149">
        <f t="shared" si="64"/>
        <v>4395558.7192397453</v>
      </c>
      <c r="N142" s="1150">
        <f t="shared" si="58"/>
        <v>-57178008.853866592</v>
      </c>
      <c r="O142" s="1151">
        <f>M142+N142</f>
        <v>-52782450.13462685</v>
      </c>
      <c r="P142" s="1157">
        <f t="shared" si="65"/>
        <v>52782450.13462685</v>
      </c>
      <c r="Q142" s="1158">
        <f t="shared" si="66"/>
        <v>372995.98095136305</v>
      </c>
      <c r="AP142" s="1010"/>
      <c r="AQ142" s="1010"/>
      <c r="AY142" s="1042"/>
      <c r="AZ142" s="675"/>
      <c r="BA142" s="675"/>
      <c r="BF142" s="1043"/>
      <c r="BG142" s="1043"/>
      <c r="BH142" s="675"/>
      <c r="BI142" s="675"/>
    </row>
    <row r="143" spans="2:61" ht="15.75" customHeight="1">
      <c r="B143" s="1143">
        <f t="shared" si="59"/>
        <v>42</v>
      </c>
      <c r="C143" s="1117">
        <f t="shared" si="67"/>
        <v>4908835.3984737359</v>
      </c>
      <c r="D143" s="1135"/>
      <c r="E143" s="1213">
        <f t="shared" si="56"/>
        <v>0</v>
      </c>
      <c r="F143" s="1135"/>
      <c r="G143" s="1083">
        <f t="shared" si="60"/>
        <v>0</v>
      </c>
      <c r="H143" s="1135"/>
      <c r="I143" s="1109">
        <f t="shared" si="61"/>
        <v>4908835.3984737359</v>
      </c>
      <c r="J143" s="1117">
        <f t="shared" si="62"/>
        <v>-109218.75</v>
      </c>
      <c r="K143" s="1083">
        <f t="shared" si="54"/>
        <v>-372995.98095136305</v>
      </c>
      <c r="L143" s="1109">
        <f t="shared" si="63"/>
        <v>-482214.73095136305</v>
      </c>
      <c r="M143" s="1149">
        <f t="shared" si="64"/>
        <v>4426620.6675223727</v>
      </c>
      <c r="N143" s="1150">
        <f>O142</f>
        <v>-52782450.13462685</v>
      </c>
      <c r="O143" s="1151">
        <f t="shared" si="57"/>
        <v>-48355829.46710448</v>
      </c>
      <c r="P143" s="1157">
        <f t="shared" si="65"/>
        <v>48355829.46710448</v>
      </c>
      <c r="Q143" s="1158">
        <f t="shared" si="66"/>
        <v>341714.52823420498</v>
      </c>
      <c r="AP143" s="1010"/>
      <c r="AQ143" s="1010"/>
      <c r="AY143" s="1042"/>
      <c r="AZ143" s="675"/>
      <c r="BA143" s="675"/>
      <c r="BF143" s="1043"/>
      <c r="BG143" s="1043"/>
      <c r="BH143" s="675"/>
      <c r="BI143" s="675"/>
    </row>
    <row r="144" spans="2:61" ht="15.75" customHeight="1">
      <c r="B144" s="1143">
        <f t="shared" si="59"/>
        <v>43</v>
      </c>
      <c r="C144" s="1117">
        <f t="shared" si="67"/>
        <v>4908835.3984737359</v>
      </c>
      <c r="D144" s="1135"/>
      <c r="E144" s="1213">
        <f t="shared" si="56"/>
        <v>0</v>
      </c>
      <c r="F144" s="1135"/>
      <c r="G144" s="1083">
        <f t="shared" si="60"/>
        <v>0</v>
      </c>
      <c r="H144" s="1135"/>
      <c r="I144" s="1109">
        <f t="shared" si="61"/>
        <v>4908835.3984737359</v>
      </c>
      <c r="J144" s="1117">
        <f t="shared" si="62"/>
        <v>-109218.75</v>
      </c>
      <c r="K144" s="1083">
        <f t="shared" si="54"/>
        <v>-341714.52823420498</v>
      </c>
      <c r="L144" s="1109">
        <f t="shared" si="63"/>
        <v>-450933.27823420498</v>
      </c>
      <c r="M144" s="1149">
        <f t="shared" si="64"/>
        <v>4457902.1202395307</v>
      </c>
      <c r="N144" s="1150">
        <f t="shared" si="58"/>
        <v>-48355829.46710448</v>
      </c>
      <c r="O144" s="1151">
        <f t="shared" si="57"/>
        <v>-43897927.346864946</v>
      </c>
      <c r="P144" s="1157">
        <f t="shared" si="65"/>
        <v>43897927.346864946</v>
      </c>
      <c r="Q144" s="1158">
        <f t="shared" si="66"/>
        <v>310212.01991784561</v>
      </c>
      <c r="AP144" s="1010"/>
      <c r="AQ144" s="1010"/>
      <c r="AY144" s="1042"/>
      <c r="AZ144" s="675"/>
      <c r="BA144" s="675"/>
      <c r="BF144" s="1043"/>
      <c r="BG144" s="1043"/>
      <c r="BH144" s="675"/>
      <c r="BI144" s="675"/>
    </row>
    <row r="145" spans="2:61" ht="15.75" customHeight="1">
      <c r="B145" s="1143">
        <f t="shared" si="59"/>
        <v>44</v>
      </c>
      <c r="C145" s="1117">
        <f t="shared" si="67"/>
        <v>4908835.3984737359</v>
      </c>
      <c r="D145" s="1135"/>
      <c r="E145" s="1213">
        <f t="shared" si="56"/>
        <v>0</v>
      </c>
      <c r="F145" s="1135"/>
      <c r="G145" s="1083">
        <f t="shared" si="60"/>
        <v>0</v>
      </c>
      <c r="H145" s="1135"/>
      <c r="I145" s="1109">
        <f t="shared" si="61"/>
        <v>4908835.3984737359</v>
      </c>
      <c r="J145" s="1117">
        <f t="shared" si="62"/>
        <v>-109218.75</v>
      </c>
      <c r="K145" s="1083">
        <f t="shared" si="54"/>
        <v>-310212.01991784561</v>
      </c>
      <c r="L145" s="1109">
        <f t="shared" si="63"/>
        <v>-419430.76991784561</v>
      </c>
      <c r="M145" s="1149">
        <f t="shared" si="64"/>
        <v>4489404.6285558902</v>
      </c>
      <c r="N145" s="1150">
        <f t="shared" si="58"/>
        <v>-43897927.346864946</v>
      </c>
      <c r="O145" s="1151">
        <f t="shared" si="57"/>
        <v>-39408522.71830906</v>
      </c>
      <c r="P145" s="1157">
        <f t="shared" si="65"/>
        <v>39408522.71830906</v>
      </c>
      <c r="Q145" s="1158">
        <f t="shared" si="66"/>
        <v>278486.89387605066</v>
      </c>
      <c r="AP145" s="1010"/>
      <c r="AQ145" s="1010"/>
      <c r="AY145" s="1042"/>
      <c r="AZ145" s="675"/>
      <c r="BA145" s="675"/>
      <c r="BF145" s="1043"/>
      <c r="BG145" s="1043"/>
      <c r="BH145" s="675"/>
      <c r="BI145" s="675"/>
    </row>
    <row r="146" spans="2:61" ht="15.75" customHeight="1">
      <c r="B146" s="1143">
        <f t="shared" si="59"/>
        <v>45</v>
      </c>
      <c r="C146" s="1117">
        <f t="shared" si="67"/>
        <v>4908835.3984737359</v>
      </c>
      <c r="D146" s="1135"/>
      <c r="E146" s="1213">
        <f t="shared" si="56"/>
        <v>0</v>
      </c>
      <c r="F146" s="1135"/>
      <c r="G146" s="1083">
        <f t="shared" si="60"/>
        <v>0</v>
      </c>
      <c r="H146" s="1135"/>
      <c r="I146" s="1109">
        <f t="shared" si="61"/>
        <v>4908835.3984737359</v>
      </c>
      <c r="J146" s="1117">
        <f t="shared" si="62"/>
        <v>-109218.75</v>
      </c>
      <c r="K146" s="1083">
        <f t="shared" si="54"/>
        <v>-278486.89387605066</v>
      </c>
      <c r="L146" s="1109">
        <f t="shared" si="63"/>
        <v>-387705.64387605066</v>
      </c>
      <c r="M146" s="1149">
        <f t="shared" si="64"/>
        <v>4521129.7545976853</v>
      </c>
      <c r="N146" s="1150">
        <f t="shared" si="58"/>
        <v>-39408522.71830906</v>
      </c>
      <c r="O146" s="1151">
        <f t="shared" si="57"/>
        <v>-34887392.963711374</v>
      </c>
      <c r="P146" s="1157">
        <f t="shared" si="65"/>
        <v>34887392.963711374</v>
      </c>
      <c r="Q146" s="1158">
        <f t="shared" si="66"/>
        <v>246537.57694356039</v>
      </c>
      <c r="AP146" s="1010"/>
      <c r="AQ146" s="1010"/>
      <c r="AY146" s="1042"/>
      <c r="AZ146" s="675"/>
      <c r="BA146" s="675"/>
      <c r="BF146" s="1043"/>
      <c r="BG146" s="1043"/>
      <c r="BH146" s="675"/>
      <c r="BI146" s="675"/>
    </row>
    <row r="147" spans="2:61" ht="15.75" customHeight="1">
      <c r="B147" s="1143">
        <f t="shared" si="59"/>
        <v>46</v>
      </c>
      <c r="C147" s="1117">
        <f t="shared" si="67"/>
        <v>4908835.3984737359</v>
      </c>
      <c r="D147" s="1135"/>
      <c r="E147" s="1213">
        <f t="shared" si="56"/>
        <v>0</v>
      </c>
      <c r="F147" s="1135"/>
      <c r="G147" s="1083">
        <f t="shared" si="60"/>
        <v>0</v>
      </c>
      <c r="H147" s="1135"/>
      <c r="I147" s="1109">
        <f t="shared" si="61"/>
        <v>4908835.3984737359</v>
      </c>
      <c r="J147" s="1117">
        <f t="shared" si="62"/>
        <v>-109218.75</v>
      </c>
      <c r="K147" s="1083">
        <f t="shared" si="54"/>
        <v>-246537.57694356039</v>
      </c>
      <c r="L147" s="1109">
        <f t="shared" si="63"/>
        <v>-355756.32694356039</v>
      </c>
      <c r="M147" s="1149">
        <f t="shared" si="64"/>
        <v>4553079.0715301754</v>
      </c>
      <c r="N147" s="1150">
        <f t="shared" si="58"/>
        <v>-34887392.963711374</v>
      </c>
      <c r="O147" s="1151">
        <f t="shared" si="57"/>
        <v>-30334313.892181199</v>
      </c>
      <c r="P147" s="1157">
        <f t="shared" si="65"/>
        <v>30334313.892181199</v>
      </c>
      <c r="Q147" s="1158">
        <f t="shared" si="66"/>
        <v>214362.48483808048</v>
      </c>
      <c r="AP147" s="1010"/>
      <c r="AQ147" s="1010"/>
      <c r="AY147" s="1042"/>
      <c r="AZ147" s="675"/>
      <c r="BA147" s="675"/>
      <c r="BF147" s="1043"/>
      <c r="BG147" s="1043"/>
      <c r="BH147" s="675"/>
      <c r="BI147" s="675"/>
    </row>
    <row r="148" spans="2:61" ht="15.75" customHeight="1">
      <c r="B148" s="1143">
        <f t="shared" si="59"/>
        <v>47</v>
      </c>
      <c r="C148" s="1117">
        <f t="shared" si="67"/>
        <v>4908835.3984737359</v>
      </c>
      <c r="D148" s="1135"/>
      <c r="E148" s="1213">
        <f t="shared" si="56"/>
        <v>0</v>
      </c>
      <c r="F148" s="1135"/>
      <c r="G148" s="1083">
        <f t="shared" si="60"/>
        <v>0</v>
      </c>
      <c r="H148" s="1135"/>
      <c r="I148" s="1109">
        <f t="shared" si="61"/>
        <v>4908835.3984737359</v>
      </c>
      <c r="J148" s="1117">
        <f t="shared" si="62"/>
        <v>-430468.75</v>
      </c>
      <c r="K148" s="1083">
        <f t="shared" si="54"/>
        <v>-214362.48483808048</v>
      </c>
      <c r="L148" s="1109">
        <f t="shared" si="63"/>
        <v>-644831.23483808048</v>
      </c>
      <c r="M148" s="1149">
        <f t="shared" si="64"/>
        <v>4264004.1636356553</v>
      </c>
      <c r="N148" s="1150">
        <f>O147</f>
        <v>-30334313.892181199</v>
      </c>
      <c r="O148" s="1151">
        <f t="shared" si="57"/>
        <v>-26070309.728545543</v>
      </c>
      <c r="P148" s="1157">
        <f t="shared" si="65"/>
        <v>26070309.728545543</v>
      </c>
      <c r="Q148" s="1158">
        <f t="shared" si="66"/>
        <v>184230.18874838852</v>
      </c>
      <c r="AP148" s="1010"/>
      <c r="AQ148" s="1010"/>
      <c r="AY148" s="1042"/>
      <c r="AZ148" s="675"/>
      <c r="BA148" s="675"/>
      <c r="BF148" s="1043"/>
      <c r="BG148" s="1043"/>
      <c r="BH148" s="675"/>
      <c r="BI148" s="675"/>
    </row>
    <row r="149" spans="2:61" ht="15.75" customHeight="1">
      <c r="B149" s="1143">
        <f t="shared" si="59"/>
        <v>48</v>
      </c>
      <c r="C149" s="1117">
        <f t="shared" si="67"/>
        <v>4908835.3984737359</v>
      </c>
      <c r="D149" s="1135"/>
      <c r="E149" s="1213">
        <f t="shared" si="56"/>
        <v>0</v>
      </c>
      <c r="F149" s="1135"/>
      <c r="G149" s="1083">
        <f t="shared" si="60"/>
        <v>0</v>
      </c>
      <c r="H149" s="1135"/>
      <c r="I149" s="1109">
        <f t="shared" si="61"/>
        <v>4908835.3984737359</v>
      </c>
      <c r="J149" s="1117">
        <f t="shared" si="62"/>
        <v>-109218.75</v>
      </c>
      <c r="K149" s="1083">
        <f t="shared" si="54"/>
        <v>-184230.18874838852</v>
      </c>
      <c r="L149" s="1109">
        <f t="shared" si="63"/>
        <v>-293448.93874838855</v>
      </c>
      <c r="M149" s="1149">
        <f t="shared" si="64"/>
        <v>4615386.4597253473</v>
      </c>
      <c r="N149" s="1150">
        <f t="shared" si="58"/>
        <v>-26070309.728545543</v>
      </c>
      <c r="O149" s="1151">
        <f t="shared" si="57"/>
        <v>-21454923.268820196</v>
      </c>
      <c r="P149" s="1157">
        <f t="shared" si="65"/>
        <v>21454923.268820196</v>
      </c>
      <c r="Q149" s="1158">
        <f t="shared" si="66"/>
        <v>151614.79109966272</v>
      </c>
      <c r="AP149" s="1010"/>
      <c r="AQ149" s="1010"/>
      <c r="AY149" s="1042"/>
      <c r="AZ149" s="675"/>
      <c r="BA149" s="675"/>
      <c r="BF149" s="1043"/>
      <c r="BG149" s="1043"/>
      <c r="BH149" s="675"/>
      <c r="BI149" s="675"/>
    </row>
    <row r="150" spans="2:61" ht="15.75" customHeight="1">
      <c r="B150" s="1143">
        <f t="shared" si="59"/>
        <v>49</v>
      </c>
      <c r="C150" s="1117">
        <f t="shared" si="67"/>
        <v>0</v>
      </c>
      <c r="D150" s="1135"/>
      <c r="E150" s="1213">
        <f t="shared" si="56"/>
        <v>51616928.36945454</v>
      </c>
      <c r="F150" s="1135"/>
      <c r="G150" s="1083">
        <f t="shared" si="60"/>
        <v>0</v>
      </c>
      <c r="H150" s="1135"/>
      <c r="I150" s="1109">
        <f t="shared" si="61"/>
        <v>51616928.36945454</v>
      </c>
      <c r="J150" s="1117">
        <f t="shared" si="62"/>
        <v>0</v>
      </c>
      <c r="K150" s="1083">
        <f t="shared" si="54"/>
        <v>-151614.79109966272</v>
      </c>
      <c r="L150" s="1109">
        <f t="shared" si="63"/>
        <v>-151614.79109966272</v>
      </c>
      <c r="M150" s="1149">
        <f t="shared" si="64"/>
        <v>51465313.57835488</v>
      </c>
      <c r="N150" s="1150">
        <f t="shared" si="58"/>
        <v>-21454923.268820196</v>
      </c>
      <c r="O150" s="1151">
        <f t="shared" si="57"/>
        <v>30010390.309534684</v>
      </c>
      <c r="P150" s="1157">
        <f t="shared" si="65"/>
        <v>0</v>
      </c>
      <c r="Q150" s="1158">
        <f t="shared" si="66"/>
        <v>0</v>
      </c>
      <c r="AP150" s="1010"/>
      <c r="AQ150" s="1010"/>
      <c r="AY150" s="1042"/>
      <c r="AZ150" s="675"/>
      <c r="BA150" s="675"/>
      <c r="BF150" s="1043"/>
      <c r="BG150" s="1043"/>
      <c r="BH150" s="675"/>
      <c r="BI150" s="675"/>
    </row>
    <row r="151" spans="2:61" ht="15.75" customHeight="1">
      <c r="B151" s="1143">
        <f t="shared" si="59"/>
        <v>50</v>
      </c>
      <c r="C151" s="1117">
        <f t="shared" si="67"/>
        <v>0</v>
      </c>
      <c r="D151" s="1135"/>
      <c r="E151" s="1213">
        <f t="shared" si="56"/>
        <v>0</v>
      </c>
      <c r="F151" s="1135"/>
      <c r="G151" s="1083">
        <f t="shared" si="60"/>
        <v>0</v>
      </c>
      <c r="H151" s="1135"/>
      <c r="I151" s="1109">
        <f t="shared" si="61"/>
        <v>0</v>
      </c>
      <c r="J151" s="1117">
        <f t="shared" si="62"/>
        <v>0</v>
      </c>
      <c r="K151" s="1083">
        <f>Q150*-1</f>
        <v>0</v>
      </c>
      <c r="L151" s="1109">
        <f t="shared" si="63"/>
        <v>0</v>
      </c>
      <c r="M151" s="1149">
        <f t="shared" si="64"/>
        <v>0</v>
      </c>
      <c r="N151" s="1150">
        <f>O150</f>
        <v>30010390.309534684</v>
      </c>
      <c r="O151" s="1151">
        <f t="shared" si="57"/>
        <v>30010390.309534684</v>
      </c>
      <c r="P151" s="1157">
        <f t="shared" si="65"/>
        <v>0</v>
      </c>
      <c r="Q151" s="1158">
        <f t="shared" si="66"/>
        <v>0</v>
      </c>
      <c r="AP151" s="1010"/>
      <c r="AQ151" s="1010"/>
      <c r="AY151" s="1042"/>
      <c r="AZ151" s="675"/>
      <c r="BA151" s="675"/>
      <c r="BF151" s="1043"/>
      <c r="BG151" s="1043"/>
      <c r="BH151" s="675"/>
      <c r="BI151" s="675"/>
    </row>
    <row r="152" spans="2:61" ht="15.75" customHeight="1">
      <c r="B152" s="1143">
        <f t="shared" si="59"/>
        <v>51</v>
      </c>
      <c r="C152" s="1117">
        <f t="shared" ref="C152:C166" si="68">AL76-AN76</f>
        <v>0</v>
      </c>
      <c r="D152" s="1135"/>
      <c r="E152" s="1213">
        <f t="shared" si="56"/>
        <v>0</v>
      </c>
      <c r="F152" s="1135"/>
      <c r="G152" s="1083">
        <f t="shared" si="60"/>
        <v>0</v>
      </c>
      <c r="H152" s="1135"/>
      <c r="I152" s="1109">
        <f t="shared" si="61"/>
        <v>0</v>
      </c>
      <c r="J152" s="1117">
        <f t="shared" si="62"/>
        <v>0</v>
      </c>
      <c r="K152" s="1083">
        <f t="shared" si="54"/>
        <v>0</v>
      </c>
      <c r="L152" s="1109">
        <f t="shared" si="63"/>
        <v>0</v>
      </c>
      <c r="M152" s="1149">
        <f t="shared" si="64"/>
        <v>0</v>
      </c>
      <c r="N152" s="1150">
        <f t="shared" si="58"/>
        <v>30010390.309534684</v>
      </c>
      <c r="O152" s="1151">
        <f t="shared" si="57"/>
        <v>30010390.309534684</v>
      </c>
      <c r="P152" s="1157">
        <f t="shared" si="65"/>
        <v>0</v>
      </c>
      <c r="Q152" s="1158">
        <f t="shared" si="66"/>
        <v>0</v>
      </c>
      <c r="AP152" s="1010"/>
      <c r="AQ152" s="1010"/>
      <c r="AY152" s="1042"/>
      <c r="AZ152" s="675"/>
      <c r="BA152" s="675"/>
      <c r="BF152" s="1043"/>
      <c r="BG152" s="1043"/>
      <c r="BH152" s="675"/>
      <c r="BI152" s="675"/>
    </row>
    <row r="153" spans="2:61" ht="15.75" customHeight="1">
      <c r="B153" s="1143">
        <f t="shared" si="59"/>
        <v>52</v>
      </c>
      <c r="C153" s="1117">
        <f t="shared" si="68"/>
        <v>0</v>
      </c>
      <c r="D153" s="1135"/>
      <c r="E153" s="1213">
        <f t="shared" si="56"/>
        <v>0</v>
      </c>
      <c r="F153" s="1135"/>
      <c r="G153" s="1083">
        <f t="shared" si="60"/>
        <v>0</v>
      </c>
      <c r="H153" s="1135"/>
      <c r="I153" s="1109">
        <f t="shared" si="61"/>
        <v>0</v>
      </c>
      <c r="J153" s="1117">
        <f t="shared" si="62"/>
        <v>0</v>
      </c>
      <c r="K153" s="1083">
        <f t="shared" si="54"/>
        <v>0</v>
      </c>
      <c r="L153" s="1109">
        <f t="shared" si="63"/>
        <v>0</v>
      </c>
      <c r="M153" s="1149">
        <f t="shared" si="64"/>
        <v>0</v>
      </c>
      <c r="N153" s="1150">
        <f t="shared" si="58"/>
        <v>30010390.309534684</v>
      </c>
      <c r="O153" s="1151">
        <f t="shared" si="57"/>
        <v>30010390.309534684</v>
      </c>
      <c r="P153" s="1157">
        <f t="shared" si="65"/>
        <v>0</v>
      </c>
      <c r="Q153" s="1158">
        <f t="shared" si="66"/>
        <v>0</v>
      </c>
      <c r="AP153" s="1010"/>
      <c r="AQ153" s="1010"/>
      <c r="AY153" s="1042"/>
      <c r="AZ153" s="675"/>
      <c r="BA153" s="675"/>
      <c r="BF153" s="1043"/>
      <c r="BG153" s="1043"/>
      <c r="BH153" s="675"/>
      <c r="BI153" s="675"/>
    </row>
    <row r="154" spans="2:61" ht="15.75" customHeight="1">
      <c r="B154" s="1143">
        <f t="shared" si="59"/>
        <v>53</v>
      </c>
      <c r="C154" s="1117">
        <f t="shared" si="68"/>
        <v>0</v>
      </c>
      <c r="D154" s="1135"/>
      <c r="E154" s="1213">
        <f t="shared" si="56"/>
        <v>0</v>
      </c>
      <c r="F154" s="1135"/>
      <c r="G154" s="1083">
        <f t="shared" si="60"/>
        <v>0</v>
      </c>
      <c r="H154" s="1135"/>
      <c r="I154" s="1109">
        <f t="shared" si="61"/>
        <v>0</v>
      </c>
      <c r="J154" s="1117">
        <f t="shared" si="62"/>
        <v>0</v>
      </c>
      <c r="K154" s="1083">
        <f t="shared" si="54"/>
        <v>0</v>
      </c>
      <c r="L154" s="1109">
        <f t="shared" si="63"/>
        <v>0</v>
      </c>
      <c r="M154" s="1149">
        <f t="shared" si="64"/>
        <v>0</v>
      </c>
      <c r="N154" s="1150">
        <f t="shared" si="58"/>
        <v>30010390.309534684</v>
      </c>
      <c r="O154" s="1151">
        <f t="shared" si="57"/>
        <v>30010390.309534684</v>
      </c>
      <c r="P154" s="1157">
        <f t="shared" si="65"/>
        <v>0</v>
      </c>
      <c r="Q154" s="1158">
        <f t="shared" si="66"/>
        <v>0</v>
      </c>
      <c r="AP154" s="1010"/>
      <c r="AQ154" s="1010"/>
      <c r="AY154" s="1042"/>
      <c r="AZ154" s="675"/>
      <c r="BA154" s="675"/>
      <c r="BF154" s="1043"/>
      <c r="BG154" s="1043"/>
      <c r="BH154" s="675"/>
      <c r="BI154" s="675"/>
    </row>
    <row r="155" spans="2:61" ht="15.75" customHeight="1">
      <c r="B155" s="1143">
        <f t="shared" si="59"/>
        <v>54</v>
      </c>
      <c r="C155" s="1117">
        <f t="shared" si="68"/>
        <v>0</v>
      </c>
      <c r="D155" s="1135"/>
      <c r="E155" s="1213">
        <f t="shared" si="56"/>
        <v>0</v>
      </c>
      <c r="F155" s="1135"/>
      <c r="G155" s="1083">
        <f t="shared" si="60"/>
        <v>0</v>
      </c>
      <c r="H155" s="1135"/>
      <c r="I155" s="1109">
        <f t="shared" si="61"/>
        <v>0</v>
      </c>
      <c r="J155" s="1117">
        <f t="shared" si="62"/>
        <v>0</v>
      </c>
      <c r="K155" s="1083">
        <f t="shared" si="54"/>
        <v>0</v>
      </c>
      <c r="L155" s="1109">
        <f t="shared" si="63"/>
        <v>0</v>
      </c>
      <c r="M155" s="1149">
        <f t="shared" si="64"/>
        <v>0</v>
      </c>
      <c r="N155" s="1150">
        <f t="shared" si="58"/>
        <v>30010390.309534684</v>
      </c>
      <c r="O155" s="1151">
        <f t="shared" si="57"/>
        <v>30010390.309534684</v>
      </c>
      <c r="P155" s="1157">
        <f t="shared" si="65"/>
        <v>0</v>
      </c>
      <c r="Q155" s="1158">
        <f t="shared" si="66"/>
        <v>0</v>
      </c>
      <c r="AP155" s="1010"/>
      <c r="AQ155" s="1010"/>
      <c r="AY155" s="1042"/>
      <c r="AZ155" s="675"/>
      <c r="BA155" s="675"/>
      <c r="BF155" s="1043"/>
      <c r="BG155" s="1043"/>
      <c r="BH155" s="675"/>
      <c r="BI155" s="675"/>
    </row>
    <row r="156" spans="2:61" ht="15.75" customHeight="1">
      <c r="B156" s="1143">
        <f t="shared" si="59"/>
        <v>55</v>
      </c>
      <c r="C156" s="1117">
        <f t="shared" si="68"/>
        <v>0</v>
      </c>
      <c r="D156" s="1135"/>
      <c r="E156" s="1213">
        <f t="shared" si="56"/>
        <v>0</v>
      </c>
      <c r="F156" s="1135"/>
      <c r="G156" s="1083">
        <f t="shared" si="60"/>
        <v>0</v>
      </c>
      <c r="H156" s="1135"/>
      <c r="I156" s="1109">
        <f t="shared" si="61"/>
        <v>0</v>
      </c>
      <c r="J156" s="1117">
        <f t="shared" si="62"/>
        <v>0</v>
      </c>
      <c r="K156" s="1083">
        <f t="shared" si="54"/>
        <v>0</v>
      </c>
      <c r="L156" s="1109">
        <f t="shared" si="63"/>
        <v>0</v>
      </c>
      <c r="M156" s="1149">
        <f t="shared" si="64"/>
        <v>0</v>
      </c>
      <c r="N156" s="1150">
        <f t="shared" si="58"/>
        <v>30010390.309534684</v>
      </c>
      <c r="O156" s="1151">
        <f t="shared" si="57"/>
        <v>30010390.309534684</v>
      </c>
      <c r="P156" s="1157">
        <f t="shared" si="65"/>
        <v>0</v>
      </c>
      <c r="Q156" s="1158">
        <f t="shared" si="66"/>
        <v>0</v>
      </c>
      <c r="AP156" s="1010"/>
      <c r="AQ156" s="1010"/>
      <c r="AY156" s="1042"/>
      <c r="AZ156" s="675"/>
      <c r="BA156" s="675"/>
      <c r="BF156" s="1043"/>
      <c r="BG156" s="1043"/>
      <c r="BH156" s="675"/>
      <c r="BI156" s="675"/>
    </row>
    <row r="157" spans="2:61" ht="15.75" customHeight="1">
      <c r="B157" s="1143">
        <f t="shared" si="59"/>
        <v>56</v>
      </c>
      <c r="C157" s="1117">
        <f t="shared" si="68"/>
        <v>0</v>
      </c>
      <c r="D157" s="1135"/>
      <c r="E157" s="1213">
        <f t="shared" si="56"/>
        <v>0</v>
      </c>
      <c r="F157" s="1135"/>
      <c r="G157" s="1083">
        <f t="shared" si="60"/>
        <v>0</v>
      </c>
      <c r="H157" s="1135"/>
      <c r="I157" s="1109">
        <f t="shared" si="61"/>
        <v>0</v>
      </c>
      <c r="J157" s="1117">
        <f t="shared" si="62"/>
        <v>0</v>
      </c>
      <c r="K157" s="1083">
        <f t="shared" si="54"/>
        <v>0</v>
      </c>
      <c r="L157" s="1109">
        <f t="shared" si="63"/>
        <v>0</v>
      </c>
      <c r="M157" s="1149">
        <f t="shared" si="64"/>
        <v>0</v>
      </c>
      <c r="N157" s="1150">
        <f t="shared" si="58"/>
        <v>30010390.309534684</v>
      </c>
      <c r="O157" s="1151">
        <f t="shared" si="57"/>
        <v>30010390.309534684</v>
      </c>
      <c r="P157" s="1157">
        <f t="shared" si="65"/>
        <v>0</v>
      </c>
      <c r="Q157" s="1158">
        <f t="shared" si="66"/>
        <v>0</v>
      </c>
      <c r="AP157" s="1010"/>
      <c r="AQ157" s="1010"/>
      <c r="AY157" s="1042"/>
      <c r="AZ157" s="675"/>
      <c r="BA157" s="675"/>
      <c r="BF157" s="1043"/>
      <c r="BG157" s="1043"/>
      <c r="BH157" s="675"/>
      <c r="BI157" s="675"/>
    </row>
    <row r="158" spans="2:61" ht="15.75" customHeight="1">
      <c r="B158" s="1143">
        <f t="shared" si="59"/>
        <v>57</v>
      </c>
      <c r="C158" s="1117">
        <f t="shared" si="68"/>
        <v>0</v>
      </c>
      <c r="D158" s="1135"/>
      <c r="E158" s="1213">
        <f t="shared" si="56"/>
        <v>0</v>
      </c>
      <c r="F158" s="1135"/>
      <c r="G158" s="1083">
        <f t="shared" si="60"/>
        <v>0</v>
      </c>
      <c r="H158" s="1135"/>
      <c r="I158" s="1109">
        <f t="shared" si="61"/>
        <v>0</v>
      </c>
      <c r="J158" s="1117">
        <f t="shared" si="62"/>
        <v>0</v>
      </c>
      <c r="K158" s="1083">
        <f t="shared" si="54"/>
        <v>0</v>
      </c>
      <c r="L158" s="1109">
        <f t="shared" si="63"/>
        <v>0</v>
      </c>
      <c r="M158" s="1149">
        <f t="shared" si="64"/>
        <v>0</v>
      </c>
      <c r="N158" s="1150">
        <f t="shared" si="58"/>
        <v>30010390.309534684</v>
      </c>
      <c r="O158" s="1151">
        <f t="shared" si="57"/>
        <v>30010390.309534684</v>
      </c>
      <c r="P158" s="1157">
        <f t="shared" si="65"/>
        <v>0</v>
      </c>
      <c r="Q158" s="1158">
        <f t="shared" si="66"/>
        <v>0</v>
      </c>
      <c r="AP158" s="1010"/>
      <c r="AQ158" s="1010"/>
      <c r="AY158" s="1042"/>
      <c r="AZ158" s="675"/>
      <c r="BA158" s="675"/>
      <c r="BF158" s="1043"/>
      <c r="BG158" s="1043"/>
      <c r="BH158" s="675"/>
      <c r="BI158" s="675"/>
    </row>
    <row r="159" spans="2:61" ht="15.75" customHeight="1">
      <c r="B159" s="1143">
        <f t="shared" si="59"/>
        <v>58</v>
      </c>
      <c r="C159" s="1117">
        <f t="shared" si="68"/>
        <v>0</v>
      </c>
      <c r="D159" s="1135"/>
      <c r="E159" s="1213">
        <f t="shared" si="56"/>
        <v>0</v>
      </c>
      <c r="F159" s="1135"/>
      <c r="G159" s="1083">
        <f t="shared" si="60"/>
        <v>0</v>
      </c>
      <c r="H159" s="1135"/>
      <c r="I159" s="1109">
        <f t="shared" si="61"/>
        <v>0</v>
      </c>
      <c r="J159" s="1117">
        <f t="shared" si="62"/>
        <v>0</v>
      </c>
      <c r="K159" s="1083">
        <f t="shared" si="54"/>
        <v>0</v>
      </c>
      <c r="L159" s="1109">
        <f t="shared" si="63"/>
        <v>0</v>
      </c>
      <c r="M159" s="1149">
        <f t="shared" si="64"/>
        <v>0</v>
      </c>
      <c r="N159" s="1150">
        <f t="shared" si="58"/>
        <v>30010390.309534684</v>
      </c>
      <c r="O159" s="1151">
        <f t="shared" si="57"/>
        <v>30010390.309534684</v>
      </c>
      <c r="P159" s="1157">
        <f t="shared" si="65"/>
        <v>0</v>
      </c>
      <c r="Q159" s="1158">
        <f t="shared" si="66"/>
        <v>0</v>
      </c>
      <c r="AP159" s="1010"/>
      <c r="AQ159" s="1010"/>
      <c r="AY159" s="1042"/>
      <c r="AZ159" s="675"/>
      <c r="BA159" s="675"/>
      <c r="BF159" s="1043"/>
      <c r="BG159" s="1043"/>
      <c r="BH159" s="675"/>
      <c r="BI159" s="675"/>
    </row>
    <row r="160" spans="2:61" ht="15.75" customHeight="1">
      <c r="B160" s="1143">
        <f t="shared" si="59"/>
        <v>59</v>
      </c>
      <c r="C160" s="1117">
        <f t="shared" si="68"/>
        <v>0</v>
      </c>
      <c r="D160" s="1135"/>
      <c r="E160" s="1213">
        <f t="shared" si="56"/>
        <v>0</v>
      </c>
      <c r="F160" s="1135"/>
      <c r="G160" s="1083">
        <f t="shared" si="60"/>
        <v>0</v>
      </c>
      <c r="H160" s="1135"/>
      <c r="I160" s="1109">
        <f t="shared" si="61"/>
        <v>0</v>
      </c>
      <c r="J160" s="1117">
        <f t="shared" si="62"/>
        <v>0</v>
      </c>
      <c r="K160" s="1083">
        <f t="shared" si="54"/>
        <v>0</v>
      </c>
      <c r="L160" s="1109">
        <f t="shared" si="63"/>
        <v>0</v>
      </c>
      <c r="M160" s="1149">
        <f t="shared" si="64"/>
        <v>0</v>
      </c>
      <c r="N160" s="1150">
        <f t="shared" si="58"/>
        <v>30010390.309534684</v>
      </c>
      <c r="O160" s="1151">
        <f t="shared" si="57"/>
        <v>30010390.309534684</v>
      </c>
      <c r="P160" s="1157">
        <f t="shared" si="65"/>
        <v>0</v>
      </c>
      <c r="Q160" s="1158">
        <f t="shared" si="66"/>
        <v>0</v>
      </c>
      <c r="AP160" s="1010"/>
      <c r="AQ160" s="1010"/>
      <c r="AY160" s="1042"/>
      <c r="AZ160" s="675"/>
      <c r="BA160" s="675"/>
      <c r="BF160" s="1043"/>
      <c r="BG160" s="1043"/>
      <c r="BH160" s="675"/>
      <c r="BI160" s="675"/>
    </row>
    <row r="161" spans="2:61" ht="15.75" customHeight="1">
      <c r="B161" s="1143">
        <f t="shared" si="59"/>
        <v>60</v>
      </c>
      <c r="C161" s="1117">
        <f t="shared" si="68"/>
        <v>0</v>
      </c>
      <c r="D161" s="1135"/>
      <c r="E161" s="1213">
        <f t="shared" si="56"/>
        <v>0</v>
      </c>
      <c r="F161" s="1135"/>
      <c r="G161" s="1083">
        <f t="shared" si="60"/>
        <v>0</v>
      </c>
      <c r="H161" s="1135"/>
      <c r="I161" s="1109">
        <f t="shared" si="61"/>
        <v>0</v>
      </c>
      <c r="J161" s="1117">
        <f t="shared" si="62"/>
        <v>0</v>
      </c>
      <c r="K161" s="1083">
        <f t="shared" si="54"/>
        <v>0</v>
      </c>
      <c r="L161" s="1109">
        <f t="shared" si="63"/>
        <v>0</v>
      </c>
      <c r="M161" s="1149">
        <f t="shared" si="64"/>
        <v>0</v>
      </c>
      <c r="N161" s="1150">
        <f t="shared" si="58"/>
        <v>30010390.309534684</v>
      </c>
      <c r="O161" s="1151">
        <f t="shared" si="57"/>
        <v>30010390.309534684</v>
      </c>
      <c r="P161" s="1157">
        <f t="shared" si="65"/>
        <v>0</v>
      </c>
      <c r="Q161" s="1158">
        <f t="shared" si="66"/>
        <v>0</v>
      </c>
      <c r="R161" s="1220"/>
      <c r="AP161" s="1010"/>
      <c r="AQ161" s="1010"/>
      <c r="AY161" s="1042"/>
      <c r="AZ161" s="675"/>
      <c r="BA161" s="675"/>
      <c r="BF161" s="1043"/>
      <c r="BG161" s="1043"/>
      <c r="BH161" s="675"/>
      <c r="BI161" s="675"/>
    </row>
    <row r="162" spans="2:61" ht="15.75" customHeight="1">
      <c r="B162" s="1143">
        <f t="shared" ref="B162:B166" si="69">B86</f>
        <v>61</v>
      </c>
      <c r="C162" s="1117">
        <f t="shared" si="68"/>
        <v>0</v>
      </c>
      <c r="D162" s="1135"/>
      <c r="E162" s="1213">
        <f t="shared" si="56"/>
        <v>0</v>
      </c>
      <c r="F162" s="1135"/>
      <c r="G162" s="1083">
        <f t="shared" ref="G162:G166" si="70">Y86</f>
        <v>0</v>
      </c>
      <c r="H162" s="1135"/>
      <c r="I162" s="1109">
        <f t="shared" si="61"/>
        <v>0</v>
      </c>
      <c r="J162" s="1117">
        <f t="shared" ref="J162:J166" si="71">U86</f>
        <v>0</v>
      </c>
      <c r="K162" s="1083">
        <f t="shared" si="54"/>
        <v>0</v>
      </c>
      <c r="L162" s="1109">
        <f t="shared" ref="L162:L166" si="72">J162+K162</f>
        <v>0</v>
      </c>
      <c r="M162" s="1149">
        <f t="shared" ref="M162:M166" si="73">I162+L162</f>
        <v>0</v>
      </c>
      <c r="N162" s="1150">
        <f t="shared" si="58"/>
        <v>30010390.309534684</v>
      </c>
      <c r="O162" s="1151">
        <f t="shared" si="57"/>
        <v>30010390.309534684</v>
      </c>
      <c r="P162" s="1157">
        <f t="shared" si="65"/>
        <v>0</v>
      </c>
      <c r="Q162" s="1158"/>
      <c r="AP162" s="1010"/>
      <c r="AQ162" s="1010"/>
      <c r="AY162" s="1042"/>
      <c r="AZ162" s="675"/>
      <c r="BA162" s="675"/>
      <c r="BF162" s="1043"/>
      <c r="BG162" s="1043"/>
      <c r="BH162" s="675"/>
      <c r="BI162" s="675"/>
    </row>
    <row r="163" spans="2:61" ht="15.75" customHeight="1">
      <c r="B163" s="1143">
        <f t="shared" si="69"/>
        <v>62</v>
      </c>
      <c r="C163" s="1117">
        <f t="shared" si="68"/>
        <v>0</v>
      </c>
      <c r="D163" s="1135"/>
      <c r="E163" s="1213">
        <f t="shared" si="56"/>
        <v>0</v>
      </c>
      <c r="F163" s="1135"/>
      <c r="G163" s="1083">
        <f t="shared" si="70"/>
        <v>0</v>
      </c>
      <c r="H163" s="1135"/>
      <c r="I163" s="1109">
        <f t="shared" si="61"/>
        <v>0</v>
      </c>
      <c r="J163" s="1117">
        <f t="shared" si="71"/>
        <v>0</v>
      </c>
      <c r="K163" s="1083">
        <f t="shared" si="54"/>
        <v>0</v>
      </c>
      <c r="L163" s="1109">
        <f t="shared" si="72"/>
        <v>0</v>
      </c>
      <c r="M163" s="1149">
        <f t="shared" si="73"/>
        <v>0</v>
      </c>
      <c r="N163" s="1150">
        <f t="shared" si="58"/>
        <v>30010390.309534684</v>
      </c>
      <c r="O163" s="1151">
        <f t="shared" si="57"/>
        <v>30010390.309534684</v>
      </c>
      <c r="P163" s="1157">
        <f t="shared" si="65"/>
        <v>0</v>
      </c>
      <c r="Q163" s="1158"/>
      <c r="AP163" s="1010"/>
      <c r="AQ163" s="1010"/>
      <c r="AY163" s="1042"/>
      <c r="AZ163" s="675"/>
      <c r="BA163" s="675"/>
      <c r="BF163" s="1043"/>
      <c r="BG163" s="1043"/>
      <c r="BH163" s="675"/>
      <c r="BI163" s="675"/>
    </row>
    <row r="164" spans="2:61" ht="15.75" customHeight="1">
      <c r="B164" s="1143">
        <f t="shared" si="69"/>
        <v>63</v>
      </c>
      <c r="C164" s="1117">
        <f t="shared" si="68"/>
        <v>0</v>
      </c>
      <c r="D164" s="1135"/>
      <c r="E164" s="1213">
        <f t="shared" si="56"/>
        <v>0</v>
      </c>
      <c r="F164" s="1135"/>
      <c r="G164" s="1083">
        <f t="shared" si="70"/>
        <v>0</v>
      </c>
      <c r="H164" s="1135"/>
      <c r="I164" s="1109">
        <f t="shared" si="61"/>
        <v>0</v>
      </c>
      <c r="J164" s="1117">
        <f t="shared" si="71"/>
        <v>0</v>
      </c>
      <c r="K164" s="1083">
        <f t="shared" si="54"/>
        <v>0</v>
      </c>
      <c r="L164" s="1109">
        <f t="shared" si="72"/>
        <v>0</v>
      </c>
      <c r="M164" s="1149">
        <f t="shared" si="73"/>
        <v>0</v>
      </c>
      <c r="N164" s="1150">
        <f>O163</f>
        <v>30010390.309534684</v>
      </c>
      <c r="O164" s="1151">
        <f>M164+N164</f>
        <v>30010390.309534684</v>
      </c>
      <c r="P164" s="1157">
        <f t="shared" si="65"/>
        <v>0</v>
      </c>
      <c r="Q164" s="1158"/>
      <c r="AP164" s="1010"/>
      <c r="AQ164" s="1010"/>
      <c r="AY164" s="1042"/>
      <c r="AZ164" s="675"/>
      <c r="BA164" s="675"/>
      <c r="BF164" s="1043"/>
      <c r="BG164" s="1043"/>
      <c r="BH164" s="675"/>
      <c r="BI164" s="675"/>
    </row>
    <row r="165" spans="2:61" ht="15.75" customHeight="1">
      <c r="B165" s="1143">
        <f t="shared" si="69"/>
        <v>64</v>
      </c>
      <c r="C165" s="1117">
        <f t="shared" si="68"/>
        <v>0</v>
      </c>
      <c r="D165" s="1135"/>
      <c r="E165" s="1213">
        <f t="shared" si="56"/>
        <v>0</v>
      </c>
      <c r="F165" s="1135"/>
      <c r="G165" s="1083">
        <f t="shared" si="70"/>
        <v>0</v>
      </c>
      <c r="H165" s="1135"/>
      <c r="I165" s="1109">
        <f t="shared" si="61"/>
        <v>0</v>
      </c>
      <c r="J165" s="1117">
        <f t="shared" si="71"/>
        <v>0</v>
      </c>
      <c r="K165" s="1083">
        <f>Q164*-1</f>
        <v>0</v>
      </c>
      <c r="L165" s="1109">
        <f t="shared" si="72"/>
        <v>0</v>
      </c>
      <c r="M165" s="1149">
        <f t="shared" si="73"/>
        <v>0</v>
      </c>
      <c r="N165" s="1150">
        <f>O164</f>
        <v>30010390.309534684</v>
      </c>
      <c r="O165" s="1151">
        <f>M165+N165</f>
        <v>30010390.309534684</v>
      </c>
      <c r="P165" s="1157">
        <f t="shared" si="65"/>
        <v>0</v>
      </c>
      <c r="Q165" s="1158"/>
      <c r="AP165" s="1010"/>
      <c r="AQ165" s="1010"/>
      <c r="AY165" s="1042"/>
      <c r="AZ165" s="675"/>
      <c r="BA165" s="675"/>
      <c r="BF165" s="1043"/>
      <c r="BG165" s="1043"/>
      <c r="BH165" s="675"/>
      <c r="BI165" s="675"/>
    </row>
    <row r="166" spans="2:61" ht="15.75" customHeight="1" thickBot="1">
      <c r="B166" s="1143">
        <f t="shared" si="69"/>
        <v>65</v>
      </c>
      <c r="C166" s="1136">
        <f t="shared" si="68"/>
        <v>0</v>
      </c>
      <c r="D166" s="1137"/>
      <c r="E166" s="1213">
        <f t="shared" ref="E166" si="74">AB90+W90</f>
        <v>0</v>
      </c>
      <c r="F166" s="1137"/>
      <c r="G166" s="1138">
        <f t="shared" si="70"/>
        <v>0</v>
      </c>
      <c r="H166" s="1137"/>
      <c r="I166" s="1139">
        <f t="shared" si="61"/>
        <v>0</v>
      </c>
      <c r="J166" s="1136">
        <f t="shared" si="71"/>
        <v>0</v>
      </c>
      <c r="K166" s="1138">
        <f>Q165*-1</f>
        <v>0</v>
      </c>
      <c r="L166" s="1139">
        <f t="shared" si="72"/>
        <v>0</v>
      </c>
      <c r="M166" s="1152">
        <f t="shared" si="73"/>
        <v>0</v>
      </c>
      <c r="N166" s="1153">
        <f>O165</f>
        <v>30010390.309534684</v>
      </c>
      <c r="O166" s="1154">
        <f>M166+N166</f>
        <v>30010390.309534684</v>
      </c>
      <c r="P166" s="1159">
        <f t="shared" si="65"/>
        <v>0</v>
      </c>
      <c r="Q166" s="1160"/>
      <c r="AP166" s="1010"/>
      <c r="AQ166" s="1010"/>
      <c r="AY166" s="1042"/>
      <c r="AZ166" s="675"/>
      <c r="BA166" s="675"/>
      <c r="BF166" s="1043"/>
      <c r="BG166" s="1043"/>
      <c r="BH166" s="675"/>
      <c r="BI166" s="675"/>
    </row>
    <row r="167" spans="2:61" ht="17.25" customHeight="1" thickTop="1" thickBot="1">
      <c r="B167" s="1144"/>
      <c r="C167" s="848">
        <f t="shared" ref="C167:L167" si="75">SUM(C98:C166)</f>
        <v>235624099.12673947</v>
      </c>
      <c r="D167" s="1140">
        <f t="shared" si="75"/>
        <v>0</v>
      </c>
      <c r="E167" s="1214">
        <f t="shared" si="75"/>
        <v>51616928.36945454</v>
      </c>
      <c r="F167" s="1140">
        <f t="shared" si="75"/>
        <v>0</v>
      </c>
      <c r="G167" s="849">
        <f t="shared" si="75"/>
        <v>0</v>
      </c>
      <c r="H167" s="1140"/>
      <c r="I167" s="1141">
        <f t="shared" si="75"/>
        <v>287241027.49619401</v>
      </c>
      <c r="J167" s="848">
        <f t="shared" si="75"/>
        <v>-215575247.11656812</v>
      </c>
      <c r="K167" s="849">
        <f t="shared" si="75"/>
        <v>-41655390.070091099</v>
      </c>
      <c r="L167" s="850">
        <f t="shared" si="75"/>
        <v>-257230637.18665925</v>
      </c>
      <c r="M167" s="848">
        <f>SUM(M98:M166)</f>
        <v>30010390.309534684</v>
      </c>
      <c r="N167" s="849"/>
      <c r="O167" s="850"/>
      <c r="P167" s="851">
        <f>SUM(P98:P166)</f>
        <v>5894630670.2959127</v>
      </c>
      <c r="Q167" s="851">
        <f>SUM(Q98:Q166)</f>
        <v>41655390.070091099</v>
      </c>
      <c r="AP167" s="1010"/>
      <c r="AQ167" s="1010"/>
      <c r="AY167" s="1042"/>
      <c r="AZ167" s="675"/>
      <c r="BA167" s="675"/>
      <c r="BF167" s="1043"/>
      <c r="BG167" s="1043"/>
      <c r="BH167" s="675"/>
      <c r="BI167" s="675"/>
    </row>
    <row r="168" spans="2:61" ht="11.25" thickTop="1">
      <c r="AQ168" s="1010"/>
      <c r="AZ168" s="1042"/>
      <c r="BA168" s="675"/>
      <c r="BG168" s="1043"/>
      <c r="BI168" s="675"/>
    </row>
  </sheetData>
  <mergeCells count="167">
    <mergeCell ref="C17:C20"/>
    <mergeCell ref="B17:B20"/>
    <mergeCell ref="AB17:AB20"/>
    <mergeCell ref="AF17:AF20"/>
    <mergeCell ref="AH17:AH20"/>
    <mergeCell ref="AG17:AG20"/>
    <mergeCell ref="I95:I96"/>
    <mergeCell ref="B94:B96"/>
    <mergeCell ref="C94:I94"/>
    <mergeCell ref="J94:L94"/>
    <mergeCell ref="L95:L96"/>
    <mergeCell ref="Q94:Q96"/>
    <mergeCell ref="P94:P96"/>
    <mergeCell ref="O95:O96"/>
    <mergeCell ref="N95:N96"/>
    <mergeCell ref="M95:M96"/>
    <mergeCell ref="M94:O94"/>
    <mergeCell ref="C95:D95"/>
    <mergeCell ref="E95:F95"/>
    <mergeCell ref="G95:H95"/>
    <mergeCell ref="J95:J96"/>
    <mergeCell ref="K95:K96"/>
    <mergeCell ref="W19:W20"/>
    <mergeCell ref="X19:X20"/>
    <mergeCell ref="AH7:AK7"/>
    <mergeCell ref="AH8:AK8"/>
    <mergeCell ref="AH9:AK9"/>
    <mergeCell ref="AH10:AK10"/>
    <mergeCell ref="AH11:AK11"/>
    <mergeCell ref="AH12:AK12"/>
    <mergeCell ref="AH13:AK15"/>
    <mergeCell ref="H4:AL4"/>
    <mergeCell ref="D17:D20"/>
    <mergeCell ref="AA11:AB11"/>
    <mergeCell ref="AA10:AB10"/>
    <mergeCell ref="AA9:AB9"/>
    <mergeCell ref="AA8:AB8"/>
    <mergeCell ref="AA7:AB7"/>
    <mergeCell ref="AA6:AB6"/>
    <mergeCell ref="AA12:AB15"/>
    <mergeCell ref="AC12:AE12"/>
    <mergeCell ref="AC11:AE11"/>
    <mergeCell ref="AC10:AE10"/>
    <mergeCell ref="AC9:AE9"/>
    <mergeCell ref="AC8:AE8"/>
    <mergeCell ref="AC7:AE7"/>
    <mergeCell ref="T12:U12"/>
    <mergeCell ref="T14:U14"/>
    <mergeCell ref="V11:Y11"/>
    <mergeCell ref="V10:X10"/>
    <mergeCell ref="V9:Y9"/>
    <mergeCell ref="V8:Y8"/>
    <mergeCell ref="V7:Y7"/>
    <mergeCell ref="V12:Y15"/>
    <mergeCell ref="Q7:S7"/>
    <mergeCell ref="Q8:S8"/>
    <mergeCell ref="Q9:S9"/>
    <mergeCell ref="Q10:S10"/>
    <mergeCell ref="Q11:S11"/>
    <mergeCell ref="Q12:S12"/>
    <mergeCell ref="Q15:S15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B7:D7"/>
    <mergeCell ref="B8:D8"/>
    <mergeCell ref="B9:D9"/>
    <mergeCell ref="B10:F10"/>
    <mergeCell ref="B11:F11"/>
    <mergeCell ref="B12:F12"/>
    <mergeCell ref="B13:F13"/>
    <mergeCell ref="B14:F14"/>
    <mergeCell ref="B15:F15"/>
    <mergeCell ref="E9:G9"/>
    <mergeCell ref="W5:AA5"/>
    <mergeCell ref="AC5:AL5"/>
    <mergeCell ref="Q6:S6"/>
    <mergeCell ref="W6:Y6"/>
    <mergeCell ref="AC6:AE6"/>
    <mergeCell ref="AH6:AK6"/>
    <mergeCell ref="Q5:U5"/>
    <mergeCell ref="B4:G4"/>
    <mergeCell ref="E5:G5"/>
    <mergeCell ref="H5:J5"/>
    <mergeCell ref="K5:M5"/>
    <mergeCell ref="N5:P5"/>
    <mergeCell ref="B5:D5"/>
    <mergeCell ref="B6:D6"/>
    <mergeCell ref="E6:G6"/>
    <mergeCell ref="H6:I6"/>
    <mergeCell ref="K6:L6"/>
    <mergeCell ref="N6:O6"/>
    <mergeCell ref="AF13:AG15"/>
    <mergeCell ref="E19:E20"/>
    <mergeCell ref="F19:F20"/>
    <mergeCell ref="G19:G20"/>
    <mergeCell ref="H19:H20"/>
    <mergeCell ref="I19:I20"/>
    <mergeCell ref="J19:J20"/>
    <mergeCell ref="K19:K20"/>
    <mergeCell ref="Y18:AA18"/>
    <mergeCell ref="T15:U15"/>
    <mergeCell ref="V17:V20"/>
    <mergeCell ref="Q13:S14"/>
    <mergeCell ref="E17:T17"/>
    <mergeCell ref="U17:U20"/>
    <mergeCell ref="W17:AA17"/>
    <mergeCell ref="AC17:AC20"/>
    <mergeCell ref="AD17:AD20"/>
    <mergeCell ref="R18:R20"/>
    <mergeCell ref="S18:S20"/>
    <mergeCell ref="T18:T20"/>
    <mergeCell ref="W18:X18"/>
    <mergeCell ref="AA19:AA20"/>
    <mergeCell ref="T13:U13"/>
    <mergeCell ref="Z12:Z15"/>
    <mergeCell ref="Y19:Y20"/>
    <mergeCell ref="Z19:Z20"/>
    <mergeCell ref="O18:O20"/>
    <mergeCell ref="P18:Q18"/>
    <mergeCell ref="AI17:AI20"/>
    <mergeCell ref="AJ17:AN17"/>
    <mergeCell ref="AO17:AR17"/>
    <mergeCell ref="AQ18:AQ20"/>
    <mergeCell ref="AE17:AE20"/>
    <mergeCell ref="E18:F18"/>
    <mergeCell ref="G18:H18"/>
    <mergeCell ref="I18:J18"/>
    <mergeCell ref="K18:L18"/>
    <mergeCell ref="M18:M20"/>
    <mergeCell ref="N18:N20"/>
    <mergeCell ref="L19:L20"/>
    <mergeCell ref="P19:P20"/>
    <mergeCell ref="Q19:Q20"/>
    <mergeCell ref="AS17:AS20"/>
    <mergeCell ref="AO18:AO20"/>
    <mergeCell ref="AP18:AP20"/>
    <mergeCell ref="AJ18:AJ20"/>
    <mergeCell ref="AK18:AK20"/>
    <mergeCell ref="AL18:AL20"/>
    <mergeCell ref="AM18:AM20"/>
    <mergeCell ref="AN18:AN20"/>
    <mergeCell ref="AT17:AT20"/>
  </mergeCells>
  <phoneticPr fontId="69"/>
  <pageMargins left="0.70866141732283472" right="0.70866141732283472" top="0.74803149606299213" bottom="0.74803149606299213" header="0.31496062992125984" footer="0.31496062992125984"/>
  <pageSetup paperSize="8" scale="18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I10" sqref="I10"/>
    </sheetView>
  </sheetViews>
  <sheetFormatPr defaultColWidth="22.42578125" defaultRowHeight="30.75" customHeight="1"/>
  <cols>
    <col min="1" max="1" width="2.140625" style="550" customWidth="1"/>
    <col min="2" max="2" width="20.140625" style="550" customWidth="1"/>
    <col min="3" max="3" width="22.140625" style="550" customWidth="1"/>
    <col min="4" max="4" width="26" style="550" customWidth="1"/>
    <col min="5" max="5" width="22.85546875" style="550" customWidth="1"/>
    <col min="6" max="6" width="2.42578125" style="550" customWidth="1"/>
    <col min="7" max="256" width="22.42578125" style="550"/>
    <col min="257" max="257" width="2.140625" style="550" customWidth="1"/>
    <col min="258" max="258" width="20.140625" style="550" customWidth="1"/>
    <col min="259" max="259" width="22.140625" style="550" customWidth="1"/>
    <col min="260" max="260" width="26" style="550" customWidth="1"/>
    <col min="261" max="261" width="22.85546875" style="550" customWidth="1"/>
    <col min="262" max="262" width="2.42578125" style="550" customWidth="1"/>
    <col min="263" max="512" width="22.42578125" style="550"/>
    <col min="513" max="513" width="2.140625" style="550" customWidth="1"/>
    <col min="514" max="514" width="20.140625" style="550" customWidth="1"/>
    <col min="515" max="515" width="22.140625" style="550" customWidth="1"/>
    <col min="516" max="516" width="26" style="550" customWidth="1"/>
    <col min="517" max="517" width="22.85546875" style="550" customWidth="1"/>
    <col min="518" max="518" width="2.42578125" style="550" customWidth="1"/>
    <col min="519" max="768" width="22.42578125" style="550"/>
    <col min="769" max="769" width="2.140625" style="550" customWidth="1"/>
    <col min="770" max="770" width="20.140625" style="550" customWidth="1"/>
    <col min="771" max="771" width="22.140625" style="550" customWidth="1"/>
    <col min="772" max="772" width="26" style="550" customWidth="1"/>
    <col min="773" max="773" width="22.85546875" style="550" customWidth="1"/>
    <col min="774" max="774" width="2.42578125" style="550" customWidth="1"/>
    <col min="775" max="1024" width="22.42578125" style="550"/>
    <col min="1025" max="1025" width="2.140625" style="550" customWidth="1"/>
    <col min="1026" max="1026" width="20.140625" style="550" customWidth="1"/>
    <col min="1027" max="1027" width="22.140625" style="550" customWidth="1"/>
    <col min="1028" max="1028" width="26" style="550" customWidth="1"/>
    <col min="1029" max="1029" width="22.85546875" style="550" customWidth="1"/>
    <col min="1030" max="1030" width="2.42578125" style="550" customWidth="1"/>
    <col min="1031" max="1280" width="22.42578125" style="550"/>
    <col min="1281" max="1281" width="2.140625" style="550" customWidth="1"/>
    <col min="1282" max="1282" width="20.140625" style="550" customWidth="1"/>
    <col min="1283" max="1283" width="22.140625" style="550" customWidth="1"/>
    <col min="1284" max="1284" width="26" style="550" customWidth="1"/>
    <col min="1285" max="1285" width="22.85546875" style="550" customWidth="1"/>
    <col min="1286" max="1286" width="2.42578125" style="550" customWidth="1"/>
    <col min="1287" max="1536" width="22.42578125" style="550"/>
    <col min="1537" max="1537" width="2.140625" style="550" customWidth="1"/>
    <col min="1538" max="1538" width="20.140625" style="550" customWidth="1"/>
    <col min="1539" max="1539" width="22.140625" style="550" customWidth="1"/>
    <col min="1540" max="1540" width="26" style="550" customWidth="1"/>
    <col min="1541" max="1541" width="22.85546875" style="550" customWidth="1"/>
    <col min="1542" max="1542" width="2.42578125" style="550" customWidth="1"/>
    <col min="1543" max="1792" width="22.42578125" style="550"/>
    <col min="1793" max="1793" width="2.140625" style="550" customWidth="1"/>
    <col min="1794" max="1794" width="20.140625" style="550" customWidth="1"/>
    <col min="1795" max="1795" width="22.140625" style="550" customWidth="1"/>
    <col min="1796" max="1796" width="26" style="550" customWidth="1"/>
    <col min="1797" max="1797" width="22.85546875" style="550" customWidth="1"/>
    <col min="1798" max="1798" width="2.42578125" style="550" customWidth="1"/>
    <col min="1799" max="2048" width="22.42578125" style="550"/>
    <col min="2049" max="2049" width="2.140625" style="550" customWidth="1"/>
    <col min="2050" max="2050" width="20.140625" style="550" customWidth="1"/>
    <col min="2051" max="2051" width="22.140625" style="550" customWidth="1"/>
    <col min="2052" max="2052" width="26" style="550" customWidth="1"/>
    <col min="2053" max="2053" width="22.85546875" style="550" customWidth="1"/>
    <col min="2054" max="2054" width="2.42578125" style="550" customWidth="1"/>
    <col min="2055" max="2304" width="22.42578125" style="550"/>
    <col min="2305" max="2305" width="2.140625" style="550" customWidth="1"/>
    <col min="2306" max="2306" width="20.140625" style="550" customWidth="1"/>
    <col min="2307" max="2307" width="22.140625" style="550" customWidth="1"/>
    <col min="2308" max="2308" width="26" style="550" customWidth="1"/>
    <col min="2309" max="2309" width="22.85546875" style="550" customWidth="1"/>
    <col min="2310" max="2310" width="2.42578125" style="550" customWidth="1"/>
    <col min="2311" max="2560" width="22.42578125" style="550"/>
    <col min="2561" max="2561" width="2.140625" style="550" customWidth="1"/>
    <col min="2562" max="2562" width="20.140625" style="550" customWidth="1"/>
    <col min="2563" max="2563" width="22.140625" style="550" customWidth="1"/>
    <col min="2564" max="2564" width="26" style="550" customWidth="1"/>
    <col min="2565" max="2565" width="22.85546875" style="550" customWidth="1"/>
    <col min="2566" max="2566" width="2.42578125" style="550" customWidth="1"/>
    <col min="2567" max="2816" width="22.42578125" style="550"/>
    <col min="2817" max="2817" width="2.140625" style="550" customWidth="1"/>
    <col min="2818" max="2818" width="20.140625" style="550" customWidth="1"/>
    <col min="2819" max="2819" width="22.140625" style="550" customWidth="1"/>
    <col min="2820" max="2820" width="26" style="550" customWidth="1"/>
    <col min="2821" max="2821" width="22.85546875" style="550" customWidth="1"/>
    <col min="2822" max="2822" width="2.42578125" style="550" customWidth="1"/>
    <col min="2823" max="3072" width="22.42578125" style="550"/>
    <col min="3073" max="3073" width="2.140625" style="550" customWidth="1"/>
    <col min="3074" max="3074" width="20.140625" style="550" customWidth="1"/>
    <col min="3075" max="3075" width="22.140625" style="550" customWidth="1"/>
    <col min="3076" max="3076" width="26" style="550" customWidth="1"/>
    <col min="3077" max="3077" width="22.85546875" style="550" customWidth="1"/>
    <col min="3078" max="3078" width="2.42578125" style="550" customWidth="1"/>
    <col min="3079" max="3328" width="22.42578125" style="550"/>
    <col min="3329" max="3329" width="2.140625" style="550" customWidth="1"/>
    <col min="3330" max="3330" width="20.140625" style="550" customWidth="1"/>
    <col min="3331" max="3331" width="22.140625" style="550" customWidth="1"/>
    <col min="3332" max="3332" width="26" style="550" customWidth="1"/>
    <col min="3333" max="3333" width="22.85546875" style="550" customWidth="1"/>
    <col min="3334" max="3334" width="2.42578125" style="550" customWidth="1"/>
    <col min="3335" max="3584" width="22.42578125" style="550"/>
    <col min="3585" max="3585" width="2.140625" style="550" customWidth="1"/>
    <col min="3586" max="3586" width="20.140625" style="550" customWidth="1"/>
    <col min="3587" max="3587" width="22.140625" style="550" customWidth="1"/>
    <col min="3588" max="3588" width="26" style="550" customWidth="1"/>
    <col min="3589" max="3589" width="22.85546875" style="550" customWidth="1"/>
    <col min="3590" max="3590" width="2.42578125" style="550" customWidth="1"/>
    <col min="3591" max="3840" width="22.42578125" style="550"/>
    <col min="3841" max="3841" width="2.140625" style="550" customWidth="1"/>
    <col min="3842" max="3842" width="20.140625" style="550" customWidth="1"/>
    <col min="3843" max="3843" width="22.140625" style="550" customWidth="1"/>
    <col min="3844" max="3844" width="26" style="550" customWidth="1"/>
    <col min="3845" max="3845" width="22.85546875" style="550" customWidth="1"/>
    <col min="3846" max="3846" width="2.42578125" style="550" customWidth="1"/>
    <col min="3847" max="4096" width="22.42578125" style="550"/>
    <col min="4097" max="4097" width="2.140625" style="550" customWidth="1"/>
    <col min="4098" max="4098" width="20.140625" style="550" customWidth="1"/>
    <col min="4099" max="4099" width="22.140625" style="550" customWidth="1"/>
    <col min="4100" max="4100" width="26" style="550" customWidth="1"/>
    <col min="4101" max="4101" width="22.85546875" style="550" customWidth="1"/>
    <col min="4102" max="4102" width="2.42578125" style="550" customWidth="1"/>
    <col min="4103" max="4352" width="22.42578125" style="550"/>
    <col min="4353" max="4353" width="2.140625" style="550" customWidth="1"/>
    <col min="4354" max="4354" width="20.140625" style="550" customWidth="1"/>
    <col min="4355" max="4355" width="22.140625" style="550" customWidth="1"/>
    <col min="4356" max="4356" width="26" style="550" customWidth="1"/>
    <col min="4357" max="4357" width="22.85546875" style="550" customWidth="1"/>
    <col min="4358" max="4358" width="2.42578125" style="550" customWidth="1"/>
    <col min="4359" max="4608" width="22.42578125" style="550"/>
    <col min="4609" max="4609" width="2.140625" style="550" customWidth="1"/>
    <col min="4610" max="4610" width="20.140625" style="550" customWidth="1"/>
    <col min="4611" max="4611" width="22.140625" style="550" customWidth="1"/>
    <col min="4612" max="4612" width="26" style="550" customWidth="1"/>
    <col min="4613" max="4613" width="22.85546875" style="550" customWidth="1"/>
    <col min="4614" max="4614" width="2.42578125" style="550" customWidth="1"/>
    <col min="4615" max="4864" width="22.42578125" style="550"/>
    <col min="4865" max="4865" width="2.140625" style="550" customWidth="1"/>
    <col min="4866" max="4866" width="20.140625" style="550" customWidth="1"/>
    <col min="4867" max="4867" width="22.140625" style="550" customWidth="1"/>
    <col min="4868" max="4868" width="26" style="550" customWidth="1"/>
    <col min="4869" max="4869" width="22.85546875" style="550" customWidth="1"/>
    <col min="4870" max="4870" width="2.42578125" style="550" customWidth="1"/>
    <col min="4871" max="5120" width="22.42578125" style="550"/>
    <col min="5121" max="5121" width="2.140625" style="550" customWidth="1"/>
    <col min="5122" max="5122" width="20.140625" style="550" customWidth="1"/>
    <col min="5123" max="5123" width="22.140625" style="550" customWidth="1"/>
    <col min="5124" max="5124" width="26" style="550" customWidth="1"/>
    <col min="5125" max="5125" width="22.85546875" style="550" customWidth="1"/>
    <col min="5126" max="5126" width="2.42578125" style="550" customWidth="1"/>
    <col min="5127" max="5376" width="22.42578125" style="550"/>
    <col min="5377" max="5377" width="2.140625" style="550" customWidth="1"/>
    <col min="5378" max="5378" width="20.140625" style="550" customWidth="1"/>
    <col min="5379" max="5379" width="22.140625" style="550" customWidth="1"/>
    <col min="5380" max="5380" width="26" style="550" customWidth="1"/>
    <col min="5381" max="5381" width="22.85546875" style="550" customWidth="1"/>
    <col min="5382" max="5382" width="2.42578125" style="550" customWidth="1"/>
    <col min="5383" max="5632" width="22.42578125" style="550"/>
    <col min="5633" max="5633" width="2.140625" style="550" customWidth="1"/>
    <col min="5634" max="5634" width="20.140625" style="550" customWidth="1"/>
    <col min="5635" max="5635" width="22.140625" style="550" customWidth="1"/>
    <col min="5636" max="5636" width="26" style="550" customWidth="1"/>
    <col min="5637" max="5637" width="22.85546875" style="550" customWidth="1"/>
    <col min="5638" max="5638" width="2.42578125" style="550" customWidth="1"/>
    <col min="5639" max="5888" width="22.42578125" style="550"/>
    <col min="5889" max="5889" width="2.140625" style="550" customWidth="1"/>
    <col min="5890" max="5890" width="20.140625" style="550" customWidth="1"/>
    <col min="5891" max="5891" width="22.140625" style="550" customWidth="1"/>
    <col min="5892" max="5892" width="26" style="550" customWidth="1"/>
    <col min="5893" max="5893" width="22.85546875" style="550" customWidth="1"/>
    <col min="5894" max="5894" width="2.42578125" style="550" customWidth="1"/>
    <col min="5895" max="6144" width="22.42578125" style="550"/>
    <col min="6145" max="6145" width="2.140625" style="550" customWidth="1"/>
    <col min="6146" max="6146" width="20.140625" style="550" customWidth="1"/>
    <col min="6147" max="6147" width="22.140625" style="550" customWidth="1"/>
    <col min="6148" max="6148" width="26" style="550" customWidth="1"/>
    <col min="6149" max="6149" width="22.85546875" style="550" customWidth="1"/>
    <col min="6150" max="6150" width="2.42578125" style="550" customWidth="1"/>
    <col min="6151" max="6400" width="22.42578125" style="550"/>
    <col min="6401" max="6401" width="2.140625" style="550" customWidth="1"/>
    <col min="6402" max="6402" width="20.140625" style="550" customWidth="1"/>
    <col min="6403" max="6403" width="22.140625" style="550" customWidth="1"/>
    <col min="6404" max="6404" width="26" style="550" customWidth="1"/>
    <col min="6405" max="6405" width="22.85546875" style="550" customWidth="1"/>
    <col min="6406" max="6406" width="2.42578125" style="550" customWidth="1"/>
    <col min="6407" max="6656" width="22.42578125" style="550"/>
    <col min="6657" max="6657" width="2.140625" style="550" customWidth="1"/>
    <col min="6658" max="6658" width="20.140625" style="550" customWidth="1"/>
    <col min="6659" max="6659" width="22.140625" style="550" customWidth="1"/>
    <col min="6660" max="6660" width="26" style="550" customWidth="1"/>
    <col min="6661" max="6661" width="22.85546875" style="550" customWidth="1"/>
    <col min="6662" max="6662" width="2.42578125" style="550" customWidth="1"/>
    <col min="6663" max="6912" width="22.42578125" style="550"/>
    <col min="6913" max="6913" width="2.140625" style="550" customWidth="1"/>
    <col min="6914" max="6914" width="20.140625" style="550" customWidth="1"/>
    <col min="6915" max="6915" width="22.140625" style="550" customWidth="1"/>
    <col min="6916" max="6916" width="26" style="550" customWidth="1"/>
    <col min="6917" max="6917" width="22.85546875" style="550" customWidth="1"/>
    <col min="6918" max="6918" width="2.42578125" style="550" customWidth="1"/>
    <col min="6919" max="7168" width="22.42578125" style="550"/>
    <col min="7169" max="7169" width="2.140625" style="550" customWidth="1"/>
    <col min="7170" max="7170" width="20.140625" style="550" customWidth="1"/>
    <col min="7171" max="7171" width="22.140625" style="550" customWidth="1"/>
    <col min="7172" max="7172" width="26" style="550" customWidth="1"/>
    <col min="7173" max="7173" width="22.85546875" style="550" customWidth="1"/>
    <col min="7174" max="7174" width="2.42578125" style="550" customWidth="1"/>
    <col min="7175" max="7424" width="22.42578125" style="550"/>
    <col min="7425" max="7425" width="2.140625" style="550" customWidth="1"/>
    <col min="7426" max="7426" width="20.140625" style="550" customWidth="1"/>
    <col min="7427" max="7427" width="22.140625" style="550" customWidth="1"/>
    <col min="7428" max="7428" width="26" style="550" customWidth="1"/>
    <col min="7429" max="7429" width="22.85546875" style="550" customWidth="1"/>
    <col min="7430" max="7430" width="2.42578125" style="550" customWidth="1"/>
    <col min="7431" max="7680" width="22.42578125" style="550"/>
    <col min="7681" max="7681" width="2.140625" style="550" customWidth="1"/>
    <col min="7682" max="7682" width="20.140625" style="550" customWidth="1"/>
    <col min="7683" max="7683" width="22.140625" style="550" customWidth="1"/>
    <col min="7684" max="7684" width="26" style="550" customWidth="1"/>
    <col min="7685" max="7685" width="22.85546875" style="550" customWidth="1"/>
    <col min="7686" max="7686" width="2.42578125" style="550" customWidth="1"/>
    <col min="7687" max="7936" width="22.42578125" style="550"/>
    <col min="7937" max="7937" width="2.140625" style="550" customWidth="1"/>
    <col min="7938" max="7938" width="20.140625" style="550" customWidth="1"/>
    <col min="7939" max="7939" width="22.140625" style="550" customWidth="1"/>
    <col min="7940" max="7940" width="26" style="550" customWidth="1"/>
    <col min="7941" max="7941" width="22.85546875" style="550" customWidth="1"/>
    <col min="7942" max="7942" width="2.42578125" style="550" customWidth="1"/>
    <col min="7943" max="8192" width="22.42578125" style="550"/>
    <col min="8193" max="8193" width="2.140625" style="550" customWidth="1"/>
    <col min="8194" max="8194" width="20.140625" style="550" customWidth="1"/>
    <col min="8195" max="8195" width="22.140625" style="550" customWidth="1"/>
    <col min="8196" max="8196" width="26" style="550" customWidth="1"/>
    <col min="8197" max="8197" width="22.85546875" style="550" customWidth="1"/>
    <col min="8198" max="8198" width="2.42578125" style="550" customWidth="1"/>
    <col min="8199" max="8448" width="22.42578125" style="550"/>
    <col min="8449" max="8449" width="2.140625" style="550" customWidth="1"/>
    <col min="8450" max="8450" width="20.140625" style="550" customWidth="1"/>
    <col min="8451" max="8451" width="22.140625" style="550" customWidth="1"/>
    <col min="8452" max="8452" width="26" style="550" customWidth="1"/>
    <col min="8453" max="8453" width="22.85546875" style="550" customWidth="1"/>
    <col min="8454" max="8454" width="2.42578125" style="550" customWidth="1"/>
    <col min="8455" max="8704" width="22.42578125" style="550"/>
    <col min="8705" max="8705" width="2.140625" style="550" customWidth="1"/>
    <col min="8706" max="8706" width="20.140625" style="550" customWidth="1"/>
    <col min="8707" max="8707" width="22.140625" style="550" customWidth="1"/>
    <col min="8708" max="8708" width="26" style="550" customWidth="1"/>
    <col min="8709" max="8709" width="22.85546875" style="550" customWidth="1"/>
    <col min="8710" max="8710" width="2.42578125" style="550" customWidth="1"/>
    <col min="8711" max="8960" width="22.42578125" style="550"/>
    <col min="8961" max="8961" width="2.140625" style="550" customWidth="1"/>
    <col min="8962" max="8962" width="20.140625" style="550" customWidth="1"/>
    <col min="8963" max="8963" width="22.140625" style="550" customWidth="1"/>
    <col min="8964" max="8964" width="26" style="550" customWidth="1"/>
    <col min="8965" max="8965" width="22.85546875" style="550" customWidth="1"/>
    <col min="8966" max="8966" width="2.42578125" style="550" customWidth="1"/>
    <col min="8967" max="9216" width="22.42578125" style="550"/>
    <col min="9217" max="9217" width="2.140625" style="550" customWidth="1"/>
    <col min="9218" max="9218" width="20.140625" style="550" customWidth="1"/>
    <col min="9219" max="9219" width="22.140625" style="550" customWidth="1"/>
    <col min="9220" max="9220" width="26" style="550" customWidth="1"/>
    <col min="9221" max="9221" width="22.85546875" style="550" customWidth="1"/>
    <col min="9222" max="9222" width="2.42578125" style="550" customWidth="1"/>
    <col min="9223" max="9472" width="22.42578125" style="550"/>
    <col min="9473" max="9473" width="2.140625" style="550" customWidth="1"/>
    <col min="9474" max="9474" width="20.140625" style="550" customWidth="1"/>
    <col min="9475" max="9475" width="22.140625" style="550" customWidth="1"/>
    <col min="9476" max="9476" width="26" style="550" customWidth="1"/>
    <col min="9477" max="9477" width="22.85546875" style="550" customWidth="1"/>
    <col min="9478" max="9478" width="2.42578125" style="550" customWidth="1"/>
    <col min="9479" max="9728" width="22.42578125" style="550"/>
    <col min="9729" max="9729" width="2.140625" style="550" customWidth="1"/>
    <col min="9730" max="9730" width="20.140625" style="550" customWidth="1"/>
    <col min="9731" max="9731" width="22.140625" style="550" customWidth="1"/>
    <col min="9732" max="9732" width="26" style="550" customWidth="1"/>
    <col min="9733" max="9733" width="22.85546875" style="550" customWidth="1"/>
    <col min="9734" max="9734" width="2.42578125" style="550" customWidth="1"/>
    <col min="9735" max="9984" width="22.42578125" style="550"/>
    <col min="9985" max="9985" width="2.140625" style="550" customWidth="1"/>
    <col min="9986" max="9986" width="20.140625" style="550" customWidth="1"/>
    <col min="9987" max="9987" width="22.140625" style="550" customWidth="1"/>
    <col min="9988" max="9988" width="26" style="550" customWidth="1"/>
    <col min="9989" max="9989" width="22.85546875" style="550" customWidth="1"/>
    <col min="9990" max="9990" width="2.42578125" style="550" customWidth="1"/>
    <col min="9991" max="10240" width="22.42578125" style="550"/>
    <col min="10241" max="10241" width="2.140625" style="550" customWidth="1"/>
    <col min="10242" max="10242" width="20.140625" style="550" customWidth="1"/>
    <col min="10243" max="10243" width="22.140625" style="550" customWidth="1"/>
    <col min="10244" max="10244" width="26" style="550" customWidth="1"/>
    <col min="10245" max="10245" width="22.85546875" style="550" customWidth="1"/>
    <col min="10246" max="10246" width="2.42578125" style="550" customWidth="1"/>
    <col min="10247" max="10496" width="22.42578125" style="550"/>
    <col min="10497" max="10497" width="2.140625" style="550" customWidth="1"/>
    <col min="10498" max="10498" width="20.140625" style="550" customWidth="1"/>
    <col min="10499" max="10499" width="22.140625" style="550" customWidth="1"/>
    <col min="10500" max="10500" width="26" style="550" customWidth="1"/>
    <col min="10501" max="10501" width="22.85546875" style="550" customWidth="1"/>
    <col min="10502" max="10502" width="2.42578125" style="550" customWidth="1"/>
    <col min="10503" max="10752" width="22.42578125" style="550"/>
    <col min="10753" max="10753" width="2.140625" style="550" customWidth="1"/>
    <col min="10754" max="10754" width="20.140625" style="550" customWidth="1"/>
    <col min="10755" max="10755" width="22.140625" style="550" customWidth="1"/>
    <col min="10756" max="10756" width="26" style="550" customWidth="1"/>
    <col min="10757" max="10757" width="22.85546875" style="550" customWidth="1"/>
    <col min="10758" max="10758" width="2.42578125" style="550" customWidth="1"/>
    <col min="10759" max="11008" width="22.42578125" style="550"/>
    <col min="11009" max="11009" width="2.140625" style="550" customWidth="1"/>
    <col min="11010" max="11010" width="20.140625" style="550" customWidth="1"/>
    <col min="11011" max="11011" width="22.140625" style="550" customWidth="1"/>
    <col min="11012" max="11012" width="26" style="550" customWidth="1"/>
    <col min="11013" max="11013" width="22.85546875" style="550" customWidth="1"/>
    <col min="11014" max="11014" width="2.42578125" style="550" customWidth="1"/>
    <col min="11015" max="11264" width="22.42578125" style="550"/>
    <col min="11265" max="11265" width="2.140625" style="550" customWidth="1"/>
    <col min="11266" max="11266" width="20.140625" style="550" customWidth="1"/>
    <col min="11267" max="11267" width="22.140625" style="550" customWidth="1"/>
    <col min="11268" max="11268" width="26" style="550" customWidth="1"/>
    <col min="11269" max="11269" width="22.85546875" style="550" customWidth="1"/>
    <col min="11270" max="11270" width="2.42578125" style="550" customWidth="1"/>
    <col min="11271" max="11520" width="22.42578125" style="550"/>
    <col min="11521" max="11521" width="2.140625" style="550" customWidth="1"/>
    <col min="11522" max="11522" width="20.140625" style="550" customWidth="1"/>
    <col min="11523" max="11523" width="22.140625" style="550" customWidth="1"/>
    <col min="11524" max="11524" width="26" style="550" customWidth="1"/>
    <col min="11525" max="11525" width="22.85546875" style="550" customWidth="1"/>
    <col min="11526" max="11526" width="2.42578125" style="550" customWidth="1"/>
    <col min="11527" max="11776" width="22.42578125" style="550"/>
    <col min="11777" max="11777" width="2.140625" style="550" customWidth="1"/>
    <col min="11778" max="11778" width="20.140625" style="550" customWidth="1"/>
    <col min="11779" max="11779" width="22.140625" style="550" customWidth="1"/>
    <col min="11780" max="11780" width="26" style="550" customWidth="1"/>
    <col min="11781" max="11781" width="22.85546875" style="550" customWidth="1"/>
    <col min="11782" max="11782" width="2.42578125" style="550" customWidth="1"/>
    <col min="11783" max="12032" width="22.42578125" style="550"/>
    <col min="12033" max="12033" width="2.140625" style="550" customWidth="1"/>
    <col min="12034" max="12034" width="20.140625" style="550" customWidth="1"/>
    <col min="12035" max="12035" width="22.140625" style="550" customWidth="1"/>
    <col min="12036" max="12036" width="26" style="550" customWidth="1"/>
    <col min="12037" max="12037" width="22.85546875" style="550" customWidth="1"/>
    <col min="12038" max="12038" width="2.42578125" style="550" customWidth="1"/>
    <col min="12039" max="12288" width="22.42578125" style="550"/>
    <col min="12289" max="12289" width="2.140625" style="550" customWidth="1"/>
    <col min="12290" max="12290" width="20.140625" style="550" customWidth="1"/>
    <col min="12291" max="12291" width="22.140625" style="550" customWidth="1"/>
    <col min="12292" max="12292" width="26" style="550" customWidth="1"/>
    <col min="12293" max="12293" width="22.85546875" style="550" customWidth="1"/>
    <col min="12294" max="12294" width="2.42578125" style="550" customWidth="1"/>
    <col min="12295" max="12544" width="22.42578125" style="550"/>
    <col min="12545" max="12545" width="2.140625" style="550" customWidth="1"/>
    <col min="12546" max="12546" width="20.140625" style="550" customWidth="1"/>
    <col min="12547" max="12547" width="22.140625" style="550" customWidth="1"/>
    <col min="12548" max="12548" width="26" style="550" customWidth="1"/>
    <col min="12549" max="12549" width="22.85546875" style="550" customWidth="1"/>
    <col min="12550" max="12550" width="2.42578125" style="550" customWidth="1"/>
    <col min="12551" max="12800" width="22.42578125" style="550"/>
    <col min="12801" max="12801" width="2.140625" style="550" customWidth="1"/>
    <col min="12802" max="12802" width="20.140625" style="550" customWidth="1"/>
    <col min="12803" max="12803" width="22.140625" style="550" customWidth="1"/>
    <col min="12804" max="12804" width="26" style="550" customWidth="1"/>
    <col min="12805" max="12805" width="22.85546875" style="550" customWidth="1"/>
    <col min="12806" max="12806" width="2.42578125" style="550" customWidth="1"/>
    <col min="12807" max="13056" width="22.42578125" style="550"/>
    <col min="13057" max="13057" width="2.140625" style="550" customWidth="1"/>
    <col min="13058" max="13058" width="20.140625" style="550" customWidth="1"/>
    <col min="13059" max="13059" width="22.140625" style="550" customWidth="1"/>
    <col min="13060" max="13060" width="26" style="550" customWidth="1"/>
    <col min="13061" max="13061" width="22.85546875" style="550" customWidth="1"/>
    <col min="13062" max="13062" width="2.42578125" style="550" customWidth="1"/>
    <col min="13063" max="13312" width="22.42578125" style="550"/>
    <col min="13313" max="13313" width="2.140625" style="550" customWidth="1"/>
    <col min="13314" max="13314" width="20.140625" style="550" customWidth="1"/>
    <col min="13315" max="13315" width="22.140625" style="550" customWidth="1"/>
    <col min="13316" max="13316" width="26" style="550" customWidth="1"/>
    <col min="13317" max="13317" width="22.85546875" style="550" customWidth="1"/>
    <col min="13318" max="13318" width="2.42578125" style="550" customWidth="1"/>
    <col min="13319" max="13568" width="22.42578125" style="550"/>
    <col min="13569" max="13569" width="2.140625" style="550" customWidth="1"/>
    <col min="13570" max="13570" width="20.140625" style="550" customWidth="1"/>
    <col min="13571" max="13571" width="22.140625" style="550" customWidth="1"/>
    <col min="13572" max="13572" width="26" style="550" customWidth="1"/>
    <col min="13573" max="13573" width="22.85546875" style="550" customWidth="1"/>
    <col min="13574" max="13574" width="2.42578125" style="550" customWidth="1"/>
    <col min="13575" max="13824" width="22.42578125" style="550"/>
    <col min="13825" max="13825" width="2.140625" style="550" customWidth="1"/>
    <col min="13826" max="13826" width="20.140625" style="550" customWidth="1"/>
    <col min="13827" max="13827" width="22.140625" style="550" customWidth="1"/>
    <col min="13828" max="13828" width="26" style="550" customWidth="1"/>
    <col min="13829" max="13829" width="22.85546875" style="550" customWidth="1"/>
    <col min="13830" max="13830" width="2.42578125" style="550" customWidth="1"/>
    <col min="13831" max="14080" width="22.42578125" style="550"/>
    <col min="14081" max="14081" width="2.140625" style="550" customWidth="1"/>
    <col min="14082" max="14082" width="20.140625" style="550" customWidth="1"/>
    <col min="14083" max="14083" width="22.140625" style="550" customWidth="1"/>
    <col min="14084" max="14084" width="26" style="550" customWidth="1"/>
    <col min="14085" max="14085" width="22.85546875" style="550" customWidth="1"/>
    <col min="14086" max="14086" width="2.42578125" style="550" customWidth="1"/>
    <col min="14087" max="14336" width="22.42578125" style="550"/>
    <col min="14337" max="14337" width="2.140625" style="550" customWidth="1"/>
    <col min="14338" max="14338" width="20.140625" style="550" customWidth="1"/>
    <col min="14339" max="14339" width="22.140625" style="550" customWidth="1"/>
    <col min="14340" max="14340" width="26" style="550" customWidth="1"/>
    <col min="14341" max="14341" width="22.85546875" style="550" customWidth="1"/>
    <col min="14342" max="14342" width="2.42578125" style="550" customWidth="1"/>
    <col min="14343" max="14592" width="22.42578125" style="550"/>
    <col min="14593" max="14593" width="2.140625" style="550" customWidth="1"/>
    <col min="14594" max="14594" width="20.140625" style="550" customWidth="1"/>
    <col min="14595" max="14595" width="22.140625" style="550" customWidth="1"/>
    <col min="14596" max="14596" width="26" style="550" customWidth="1"/>
    <col min="14597" max="14597" width="22.85546875" style="550" customWidth="1"/>
    <col min="14598" max="14598" width="2.42578125" style="550" customWidth="1"/>
    <col min="14599" max="14848" width="22.42578125" style="550"/>
    <col min="14849" max="14849" width="2.140625" style="550" customWidth="1"/>
    <col min="14850" max="14850" width="20.140625" style="550" customWidth="1"/>
    <col min="14851" max="14851" width="22.140625" style="550" customWidth="1"/>
    <col min="14852" max="14852" width="26" style="550" customWidth="1"/>
    <col min="14853" max="14853" width="22.85546875" style="550" customWidth="1"/>
    <col min="14854" max="14854" width="2.42578125" style="550" customWidth="1"/>
    <col min="14855" max="15104" width="22.42578125" style="550"/>
    <col min="15105" max="15105" width="2.140625" style="550" customWidth="1"/>
    <col min="15106" max="15106" width="20.140625" style="550" customWidth="1"/>
    <col min="15107" max="15107" width="22.140625" style="550" customWidth="1"/>
    <col min="15108" max="15108" width="26" style="550" customWidth="1"/>
    <col min="15109" max="15109" width="22.85546875" style="550" customWidth="1"/>
    <col min="15110" max="15110" width="2.42578125" style="550" customWidth="1"/>
    <col min="15111" max="15360" width="22.42578125" style="550"/>
    <col min="15361" max="15361" width="2.140625" style="550" customWidth="1"/>
    <col min="15362" max="15362" width="20.140625" style="550" customWidth="1"/>
    <col min="15363" max="15363" width="22.140625" style="550" customWidth="1"/>
    <col min="15364" max="15364" width="26" style="550" customWidth="1"/>
    <col min="15365" max="15365" width="22.85546875" style="550" customWidth="1"/>
    <col min="15366" max="15366" width="2.42578125" style="550" customWidth="1"/>
    <col min="15367" max="15616" width="22.42578125" style="550"/>
    <col min="15617" max="15617" width="2.140625" style="550" customWidth="1"/>
    <col min="15618" max="15618" width="20.140625" style="550" customWidth="1"/>
    <col min="15619" max="15619" width="22.140625" style="550" customWidth="1"/>
    <col min="15620" max="15620" width="26" style="550" customWidth="1"/>
    <col min="15621" max="15621" width="22.85546875" style="550" customWidth="1"/>
    <col min="15622" max="15622" width="2.42578125" style="550" customWidth="1"/>
    <col min="15623" max="15872" width="22.42578125" style="550"/>
    <col min="15873" max="15873" width="2.140625" style="550" customWidth="1"/>
    <col min="15874" max="15874" width="20.140625" style="550" customWidth="1"/>
    <col min="15875" max="15875" width="22.140625" style="550" customWidth="1"/>
    <col min="15876" max="15876" width="26" style="550" customWidth="1"/>
    <col min="15877" max="15877" width="22.85546875" style="550" customWidth="1"/>
    <col min="15878" max="15878" width="2.42578125" style="550" customWidth="1"/>
    <col min="15879" max="16128" width="22.42578125" style="550"/>
    <col min="16129" max="16129" width="2.140625" style="550" customWidth="1"/>
    <col min="16130" max="16130" width="20.140625" style="550" customWidth="1"/>
    <col min="16131" max="16131" width="22.140625" style="550" customWidth="1"/>
    <col min="16132" max="16132" width="26" style="550" customWidth="1"/>
    <col min="16133" max="16133" width="22.85546875" style="550" customWidth="1"/>
    <col min="16134" max="16134" width="2.42578125" style="550" customWidth="1"/>
    <col min="16135" max="16384" width="22.42578125" style="550"/>
  </cols>
  <sheetData>
    <row r="1" spans="1:6" ht="9.75" customHeight="1" thickBot="1">
      <c r="A1" s="549"/>
      <c r="B1" s="549"/>
      <c r="C1" s="549"/>
      <c r="D1" s="549"/>
      <c r="E1" s="549"/>
      <c r="F1" s="549"/>
    </row>
    <row r="2" spans="1:6" ht="30.75" customHeight="1" thickTop="1" thickBot="1">
      <c r="A2" s="549"/>
      <c r="B2" s="551" t="s">
        <v>228</v>
      </c>
      <c r="C2" s="552"/>
      <c r="D2" s="552"/>
      <c r="E2" s="553"/>
      <c r="F2" s="549"/>
    </row>
    <row r="3" spans="1:6" s="556" customFormat="1" ht="30.75" customHeight="1" thickTop="1" thickBot="1">
      <c r="A3" s="549"/>
      <c r="B3" s="554" t="s">
        <v>229</v>
      </c>
      <c r="C3" s="554" t="s">
        <v>230</v>
      </c>
      <c r="D3" s="554" t="s">
        <v>231</v>
      </c>
      <c r="E3" s="554" t="s">
        <v>232</v>
      </c>
      <c r="F3" s="555"/>
    </row>
    <row r="4" spans="1:6" s="561" customFormat="1" ht="30.75" customHeight="1" thickTop="1" thickBot="1">
      <c r="A4" s="549"/>
      <c r="B4" s="557">
        <v>36</v>
      </c>
      <c r="C4" s="558">
        <v>7.6100000000000001E-2</v>
      </c>
      <c r="D4" s="559" t="s">
        <v>233</v>
      </c>
      <c r="E4" s="560">
        <f>IF(D4="M",12*RATE(B4,-(1*(1+(C4*B4/12)))/B4,1,0,1),IF(D4="B",12*RATE(B4,-(1*(1+(C4*B4/12)))/B4,1,0,0)," "))</f>
        <v>0.14740878049156361</v>
      </c>
      <c r="F4" s="555"/>
    </row>
    <row r="5" spans="1:6" ht="10.5" customHeight="1" thickTop="1" thickBot="1">
      <c r="A5" s="549"/>
      <c r="B5" s="562"/>
      <c r="C5" s="563"/>
      <c r="D5" s="564"/>
      <c r="E5" s="563"/>
      <c r="F5" s="555"/>
    </row>
    <row r="6" spans="1:6" s="568" customFormat="1" ht="30.75" customHeight="1" thickTop="1" thickBot="1">
      <c r="A6" s="549"/>
      <c r="B6" s="565" t="s">
        <v>234</v>
      </c>
      <c r="C6" s="566"/>
      <c r="D6" s="566"/>
      <c r="E6" s="567"/>
      <c r="F6" s="549"/>
    </row>
    <row r="7" spans="1:6" ht="30.75" customHeight="1" thickTop="1" thickBot="1">
      <c r="A7" s="549"/>
      <c r="B7" s="569" t="s">
        <v>229</v>
      </c>
      <c r="C7" s="569" t="s">
        <v>232</v>
      </c>
      <c r="D7" s="569" t="s">
        <v>231</v>
      </c>
      <c r="E7" s="569" t="s">
        <v>230</v>
      </c>
      <c r="F7" s="549"/>
    </row>
    <row r="8" spans="1:6" ht="30.75" customHeight="1" thickTop="1" thickBot="1">
      <c r="A8" s="549"/>
      <c r="B8" s="570">
        <v>36</v>
      </c>
      <c r="C8" s="571">
        <v>0.1575</v>
      </c>
      <c r="D8" s="572" t="s">
        <v>233</v>
      </c>
      <c r="E8" s="573">
        <f>IF(D8="M",(((PMT(C8/12,B8,1,0,1)*(-1))*B8)-1)*12/B8,IF(D8="B",(((PMT(C8/12,B8,1,0,0)*(-1))*B8)-1)*12/B8," "))</f>
        <v>8.1625123511595898E-2</v>
      </c>
      <c r="F8" s="549"/>
    </row>
    <row r="9" spans="1:6" ht="30.75" customHeight="1" thickTop="1">
      <c r="A9" s="549"/>
      <c r="B9" s="549"/>
      <c r="C9" s="549"/>
      <c r="D9" s="549"/>
      <c r="E9" s="549"/>
      <c r="F9" s="549"/>
    </row>
  </sheetData>
  <sheetProtection password="8001" sheet="1" objects="1" scenarios="1"/>
  <phoneticPr fontId="69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A10" zoomScale="85" zoomScaleNormal="85" workbookViewId="0">
      <selection activeCell="M7" sqref="M7"/>
    </sheetView>
  </sheetViews>
  <sheetFormatPr defaultColWidth="9.140625" defaultRowHeight="10.5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788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295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723" t="s">
        <v>61</v>
      </c>
      <c r="C4" s="1723"/>
      <c r="D4" s="1723"/>
      <c r="E4" s="1723"/>
      <c r="F4" s="1723"/>
      <c r="G4" s="1723"/>
      <c r="H4" s="1723" t="s">
        <v>62</v>
      </c>
      <c r="I4" s="1723"/>
      <c r="J4" s="1723"/>
      <c r="K4" s="1723"/>
      <c r="L4" s="1723"/>
      <c r="M4" s="1723"/>
      <c r="N4" s="1723"/>
      <c r="O4" s="1723"/>
      <c r="P4" s="1723"/>
      <c r="Q4" s="1723"/>
      <c r="R4" s="1723"/>
      <c r="S4" s="1723"/>
      <c r="T4" s="1723"/>
      <c r="U4" s="1723"/>
      <c r="V4" s="1723"/>
      <c r="W4" s="1723"/>
      <c r="X4" s="1723"/>
      <c r="Y4" s="1723"/>
      <c r="Z4" s="1723"/>
      <c r="AA4" s="1723"/>
      <c r="AB4" s="1723"/>
      <c r="AC4" s="1723"/>
      <c r="AD4" s="1723"/>
      <c r="AE4" s="1723"/>
      <c r="AF4" s="1723"/>
      <c r="AG4" s="1723"/>
      <c r="AH4" s="1723"/>
      <c r="AI4" s="1723"/>
      <c r="AJ4" s="1723"/>
      <c r="AK4" s="1723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592" t="s">
        <v>63</v>
      </c>
      <c r="C5" s="1592"/>
      <c r="D5" s="1592"/>
      <c r="E5" s="1592"/>
      <c r="F5" s="1592"/>
      <c r="G5" s="1592"/>
      <c r="H5" s="1722" t="s">
        <v>65</v>
      </c>
      <c r="I5" s="1722"/>
      <c r="J5" s="1722"/>
      <c r="K5" s="1722" t="s">
        <v>66</v>
      </c>
      <c r="L5" s="1722"/>
      <c r="M5" s="1722"/>
      <c r="N5" s="1722" t="s">
        <v>67</v>
      </c>
      <c r="O5" s="1722"/>
      <c r="P5" s="1722"/>
      <c r="Q5" s="1722" t="s">
        <v>68</v>
      </c>
      <c r="R5" s="1722"/>
      <c r="S5" s="1722"/>
      <c r="T5" s="1722"/>
      <c r="U5" s="1722"/>
      <c r="V5" s="1722" t="s">
        <v>69</v>
      </c>
      <c r="W5" s="1722"/>
      <c r="X5" s="1722"/>
      <c r="Y5" s="1722"/>
      <c r="Z5" s="1722"/>
      <c r="AA5" s="1722"/>
      <c r="AB5" s="1722" t="s">
        <v>70</v>
      </c>
      <c r="AC5" s="1722"/>
      <c r="AD5" s="1722"/>
      <c r="AE5" s="1722"/>
      <c r="AF5" s="1722"/>
      <c r="AG5" s="1722"/>
      <c r="AH5" s="1722"/>
      <c r="AI5" s="1722"/>
      <c r="AJ5" s="1722"/>
      <c r="AK5" s="1722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669" t="s">
        <v>71</v>
      </c>
      <c r="C6" s="1669"/>
      <c r="D6" s="1669"/>
      <c r="E6" s="1669"/>
      <c r="F6" s="1669"/>
      <c r="G6" s="1669"/>
      <c r="H6" s="1594" t="s">
        <v>72</v>
      </c>
      <c r="I6" s="1594"/>
      <c r="J6" s="866">
        <f>'①Tidak termasuk VAT TAX'!J6</f>
        <v>4908835.3984737359</v>
      </c>
      <c r="K6" s="1592" t="s">
        <v>73</v>
      </c>
      <c r="L6" s="1592"/>
      <c r="M6" s="867">
        <f>'①Tidak termasuk VAT TAX'!M6</f>
        <v>234235236</v>
      </c>
      <c r="N6" s="1594" t="s">
        <v>74</v>
      </c>
      <c r="O6" s="1594"/>
      <c r="P6" s="868">
        <f>'①Tidak termasuk VAT TAX'!P6</f>
        <v>0</v>
      </c>
      <c r="Q6" s="1586" t="s">
        <v>75</v>
      </c>
      <c r="R6" s="1586"/>
      <c r="S6" s="1586"/>
      <c r="T6" s="875" t="s">
        <v>76</v>
      </c>
      <c r="U6" s="875" t="s">
        <v>77</v>
      </c>
      <c r="V6" s="1587" t="s">
        <v>75</v>
      </c>
      <c r="W6" s="1587"/>
      <c r="X6" s="1587"/>
      <c r="Y6" s="875" t="s">
        <v>76</v>
      </c>
      <c r="Z6" s="1587" t="s">
        <v>77</v>
      </c>
      <c r="AA6" s="1587"/>
      <c r="AB6" s="1587" t="s">
        <v>78</v>
      </c>
      <c r="AC6" s="1587"/>
      <c r="AD6" s="1587"/>
      <c r="AE6" s="875" t="s">
        <v>79</v>
      </c>
      <c r="AF6" s="875" t="s">
        <v>80</v>
      </c>
      <c r="AG6" s="1587" t="s">
        <v>81</v>
      </c>
      <c r="AH6" s="1587"/>
      <c r="AI6" s="1587"/>
      <c r="AJ6" s="1587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666" t="s">
        <v>82</v>
      </c>
      <c r="C7" s="1667"/>
      <c r="D7" s="1668"/>
      <c r="E7" s="863">
        <v>1</v>
      </c>
      <c r="F7" s="864">
        <v>1</v>
      </c>
      <c r="G7" s="865">
        <v>2018</v>
      </c>
      <c r="H7" s="1594" t="s">
        <v>83</v>
      </c>
      <c r="I7" s="1594"/>
      <c r="J7" s="866">
        <f>'①Tidak termasuk VAT TAX'!J7</f>
        <v>48</v>
      </c>
      <c r="K7" s="1592" t="s">
        <v>84</v>
      </c>
      <c r="L7" s="1592"/>
      <c r="M7" s="867">
        <f>'①Tidak termasuk VAT TAX'!M7</f>
        <v>-2500000</v>
      </c>
      <c r="N7" s="1594" t="s">
        <v>85</v>
      </c>
      <c r="O7" s="1594"/>
      <c r="P7" s="868">
        <f>'①Tidak termasuk VAT TAX'!P7</f>
        <v>0</v>
      </c>
      <c r="Q7" s="1600" t="s">
        <v>86</v>
      </c>
      <c r="R7" s="1600"/>
      <c r="S7" s="1600"/>
      <c r="T7" s="862">
        <f>'①Tidak termasuk VAT TAX'!T7</f>
        <v>2500</v>
      </c>
      <c r="U7" s="862">
        <f>'①Tidak termasuk VAT TAX'!U7</f>
        <v>120000</v>
      </c>
      <c r="V7" s="1587" t="s">
        <v>87</v>
      </c>
      <c r="W7" s="1587"/>
      <c r="X7" s="1587"/>
      <c r="Y7" s="862"/>
      <c r="Z7" s="862">
        <f>'①Tidak termasuk VAT TAX'!AF7</f>
        <v>0</v>
      </c>
      <c r="AA7" s="862"/>
      <c r="AB7" s="1594" t="s">
        <v>88</v>
      </c>
      <c r="AC7" s="1594"/>
      <c r="AD7" s="1594"/>
      <c r="AE7" s="869">
        <f>'①Tidak termasuk VAT TAX'!AF7</f>
        <v>0</v>
      </c>
      <c r="AF7" s="862">
        <f>AE7*M8</f>
        <v>0</v>
      </c>
      <c r="AG7" s="1594" t="s">
        <v>89</v>
      </c>
      <c r="AH7" s="1594"/>
      <c r="AI7" s="1594"/>
      <c r="AJ7" s="1594"/>
      <c r="AK7" s="862">
        <f>'①Tidak termasuk VAT TAX'!AL7</f>
        <v>0</v>
      </c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666" t="s">
        <v>90</v>
      </c>
      <c r="C8" s="1667"/>
      <c r="D8" s="1668"/>
      <c r="E8" s="863">
        <v>1</v>
      </c>
      <c r="F8" s="864">
        <v>1</v>
      </c>
      <c r="G8" s="870">
        <f>G7</f>
        <v>2018</v>
      </c>
      <c r="H8" s="1592" t="s">
        <v>92</v>
      </c>
      <c r="I8" s="1592"/>
      <c r="J8" s="866" t="str">
        <f>'①Tidak termasuk VAT TAX'!J8</f>
        <v>City</v>
      </c>
      <c r="K8" s="1592" t="s">
        <v>94</v>
      </c>
      <c r="L8" s="1592"/>
      <c r="M8" s="867">
        <f>'①Tidak termasuk VAT TAX'!M8</f>
        <v>231735236</v>
      </c>
      <c r="N8" s="1594" t="s">
        <v>95</v>
      </c>
      <c r="O8" s="1594"/>
      <c r="P8" s="868">
        <f>'①Tidak termasuk VAT TAX'!P8</f>
        <v>0</v>
      </c>
      <c r="Q8" s="1600" t="s">
        <v>96</v>
      </c>
      <c r="R8" s="1600"/>
      <c r="S8" s="1600"/>
      <c r="T8" s="862">
        <f>'①Tidak termasuk VAT TAX'!T8</f>
        <v>0</v>
      </c>
      <c r="U8" s="862">
        <f>'①Tidak termasuk VAT TAX'!U8</f>
        <v>0</v>
      </c>
      <c r="V8" s="1587" t="s">
        <v>97</v>
      </c>
      <c r="W8" s="1587"/>
      <c r="X8" s="1587"/>
      <c r="Y8" s="862"/>
      <c r="Z8" s="862"/>
      <c r="AA8" s="862"/>
      <c r="AB8" s="1594" t="s">
        <v>98</v>
      </c>
      <c r="AC8" s="1594"/>
      <c r="AD8" s="1594"/>
      <c r="AE8" s="869">
        <f>'①Tidak termasuk VAT TAX'!AF8</f>
        <v>0</v>
      </c>
      <c r="AF8" s="862">
        <f>AE8*P6</f>
        <v>0</v>
      </c>
      <c r="AG8" s="1594" t="s">
        <v>99</v>
      </c>
      <c r="AH8" s="1594"/>
      <c r="AI8" s="1594"/>
      <c r="AJ8" s="1594"/>
      <c r="AK8" s="862">
        <f>'①Tidak termasuk VAT TAX'!AL8</f>
        <v>0</v>
      </c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670"/>
      <c r="C9" s="1671"/>
      <c r="D9" s="1672"/>
      <c r="E9" s="1670"/>
      <c r="F9" s="1671"/>
      <c r="G9" s="1672"/>
      <c r="H9" s="1592" t="s">
        <v>100</v>
      </c>
      <c r="I9" s="1592"/>
      <c r="J9" s="866" t="str">
        <f>'①Tidak termasuk VAT TAX'!J9</f>
        <v>Jabotabek</v>
      </c>
      <c r="K9" s="1592" t="s">
        <v>102</v>
      </c>
      <c r="L9" s="1592"/>
      <c r="M9" s="867">
        <f>'①Tidak termasuk VAT TAX'!M9</f>
        <v>23423523.600576535</v>
      </c>
      <c r="N9" s="1594"/>
      <c r="O9" s="1594"/>
      <c r="P9" s="868">
        <f>'①Tidak termasuk VAT TAX'!P9</f>
        <v>0</v>
      </c>
      <c r="Q9" s="1601" t="s">
        <v>103</v>
      </c>
      <c r="R9" s="1601"/>
      <c r="S9" s="1601"/>
      <c r="T9" s="862">
        <f>'①Tidak termasuk VAT TAX'!T9</f>
        <v>0</v>
      </c>
      <c r="U9" s="862">
        <f>'①Tidak termasuk VAT TAX'!U9</f>
        <v>0</v>
      </c>
      <c r="V9" s="1587" t="s">
        <v>104</v>
      </c>
      <c r="W9" s="1587"/>
      <c r="X9" s="1587"/>
      <c r="Y9" s="862"/>
      <c r="Z9" s="862"/>
      <c r="AA9" s="862"/>
      <c r="AB9" s="1594" t="s">
        <v>105</v>
      </c>
      <c r="AC9" s="1594"/>
      <c r="AD9" s="1594"/>
      <c r="AE9" s="869">
        <f>'①Tidak termasuk VAT TAX'!AF9</f>
        <v>0</v>
      </c>
      <c r="AF9" s="862">
        <f>AE9*P7</f>
        <v>0</v>
      </c>
      <c r="AG9" s="1594" t="s">
        <v>106</v>
      </c>
      <c r="AH9" s="1594"/>
      <c r="AI9" s="1594"/>
      <c r="AJ9" s="1594"/>
      <c r="AK9" s="862">
        <f>'①Tidak termasuk VAT TAX'!AL9</f>
        <v>0</v>
      </c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594" t="s">
        <v>107</v>
      </c>
      <c r="C10" s="1594"/>
      <c r="D10" s="1594"/>
      <c r="E10" s="1594"/>
      <c r="F10" s="1594"/>
      <c r="G10" s="857">
        <f>G14+5%</f>
        <v>0.1348</v>
      </c>
      <c r="H10" s="1592" t="s">
        <v>108</v>
      </c>
      <c r="I10" s="1592"/>
      <c r="J10" s="866">
        <f>'①Tidak termasuk VAT TAX'!J10</f>
        <v>15</v>
      </c>
      <c r="K10" s="1592" t="s">
        <v>109</v>
      </c>
      <c r="L10" s="1592"/>
      <c r="M10" s="867">
        <f>'①Tidak termasuk VAT TAX'!M10</f>
        <v>0</v>
      </c>
      <c r="N10" s="1594"/>
      <c r="O10" s="1594"/>
      <c r="P10" s="868"/>
      <c r="Q10" s="1601" t="s">
        <v>111</v>
      </c>
      <c r="R10" s="1601"/>
      <c r="S10" s="1601"/>
      <c r="T10" s="862">
        <f>'①Tidak termasuk VAT TAX'!T10</f>
        <v>0</v>
      </c>
      <c r="U10" s="862">
        <f>'①Tidak termasuk VAT TAX'!U10</f>
        <v>0</v>
      </c>
      <c r="V10" s="1587" t="s">
        <v>112</v>
      </c>
      <c r="W10" s="1587"/>
      <c r="X10" s="876">
        <v>4.8611111111111112E-2</v>
      </c>
      <c r="Y10" s="862"/>
      <c r="Z10" s="862"/>
      <c r="AA10" s="862"/>
      <c r="AB10" s="1594" t="s">
        <v>113</v>
      </c>
      <c r="AC10" s="1594"/>
      <c r="AD10" s="1594"/>
      <c r="AE10" s="862"/>
      <c r="AF10" s="862">
        <v>3</v>
      </c>
      <c r="AG10" s="1594" t="s">
        <v>114</v>
      </c>
      <c r="AH10" s="1594"/>
      <c r="AI10" s="1594"/>
      <c r="AJ10" s="1594"/>
      <c r="AK10" s="862">
        <f>'①Tidak termasuk VAT TAX'!AL10</f>
        <v>3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594" t="s">
        <v>115</v>
      </c>
      <c r="C11" s="1594"/>
      <c r="D11" s="1594"/>
      <c r="E11" s="1594"/>
      <c r="F11" s="1594"/>
      <c r="G11" s="871"/>
      <c r="H11" s="1592"/>
      <c r="I11" s="1592"/>
      <c r="J11" s="852"/>
      <c r="K11" s="1597" t="s">
        <v>116</v>
      </c>
      <c r="L11" s="1597"/>
      <c r="M11" s="867">
        <f>'①Tidak termasuk VAT TAX'!M11</f>
        <v>0</v>
      </c>
      <c r="N11" s="1594" t="s">
        <v>117</v>
      </c>
      <c r="O11" s="1594"/>
      <c r="P11" s="868">
        <f>'①Tidak termasuk VAT TAX'!P11</f>
        <v>0</v>
      </c>
      <c r="Q11" s="1601" t="s">
        <v>118</v>
      </c>
      <c r="R11" s="1601"/>
      <c r="S11" s="1601"/>
      <c r="T11" s="862">
        <f>'①Tidak termasuk VAT TAX'!T11</f>
        <v>0</v>
      </c>
      <c r="U11" s="862">
        <f>'①Tidak termasuk VAT TAX'!U11</f>
        <v>0</v>
      </c>
      <c r="V11" s="1587" t="s">
        <v>278</v>
      </c>
      <c r="W11" s="1587"/>
      <c r="X11" s="1587"/>
      <c r="Y11" s="862"/>
      <c r="Z11" s="1665"/>
      <c r="AA11" s="1665"/>
      <c r="AB11" s="1594" t="s">
        <v>120</v>
      </c>
      <c r="AC11" s="1594"/>
      <c r="AD11" s="1594"/>
      <c r="AE11" s="862"/>
      <c r="AF11" s="862">
        <v>3</v>
      </c>
      <c r="AG11" s="1594" t="s">
        <v>121</v>
      </c>
      <c r="AH11" s="1594"/>
      <c r="AI11" s="1594"/>
      <c r="AJ11" s="1594"/>
      <c r="AK11" s="862">
        <f>'①Tidak termasuk VAT TAX'!AL11</f>
        <v>3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594" t="s">
        <v>122</v>
      </c>
      <c r="C12" s="1594"/>
      <c r="D12" s="1594"/>
      <c r="E12" s="1594"/>
      <c r="F12" s="1594"/>
      <c r="G12" s="871"/>
      <c r="H12" s="1596" t="s">
        <v>123</v>
      </c>
      <c r="I12" s="1596"/>
      <c r="J12" s="853"/>
      <c r="K12" s="1592" t="s">
        <v>124</v>
      </c>
      <c r="L12" s="1592"/>
      <c r="M12" s="867">
        <f>'①Tidak termasuk VAT TAX'!M12</f>
        <v>0</v>
      </c>
      <c r="N12" s="1594" t="s">
        <v>125</v>
      </c>
      <c r="O12" s="1594"/>
      <c r="P12" s="868">
        <f>'①Tidak termasuk VAT TAX'!P12</f>
        <v>0</v>
      </c>
      <c r="Q12" s="1602"/>
      <c r="R12" s="1602"/>
      <c r="S12" s="1602"/>
      <c r="T12" s="1646"/>
      <c r="U12" s="1646"/>
      <c r="V12" s="1587"/>
      <c r="W12" s="1587"/>
      <c r="X12" s="1587"/>
      <c r="Y12" s="862"/>
      <c r="Z12" s="1665"/>
      <c r="AA12" s="1665"/>
      <c r="AB12" s="1594" t="s">
        <v>126</v>
      </c>
      <c r="AC12" s="1594"/>
      <c r="AD12" s="1594"/>
      <c r="AE12" s="862"/>
      <c r="AF12" s="862">
        <v>3</v>
      </c>
      <c r="AG12" s="1594" t="s">
        <v>127</v>
      </c>
      <c r="AH12" s="1594"/>
      <c r="AI12" s="1594"/>
      <c r="AJ12" s="1594"/>
      <c r="AK12" s="862">
        <f>'①Tidak termasuk VAT TAX'!AL12</f>
        <v>3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594" t="s">
        <v>128</v>
      </c>
      <c r="C13" s="1594"/>
      <c r="D13" s="1594"/>
      <c r="E13" s="1594"/>
      <c r="F13" s="1594"/>
      <c r="G13" s="877">
        <f>'①Tidak termasuk VAT TAX'!G13</f>
        <v>0.12759999999999999</v>
      </c>
      <c r="H13" s="1592"/>
      <c r="I13" s="1592"/>
      <c r="J13" s="854"/>
      <c r="K13" s="1598" t="s">
        <v>129</v>
      </c>
      <c r="L13" s="1598"/>
      <c r="M13" s="867">
        <f>'①Tidak termasuk VAT TAX'!M13</f>
        <v>0</v>
      </c>
      <c r="N13" s="1594"/>
      <c r="O13" s="1594"/>
      <c r="P13" s="868"/>
      <c r="Q13" s="1569" t="s">
        <v>131</v>
      </c>
      <c r="R13" s="1569"/>
      <c r="S13" s="1569"/>
      <c r="T13" s="872"/>
      <c r="U13" s="873"/>
      <c r="V13" s="1587"/>
      <c r="W13" s="1587"/>
      <c r="X13" s="1587"/>
      <c r="Y13" s="862"/>
      <c r="Z13" s="1665"/>
      <c r="AA13" s="1665"/>
      <c r="AB13" s="1594"/>
      <c r="AC13" s="1594"/>
      <c r="AD13" s="1594"/>
      <c r="AE13" s="862"/>
      <c r="AF13" s="862"/>
      <c r="AG13" s="1594"/>
      <c r="AH13" s="1594"/>
      <c r="AI13" s="1594"/>
      <c r="AJ13" s="1594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594" t="s">
        <v>132</v>
      </c>
      <c r="C14" s="1594"/>
      <c r="D14" s="1594"/>
      <c r="E14" s="1594"/>
      <c r="F14" s="1594"/>
      <c r="G14" s="877">
        <f>'①Tidak termasuk VAT TAX'!G14</f>
        <v>8.48E-2</v>
      </c>
      <c r="H14" s="1592"/>
      <c r="I14" s="1592"/>
      <c r="J14" s="855"/>
      <c r="K14" s="1597" t="s">
        <v>133</v>
      </c>
      <c r="L14" s="1597"/>
      <c r="M14" s="867">
        <f>'①Tidak termasuk VAT TAX'!M14</f>
        <v>56778621.2064</v>
      </c>
      <c r="N14" s="1594"/>
      <c r="O14" s="1594"/>
      <c r="P14" s="868"/>
      <c r="Q14" s="1569"/>
      <c r="R14" s="1569"/>
      <c r="S14" s="1569"/>
      <c r="T14" s="874"/>
      <c r="U14" s="873">
        <v>1</v>
      </c>
      <c r="V14" s="1587"/>
      <c r="W14" s="1587"/>
      <c r="X14" s="1587"/>
      <c r="Y14" s="862"/>
      <c r="Z14" s="1665"/>
      <c r="AA14" s="1665"/>
      <c r="AB14" s="1594"/>
      <c r="AC14" s="1594"/>
      <c r="AD14" s="1594"/>
      <c r="AE14" s="862"/>
      <c r="AF14" s="862"/>
      <c r="AG14" s="1594"/>
      <c r="AH14" s="1594"/>
      <c r="AI14" s="1594"/>
      <c r="AJ14" s="1594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594" t="s">
        <v>135</v>
      </c>
      <c r="C15" s="1594"/>
      <c r="D15" s="1594"/>
      <c r="E15" s="1594"/>
      <c r="F15" s="1594"/>
      <c r="G15" s="857">
        <f>G13-G14</f>
        <v>4.2799999999999991E-2</v>
      </c>
      <c r="H15" s="1592"/>
      <c r="I15" s="1592"/>
      <c r="J15" s="855"/>
      <c r="K15" s="1592" t="s">
        <v>136</v>
      </c>
      <c r="L15" s="1592"/>
      <c r="M15" s="867">
        <f>'①Tidak termasuk VAT TAX'!M15</f>
        <v>5161692.8369454592</v>
      </c>
      <c r="N15" s="1594"/>
      <c r="O15" s="1594"/>
      <c r="P15" s="858"/>
      <c r="Q15" s="1586"/>
      <c r="R15" s="1586"/>
      <c r="S15" s="1586"/>
      <c r="T15" s="1587"/>
      <c r="U15" s="1587"/>
      <c r="V15" s="1587"/>
      <c r="W15" s="1587"/>
      <c r="X15" s="1587"/>
      <c r="Y15" s="862"/>
      <c r="Z15" s="1665"/>
      <c r="AA15" s="1665"/>
      <c r="AB15" s="1594"/>
      <c r="AC15" s="1594"/>
      <c r="AD15" s="1594"/>
      <c r="AE15" s="862"/>
      <c r="AF15" s="862"/>
      <c r="AG15" s="1594"/>
      <c r="AH15" s="1594"/>
      <c r="AI15" s="1594"/>
      <c r="AJ15" s="1594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AH16" s="674">
        <f>-AM26</f>
        <v>0</v>
      </c>
      <c r="AP16" s="675"/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59" t="s">
        <v>140</v>
      </c>
      <c r="F17" s="1660"/>
      <c r="G17" s="1660"/>
      <c r="H17" s="1660"/>
      <c r="I17" s="1660"/>
      <c r="J17" s="1660"/>
      <c r="K17" s="1660"/>
      <c r="L17" s="1660"/>
      <c r="M17" s="1660"/>
      <c r="N17" s="1660"/>
      <c r="O17" s="1660"/>
      <c r="P17" s="1660"/>
      <c r="Q17" s="1660"/>
      <c r="R17" s="1660"/>
      <c r="S17" s="1660"/>
      <c r="T17" s="1702"/>
      <c r="U17" s="1717" t="s">
        <v>286</v>
      </c>
      <c r="V17" s="1720" t="s">
        <v>142</v>
      </c>
      <c r="W17" s="1721"/>
      <c r="X17" s="1721"/>
      <c r="Y17" s="1721"/>
      <c r="Z17" s="1721"/>
      <c r="AA17" s="1712" t="s">
        <v>288</v>
      </c>
      <c r="AB17" s="1703" t="s">
        <v>287</v>
      </c>
      <c r="AC17" s="1578" t="s">
        <v>289</v>
      </c>
      <c r="AD17" s="1714" t="s">
        <v>290</v>
      </c>
      <c r="AE17" s="859"/>
      <c r="AF17" s="859"/>
      <c r="AG17" s="1691" t="s">
        <v>293</v>
      </c>
      <c r="AH17" s="1656" t="s">
        <v>293</v>
      </c>
      <c r="AI17" s="1659" t="s">
        <v>146</v>
      </c>
      <c r="AJ17" s="1660"/>
      <c r="AK17" s="1660"/>
      <c r="AL17" s="1660"/>
      <c r="AM17" s="1661"/>
      <c r="AN17" s="1659" t="s">
        <v>147</v>
      </c>
      <c r="AO17" s="1660"/>
      <c r="AP17" s="1660"/>
      <c r="AQ17" s="1661"/>
      <c r="AR17" s="1694" t="s">
        <v>148</v>
      </c>
      <c r="AS17" s="1694" t="s">
        <v>149</v>
      </c>
      <c r="AT17" s="1694" t="s">
        <v>150</v>
      </c>
      <c r="AU17" s="1535" t="s">
        <v>151</v>
      </c>
    </row>
    <row r="18" spans="1:91" s="680" customFormat="1" ht="18" customHeight="1">
      <c r="B18" s="684"/>
      <c r="C18" s="685"/>
      <c r="D18" s="686"/>
      <c r="E18" s="1538" t="s">
        <v>279</v>
      </c>
      <c r="F18" s="1539"/>
      <c r="G18" s="1539" t="s">
        <v>154</v>
      </c>
      <c r="H18" s="1539"/>
      <c r="I18" s="1539" t="s">
        <v>280</v>
      </c>
      <c r="J18" s="1539"/>
      <c r="K18" s="1539" t="s">
        <v>281</v>
      </c>
      <c r="L18" s="1539"/>
      <c r="M18" s="1687" t="s">
        <v>157</v>
      </c>
      <c r="N18" s="1687" t="s">
        <v>158</v>
      </c>
      <c r="O18" s="1687" t="s">
        <v>159</v>
      </c>
      <c r="P18" s="1539" t="s">
        <v>160</v>
      </c>
      <c r="Q18" s="1690"/>
      <c r="R18" s="1706" t="s">
        <v>161</v>
      </c>
      <c r="S18" s="1706" t="s">
        <v>162</v>
      </c>
      <c r="T18" s="1709" t="s">
        <v>163</v>
      </c>
      <c r="U18" s="1718"/>
      <c r="V18" s="1583" t="s">
        <v>164</v>
      </c>
      <c r="W18" s="1547"/>
      <c r="X18" s="1547" t="s">
        <v>165</v>
      </c>
      <c r="Y18" s="1547"/>
      <c r="Z18" s="1547"/>
      <c r="AA18" s="1610"/>
      <c r="AB18" s="1704"/>
      <c r="AC18" s="1579"/>
      <c r="AD18" s="1715"/>
      <c r="AE18" s="860"/>
      <c r="AF18" s="860"/>
      <c r="AG18" s="1692"/>
      <c r="AH18" s="1657"/>
      <c r="AI18" s="1675" t="s">
        <v>306</v>
      </c>
      <c r="AJ18" s="1678" t="s">
        <v>167</v>
      </c>
      <c r="AK18" s="1678" t="s">
        <v>168</v>
      </c>
      <c r="AL18" s="1681" t="s">
        <v>169</v>
      </c>
      <c r="AM18" s="1684" t="s">
        <v>170</v>
      </c>
      <c r="AN18" s="1697" t="s">
        <v>171</v>
      </c>
      <c r="AO18" s="1700" t="s">
        <v>172</v>
      </c>
      <c r="AP18" s="1678" t="s">
        <v>173</v>
      </c>
      <c r="AQ18" s="687" t="s">
        <v>174</v>
      </c>
      <c r="AR18" s="1695"/>
      <c r="AS18" s="1695"/>
      <c r="AT18" s="1695"/>
      <c r="AU18" s="1536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673" t="s">
        <v>282</v>
      </c>
      <c r="F19" s="1609" t="s">
        <v>182</v>
      </c>
      <c r="G19" s="1663" t="s">
        <v>181</v>
      </c>
      <c r="H19" s="1609" t="s">
        <v>182</v>
      </c>
      <c r="I19" s="1663" t="s">
        <v>283</v>
      </c>
      <c r="J19" s="1609" t="s">
        <v>182</v>
      </c>
      <c r="K19" s="1663" t="s">
        <v>183</v>
      </c>
      <c r="L19" s="1609" t="s">
        <v>182</v>
      </c>
      <c r="M19" s="1688"/>
      <c r="N19" s="1688"/>
      <c r="O19" s="1688"/>
      <c r="P19" s="1663" t="s">
        <v>183</v>
      </c>
      <c r="Q19" s="1609" t="s">
        <v>182</v>
      </c>
      <c r="R19" s="1707"/>
      <c r="S19" s="1707"/>
      <c r="T19" s="1710"/>
      <c r="U19" s="1718"/>
      <c r="V19" s="1583" t="s">
        <v>184</v>
      </c>
      <c r="W19" s="1547" t="s">
        <v>169</v>
      </c>
      <c r="X19" s="1547" t="s">
        <v>185</v>
      </c>
      <c r="Y19" s="1539" t="s">
        <v>169</v>
      </c>
      <c r="Z19" s="1547" t="s">
        <v>285</v>
      </c>
      <c r="AA19" s="1610"/>
      <c r="AB19" s="1704"/>
      <c r="AC19" s="1579"/>
      <c r="AD19" s="1715"/>
      <c r="AE19" s="860" t="s">
        <v>291</v>
      </c>
      <c r="AF19" s="860" t="s">
        <v>292</v>
      </c>
      <c r="AG19" s="1692"/>
      <c r="AH19" s="1657"/>
      <c r="AI19" s="1676"/>
      <c r="AJ19" s="1679"/>
      <c r="AK19" s="1679"/>
      <c r="AL19" s="1682"/>
      <c r="AM19" s="1685"/>
      <c r="AN19" s="1698"/>
      <c r="AO19" s="1700"/>
      <c r="AP19" s="1679"/>
      <c r="AQ19" s="690"/>
      <c r="AR19" s="1695"/>
      <c r="AS19" s="1695"/>
      <c r="AT19" s="1695"/>
      <c r="AU19" s="1536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674"/>
      <c r="F20" s="1662"/>
      <c r="G20" s="1664"/>
      <c r="H20" s="1662"/>
      <c r="I20" s="1664"/>
      <c r="J20" s="1662"/>
      <c r="K20" s="1664"/>
      <c r="L20" s="1662"/>
      <c r="M20" s="1689"/>
      <c r="N20" s="1689"/>
      <c r="O20" s="1689"/>
      <c r="P20" s="1664"/>
      <c r="Q20" s="1662"/>
      <c r="R20" s="1708"/>
      <c r="S20" s="1708"/>
      <c r="T20" s="1711"/>
      <c r="U20" s="1719"/>
      <c r="V20" s="1649"/>
      <c r="W20" s="1548"/>
      <c r="X20" s="1548"/>
      <c r="Y20" s="1549"/>
      <c r="Z20" s="1549"/>
      <c r="AA20" s="1713"/>
      <c r="AB20" s="1705"/>
      <c r="AC20" s="1580"/>
      <c r="AD20" s="1716"/>
      <c r="AE20" s="861"/>
      <c r="AF20" s="861"/>
      <c r="AG20" s="1693"/>
      <c r="AH20" s="1658"/>
      <c r="AI20" s="1677"/>
      <c r="AJ20" s="1680"/>
      <c r="AK20" s="1680"/>
      <c r="AL20" s="1683"/>
      <c r="AM20" s="1686"/>
      <c r="AN20" s="1699"/>
      <c r="AO20" s="1701"/>
      <c r="AP20" s="1680"/>
      <c r="AQ20" s="694"/>
      <c r="AR20" s="1696"/>
      <c r="AS20" s="1696"/>
      <c r="AT20" s="1696"/>
      <c r="AU20" s="1537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700">
        <f>'①Tidak termasuk VAT TAX'!P91</f>
        <v>0</v>
      </c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1224">
        <v>-3</v>
      </c>
      <c r="B22" s="727">
        <f t="shared" ref="B22:B23" si="0">A22</f>
        <v>-3</v>
      </c>
      <c r="C22" s="705">
        <f>IF($C23=1,12,$C23-1)</f>
        <v>10</v>
      </c>
      <c r="D22" s="706">
        <f>IF($C25=1,$D$25-1,"             ")</f>
        <v>2017</v>
      </c>
      <c r="E22" s="707"/>
      <c r="F22" s="1225">
        <f>IF($AK$10=$A22*-1,$AK$7*-1,0)</f>
        <v>0</v>
      </c>
      <c r="G22" s="1226"/>
      <c r="H22" s="1225">
        <f>IF($AK$11=$A22*-1,$AK$8*-1,0)</f>
        <v>0</v>
      </c>
      <c r="I22" s="1226"/>
      <c r="J22" s="1225">
        <f>IF($A22*-1=$AK$12,$AK$9*-1,0)</f>
        <v>0</v>
      </c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>
        <f t="shared" ref="U22:U53" si="1">SUM(E22:T22)</f>
        <v>0</v>
      </c>
      <c r="V22" s="711"/>
      <c r="W22" s="712"/>
      <c r="X22" s="713"/>
      <c r="Y22" s="712"/>
      <c r="Z22" s="714">
        <f>'①Tidak termasuk VAT TAX'!AJ22*10%</f>
        <v>0</v>
      </c>
      <c r="AA22" s="713"/>
      <c r="AB22" s="715">
        <v>0</v>
      </c>
      <c r="AC22" s="716">
        <f>U22+AB22</f>
        <v>0</v>
      </c>
      <c r="AD22" s="717">
        <f>AC22</f>
        <v>0</v>
      </c>
      <c r="AE22" s="739">
        <f t="shared" ref="AE22" si="2">IF(AD22&lt;=0,AC22,-AD21)</f>
        <v>0</v>
      </c>
      <c r="AF22" s="717"/>
      <c r="AG22" s="739">
        <f t="shared" ref="AG22:AG24" si="3">PV($G$14/12,$B22,0,$AC22*-1,1)</f>
        <v>0</v>
      </c>
      <c r="AH22" s="740">
        <f t="shared" ref="AH22:AH24" si="4">AG22</f>
        <v>0</v>
      </c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1224">
        <v>-2</v>
      </c>
      <c r="B23" s="727">
        <f t="shared" si="0"/>
        <v>-2</v>
      </c>
      <c r="C23" s="728">
        <f>IF($C24=1,12,$C24-1)</f>
        <v>11</v>
      </c>
      <c r="D23" s="729"/>
      <c r="E23" s="730"/>
      <c r="F23" s="731">
        <f t="shared" ref="F23:F24" si="5">IF($AK$10=$A23*-1,$AK$7*-1,0)</f>
        <v>0</v>
      </c>
      <c r="G23" s="732"/>
      <c r="H23" s="731">
        <f t="shared" ref="H23:H24" si="6">IF($AK$11=$A23*-1,$AK$8*-1,0)</f>
        <v>0</v>
      </c>
      <c r="I23" s="732"/>
      <c r="J23" s="731">
        <f t="shared" ref="J23:J24" si="7">IF($A23*-1=$AK$12,$AK$9*-1,0)</f>
        <v>0</v>
      </c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>
        <f t="shared" si="1"/>
        <v>0</v>
      </c>
      <c r="V23" s="734"/>
      <c r="W23" s="727"/>
      <c r="X23" s="735"/>
      <c r="Y23" s="727"/>
      <c r="Z23" s="736">
        <f>'①Tidak termasuk VAT TAX'!AJ23*10%</f>
        <v>0</v>
      </c>
      <c r="AA23" s="735"/>
      <c r="AB23" s="737">
        <v>0</v>
      </c>
      <c r="AC23" s="738">
        <f t="shared" ref="AC23:AC85" si="8">U23+AB23</f>
        <v>0</v>
      </c>
      <c r="AD23" s="739">
        <f t="shared" ref="AD23:AD28" si="9">AD22+AC23</f>
        <v>0</v>
      </c>
      <c r="AE23" s="739">
        <f t="shared" ref="AE23:AE30" si="10">IF(AD23&lt;=0,AC23,-AD22)</f>
        <v>0</v>
      </c>
      <c r="AF23" s="739"/>
      <c r="AG23" s="739">
        <f t="shared" si="3"/>
        <v>0</v>
      </c>
      <c r="AH23" s="740">
        <f t="shared" si="4"/>
        <v>0</v>
      </c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1224">
        <v>-1</v>
      </c>
      <c r="B24" s="727">
        <f>A24</f>
        <v>-1</v>
      </c>
      <c r="C24" s="728">
        <f>IF($C25=1,12,$C25-1)</f>
        <v>12</v>
      </c>
      <c r="D24" s="729"/>
      <c r="E24" s="730"/>
      <c r="F24" s="731">
        <f t="shared" si="5"/>
        <v>0</v>
      </c>
      <c r="G24" s="732"/>
      <c r="H24" s="731">
        <f t="shared" si="6"/>
        <v>0</v>
      </c>
      <c r="I24" s="732"/>
      <c r="J24" s="731">
        <f t="shared" si="7"/>
        <v>0</v>
      </c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>
        <f t="shared" si="1"/>
        <v>0</v>
      </c>
      <c r="V24" s="734"/>
      <c r="W24" s="727"/>
      <c r="X24" s="735"/>
      <c r="Y24" s="727"/>
      <c r="Z24" s="736">
        <f>'①Tidak termasuk VAT TAX'!AJ24*10%</f>
        <v>0</v>
      </c>
      <c r="AA24" s="735"/>
      <c r="AB24" s="737">
        <v>0</v>
      </c>
      <c r="AC24" s="738">
        <f>U24+AB24</f>
        <v>0</v>
      </c>
      <c r="AD24" s="739">
        <f t="shared" si="9"/>
        <v>0</v>
      </c>
      <c r="AE24" s="739">
        <f t="shared" si="10"/>
        <v>0</v>
      </c>
      <c r="AF24" s="739"/>
      <c r="AG24" s="739">
        <f t="shared" si="3"/>
        <v>0</v>
      </c>
      <c r="AH24" s="740">
        <f t="shared" si="4"/>
        <v>0</v>
      </c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>
        <f>-M9-F24-F23-F22</f>
        <v>-23423523.600576535</v>
      </c>
      <c r="G25" s="753"/>
      <c r="H25" s="752">
        <f>-P11-H24-H23-H22</f>
        <v>0</v>
      </c>
      <c r="I25" s="753"/>
      <c r="J25" s="752">
        <f>-P12-J24-J23-J22</f>
        <v>0</v>
      </c>
      <c r="K25" s="753"/>
      <c r="L25" s="752">
        <f>-P13</f>
        <v>0</v>
      </c>
      <c r="M25" s="753"/>
      <c r="N25" s="753"/>
      <c r="O25" s="753"/>
      <c r="P25" s="753"/>
      <c r="R25" s="753"/>
      <c r="S25" s="753"/>
      <c r="T25" s="753"/>
      <c r="U25" s="754">
        <f t="shared" si="1"/>
        <v>-23423523.600576535</v>
      </c>
      <c r="V25" s="751"/>
      <c r="W25" s="752">
        <f t="shared" ref="W25:W56" si="11">IF($AU25=$J$7+1,$M$15,0)</f>
        <v>0</v>
      </c>
      <c r="X25" s="753"/>
      <c r="Y25" s="752"/>
      <c r="Z25" s="736">
        <f>'①Tidak termasuk VAT TAX'!AJ25*10%</f>
        <v>0</v>
      </c>
      <c r="AA25" s="753"/>
      <c r="AB25" s="754">
        <f>SUM(V25:AA25)</f>
        <v>0</v>
      </c>
      <c r="AC25" s="738">
        <f>U25+AB25</f>
        <v>-23423523.600576535</v>
      </c>
      <c r="AD25" s="739">
        <f t="shared" si="9"/>
        <v>-23423523.600576535</v>
      </c>
      <c r="AE25" s="739">
        <f>IF(AD25&lt;=0,AC25,-AD24)</f>
        <v>-23423523.600576535</v>
      </c>
      <c r="AF25" s="739"/>
      <c r="AG25" s="739">
        <f>PV($G$14/12,$B25,0,$AC25*-1,1)</f>
        <v>-23423523.600576535</v>
      </c>
      <c r="AH25" s="740">
        <f>AG25</f>
        <v>-23423523.600576535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2">IF($C25=12,1,$C25+1)</f>
        <v>2</v>
      </c>
      <c r="D26" s="729" t="str">
        <f t="shared" ref="D26:D37" si="13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>
        <f>IF(B26&lt;=$J$7,$Q$21*10%/$J$7,)</f>
        <v>0</v>
      </c>
      <c r="R26" s="753"/>
      <c r="S26" s="753"/>
      <c r="T26" s="753"/>
      <c r="U26" s="754">
        <f t="shared" si="1"/>
        <v>0</v>
      </c>
      <c r="V26" s="751"/>
      <c r="W26" s="752">
        <f t="shared" si="11"/>
        <v>0</v>
      </c>
      <c r="X26" s="753"/>
      <c r="Y26" s="752">
        <f>M12</f>
        <v>0</v>
      </c>
      <c r="Z26" s="736">
        <f>'①Tidak termasuk VAT TAX'!AJ26*10%</f>
        <v>490883.53984737361</v>
      </c>
      <c r="AA26" s="761"/>
      <c r="AB26" s="754">
        <f>SUM(V26:AA26)</f>
        <v>490883.53984737361</v>
      </c>
      <c r="AC26" s="738">
        <f>U26+AB26</f>
        <v>490883.53984737361</v>
      </c>
      <c r="AD26" s="739">
        <f t="shared" si="9"/>
        <v>-22932640.060729161</v>
      </c>
      <c r="AE26" s="739">
        <f>IF(AD26&lt;=0,AC26,-AD25)</f>
        <v>490883.53984737361</v>
      </c>
      <c r="AF26" s="739">
        <f>IF(AD26&lt;=0,AE26,)</f>
        <v>490883.53984737361</v>
      </c>
      <c r="AG26" s="739">
        <f>PV($G$14/12,$B26,0,$AE26*-1,0)</f>
        <v>487438.9711181387</v>
      </c>
      <c r="AH26" s="740">
        <f>IF(AG26&gt;=0,AG26,)</f>
        <v>487438.9711181387</v>
      </c>
      <c r="AI26" s="738">
        <f>PMT($G$14/12,$J$7,$AH$91,,0)</f>
        <v>88685.96373886081</v>
      </c>
      <c r="AJ26" s="762"/>
      <c r="AK26" s="763"/>
      <c r="AL26" s="752">
        <f>AI26</f>
        <v>88685.96373886081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14">B26+1</f>
        <v>2</v>
      </c>
      <c r="C27" s="728">
        <f t="shared" si="12"/>
        <v>3</v>
      </c>
      <c r="D27" s="729" t="str">
        <f t="shared" si="13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>
        <f t="shared" ref="Q27:Q90" si="15">IF(B27&lt;=$J$7,$Q$21*10%/$J$7,)</f>
        <v>0</v>
      </c>
      <c r="R27" s="753"/>
      <c r="S27" s="753"/>
      <c r="T27" s="753"/>
      <c r="U27" s="754">
        <f t="shared" si="1"/>
        <v>0</v>
      </c>
      <c r="V27" s="751"/>
      <c r="W27" s="752">
        <f t="shared" si="11"/>
        <v>0</v>
      </c>
      <c r="X27" s="753"/>
      <c r="Y27" s="752"/>
      <c r="Z27" s="736">
        <f>'①Tidak termasuk VAT TAX'!AJ27*10%</f>
        <v>490883.53984737361</v>
      </c>
      <c r="AA27" s="753"/>
      <c r="AB27" s="754">
        <f t="shared" ref="AB27:AB89" si="16">SUM(V27:AA27)</f>
        <v>490883.53984737361</v>
      </c>
      <c r="AC27" s="738">
        <f>U27+AB27</f>
        <v>490883.53984737361</v>
      </c>
      <c r="AD27" s="739">
        <f t="shared" si="9"/>
        <v>-22441756.520881787</v>
      </c>
      <c r="AE27" s="739">
        <f>IF(AD27&lt;=0,AC27,-AD26)</f>
        <v>490883.53984737361</v>
      </c>
      <c r="AF27" s="739">
        <f t="shared" ref="AF27:AF60" si="17">IF(AD27&lt;=0,AE27,)</f>
        <v>490883.53984737361</v>
      </c>
      <c r="AG27" s="739">
        <f>PV($G$14/12,$B27,0,$AE27*-1,0)</f>
        <v>484018.57320085261</v>
      </c>
      <c r="AH27" s="740">
        <f>IF(AG27&gt;=0,AG27,)</f>
        <v>484018.57320085261</v>
      </c>
      <c r="AI27" s="738">
        <f>IF(AU27&lt;=$J$7,AI26,0)</f>
        <v>88685.96373886081</v>
      </c>
      <c r="AJ27" s="762"/>
      <c r="AK27" s="763"/>
      <c r="AL27" s="752">
        <f t="shared" ref="AL27:AL85" si="18">AI27</f>
        <v>88685.96373886081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14"/>
        <v>3</v>
      </c>
      <c r="C28" s="728">
        <f t="shared" si="12"/>
        <v>4</v>
      </c>
      <c r="D28" s="729" t="str">
        <f t="shared" si="13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>
        <f t="shared" si="15"/>
        <v>0</v>
      </c>
      <c r="R28" s="753"/>
      <c r="S28" s="753"/>
      <c r="T28" s="753"/>
      <c r="U28" s="754">
        <f t="shared" si="1"/>
        <v>0</v>
      </c>
      <c r="V28" s="751"/>
      <c r="W28" s="752">
        <f t="shared" si="11"/>
        <v>0</v>
      </c>
      <c r="X28" s="753"/>
      <c r="Y28" s="752"/>
      <c r="Z28" s="736">
        <f>'①Tidak termasuk VAT TAX'!AJ28*10%</f>
        <v>490883.53984737361</v>
      </c>
      <c r="AA28" s="753"/>
      <c r="AB28" s="754">
        <f t="shared" si="16"/>
        <v>490883.53984737361</v>
      </c>
      <c r="AC28" s="738">
        <f t="shared" si="8"/>
        <v>490883.53984737361</v>
      </c>
      <c r="AD28" s="739">
        <f t="shared" si="9"/>
        <v>-21950872.981034413</v>
      </c>
      <c r="AE28" s="739">
        <f t="shared" si="10"/>
        <v>490883.53984737361</v>
      </c>
      <c r="AF28" s="739">
        <f t="shared" si="17"/>
        <v>490883.53984737361</v>
      </c>
      <c r="AG28" s="739">
        <f t="shared" ref="AG28:AG57" si="19">PV($G$14/12,$B28,0,$AE28*-1,0)</f>
        <v>480622.17648701102</v>
      </c>
      <c r="AH28" s="740">
        <f t="shared" ref="AH28:AH90" si="20">IF(AG28&gt;=0,AG28,)</f>
        <v>480622.17648701102</v>
      </c>
      <c r="AI28" s="738">
        <f>IF(AU28&lt;=$J$7,AI27,0)</f>
        <v>88685.96373886081</v>
      </c>
      <c r="AJ28" s="762"/>
      <c r="AK28" s="763"/>
      <c r="AL28" s="752">
        <f t="shared" si="18"/>
        <v>88685.96373886081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14"/>
        <v>4</v>
      </c>
      <c r="C29" s="728">
        <f t="shared" si="12"/>
        <v>5</v>
      </c>
      <c r="D29" s="729" t="str">
        <f t="shared" si="13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>
        <f t="shared" si="15"/>
        <v>0</v>
      </c>
      <c r="R29" s="753"/>
      <c r="S29" s="753"/>
      <c r="T29" s="753"/>
      <c r="U29" s="754">
        <f t="shared" si="1"/>
        <v>0</v>
      </c>
      <c r="V29" s="751"/>
      <c r="W29" s="752">
        <f t="shared" si="11"/>
        <v>0</v>
      </c>
      <c r="X29" s="753"/>
      <c r="Y29" s="752"/>
      <c r="Z29" s="736">
        <f>'①Tidak termasuk VAT TAX'!AJ29*10%</f>
        <v>490883.53984737361</v>
      </c>
      <c r="AA29" s="753"/>
      <c r="AB29" s="754">
        <f t="shared" si="16"/>
        <v>490883.53984737361</v>
      </c>
      <c r="AC29" s="738">
        <f t="shared" si="8"/>
        <v>490883.53984737361</v>
      </c>
      <c r="AD29" s="739">
        <f t="shared" ref="AC29:AD91" si="21">AD28+AC29</f>
        <v>-21459989.441187039</v>
      </c>
      <c r="AE29" s="739">
        <f t="shared" si="10"/>
        <v>490883.53984737361</v>
      </c>
      <c r="AF29" s="739">
        <f t="shared" si="17"/>
        <v>490883.53984737361</v>
      </c>
      <c r="AG29" s="739">
        <f t="shared" si="19"/>
        <v>477249.6125582658</v>
      </c>
      <c r="AH29" s="740">
        <f t="shared" si="20"/>
        <v>477249.6125582658</v>
      </c>
      <c r="AI29" s="738">
        <f>IF(AU29&lt;=$J$7,AI28,0)</f>
        <v>88685.96373886081</v>
      </c>
      <c r="AJ29" s="762"/>
      <c r="AK29" s="763"/>
      <c r="AL29" s="752">
        <f t="shared" si="18"/>
        <v>88685.96373886081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22">AU28+1</f>
        <v>4</v>
      </c>
    </row>
    <row r="30" spans="1:91" s="675" customFormat="1" ht="15.75" customHeight="1">
      <c r="B30" s="727">
        <f t="shared" si="14"/>
        <v>5</v>
      </c>
      <c r="C30" s="728">
        <f t="shared" si="12"/>
        <v>6</v>
      </c>
      <c r="D30" s="729" t="str">
        <f t="shared" si="13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>
        <f t="shared" si="15"/>
        <v>0</v>
      </c>
      <c r="R30" s="753"/>
      <c r="S30" s="753"/>
      <c r="T30" s="753"/>
      <c r="U30" s="754">
        <f t="shared" si="1"/>
        <v>0</v>
      </c>
      <c r="V30" s="751"/>
      <c r="W30" s="752">
        <f t="shared" si="11"/>
        <v>0</v>
      </c>
      <c r="X30" s="753"/>
      <c r="Y30" s="752"/>
      <c r="Z30" s="736">
        <f>'①Tidak termasuk VAT TAX'!AJ30*10%</f>
        <v>490883.53984737361</v>
      </c>
      <c r="AA30" s="753"/>
      <c r="AB30" s="754">
        <f t="shared" si="16"/>
        <v>490883.53984737361</v>
      </c>
      <c r="AC30" s="738">
        <f t="shared" si="8"/>
        <v>490883.53984737361</v>
      </c>
      <c r="AD30" s="739">
        <f t="shared" si="21"/>
        <v>-20969105.901339665</v>
      </c>
      <c r="AE30" s="739">
        <f t="shared" si="10"/>
        <v>490883.53984737361</v>
      </c>
      <c r="AF30" s="739">
        <f t="shared" si="17"/>
        <v>490883.53984737361</v>
      </c>
      <c r="AG30" s="739">
        <f t="shared" si="19"/>
        <v>473900.71417807409</v>
      </c>
      <c r="AH30" s="740">
        <f>IF(AG30&gt;=0,AG30,)</f>
        <v>473900.71417807409</v>
      </c>
      <c r="AI30" s="738">
        <f t="shared" ref="AI30:AI90" si="23">IF(AU30&lt;=$J$7,AI29,0)</f>
        <v>88685.96373886081</v>
      </c>
      <c r="AJ30" s="762"/>
      <c r="AK30" s="763"/>
      <c r="AL30" s="752">
        <f t="shared" si="18"/>
        <v>88685.96373886081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22"/>
        <v>5</v>
      </c>
    </row>
    <row r="31" spans="1:91" s="675" customFormat="1" ht="15.75" customHeight="1">
      <c r="B31" s="727">
        <f t="shared" si="14"/>
        <v>6</v>
      </c>
      <c r="C31" s="728">
        <f t="shared" si="12"/>
        <v>7</v>
      </c>
      <c r="D31" s="729" t="str">
        <f t="shared" si="13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>
        <f t="shared" si="15"/>
        <v>0</v>
      </c>
      <c r="R31" s="753"/>
      <c r="S31" s="753"/>
      <c r="T31" s="753"/>
      <c r="U31" s="754">
        <f t="shared" si="1"/>
        <v>0</v>
      </c>
      <c r="V31" s="751"/>
      <c r="W31" s="752">
        <f t="shared" si="11"/>
        <v>0</v>
      </c>
      <c r="X31" s="753"/>
      <c r="Y31" s="752"/>
      <c r="Z31" s="736">
        <f>'①Tidak termasuk VAT TAX'!AJ31*10%</f>
        <v>490883.53984737361</v>
      </c>
      <c r="AA31" s="753"/>
      <c r="AB31" s="754">
        <f t="shared" si="16"/>
        <v>490883.53984737361</v>
      </c>
      <c r="AC31" s="738">
        <f t="shared" si="8"/>
        <v>490883.53984737361</v>
      </c>
      <c r="AD31" s="739">
        <f t="shared" si="21"/>
        <v>-20478222.361492291</v>
      </c>
      <c r="AE31" s="739">
        <f t="shared" ref="AE31:AE57" si="24">IF(AD31&lt;=0,AC31,-AD30)</f>
        <v>490883.53984737361</v>
      </c>
      <c r="AF31" s="739">
        <f t="shared" si="17"/>
        <v>490883.53984737361</v>
      </c>
      <c r="AG31" s="739">
        <f t="shared" si="19"/>
        <v>470575.31528340455</v>
      </c>
      <c r="AH31" s="740">
        <f t="shared" si="20"/>
        <v>470575.31528340455</v>
      </c>
      <c r="AI31" s="738">
        <f t="shared" si="23"/>
        <v>88685.96373886081</v>
      </c>
      <c r="AJ31" s="762"/>
      <c r="AK31" s="763"/>
      <c r="AL31" s="752">
        <f t="shared" si="18"/>
        <v>88685.96373886081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22"/>
        <v>6</v>
      </c>
    </row>
    <row r="32" spans="1:91" s="675" customFormat="1" ht="15.75" customHeight="1">
      <c r="B32" s="727">
        <f t="shared" si="14"/>
        <v>7</v>
      </c>
      <c r="C32" s="728">
        <f t="shared" si="12"/>
        <v>8</v>
      </c>
      <c r="D32" s="729" t="str">
        <f t="shared" si="13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>
        <f t="shared" si="15"/>
        <v>0</v>
      </c>
      <c r="R32" s="753"/>
      <c r="S32" s="753"/>
      <c r="T32" s="753"/>
      <c r="U32" s="754">
        <f t="shared" si="1"/>
        <v>0</v>
      </c>
      <c r="V32" s="751"/>
      <c r="W32" s="752">
        <f t="shared" si="11"/>
        <v>0</v>
      </c>
      <c r="X32" s="753"/>
      <c r="Y32" s="752"/>
      <c r="Z32" s="736">
        <f>'①Tidak termasuk VAT TAX'!AJ32*10%</f>
        <v>490883.53984737361</v>
      </c>
      <c r="AA32" s="753"/>
      <c r="AB32" s="754">
        <f t="shared" si="16"/>
        <v>490883.53984737361</v>
      </c>
      <c r="AC32" s="738">
        <f t="shared" si="8"/>
        <v>490883.53984737361</v>
      </c>
      <c r="AD32" s="739">
        <f t="shared" si="21"/>
        <v>-19987338.821644917</v>
      </c>
      <c r="AE32" s="739">
        <f t="shared" si="24"/>
        <v>490883.53984737361</v>
      </c>
      <c r="AF32" s="739">
        <f t="shared" si="17"/>
        <v>490883.53984737361</v>
      </c>
      <c r="AG32" s="739">
        <f t="shared" si="19"/>
        <v>467273.25097650388</v>
      </c>
      <c r="AH32" s="740">
        <f t="shared" si="20"/>
        <v>467273.25097650388</v>
      </c>
      <c r="AI32" s="738">
        <f t="shared" si="23"/>
        <v>88685.96373886081</v>
      </c>
      <c r="AJ32" s="762"/>
      <c r="AK32" s="763"/>
      <c r="AL32" s="752">
        <f t="shared" si="18"/>
        <v>88685.96373886081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22"/>
        <v>7</v>
      </c>
    </row>
    <row r="33" spans="2:47" s="675" customFormat="1" ht="15.75" customHeight="1">
      <c r="B33" s="727">
        <f t="shared" si="14"/>
        <v>8</v>
      </c>
      <c r="C33" s="728">
        <f t="shared" si="12"/>
        <v>9</v>
      </c>
      <c r="D33" s="729" t="str">
        <f t="shared" si="13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>
        <f t="shared" si="15"/>
        <v>0</v>
      </c>
      <c r="R33" s="753"/>
      <c r="S33" s="753"/>
      <c r="T33" s="753"/>
      <c r="U33" s="754">
        <f t="shared" si="1"/>
        <v>0</v>
      </c>
      <c r="V33" s="751"/>
      <c r="W33" s="752">
        <f t="shared" si="11"/>
        <v>0</v>
      </c>
      <c r="X33" s="753"/>
      <c r="Y33" s="752"/>
      <c r="Z33" s="736">
        <f>'①Tidak termasuk VAT TAX'!AJ33*10%</f>
        <v>490883.53984737361</v>
      </c>
      <c r="AA33" s="753"/>
      <c r="AB33" s="754">
        <f t="shared" si="16"/>
        <v>490883.53984737361</v>
      </c>
      <c r="AC33" s="738">
        <f t="shared" si="8"/>
        <v>490883.53984737361</v>
      </c>
      <c r="AD33" s="739">
        <f t="shared" si="21"/>
        <v>-19496455.281797543</v>
      </c>
      <c r="AE33" s="739">
        <f t="shared" si="24"/>
        <v>490883.53984737361</v>
      </c>
      <c r="AF33" s="739">
        <f t="shared" si="17"/>
        <v>490883.53984737361</v>
      </c>
      <c r="AG33" s="739">
        <f t="shared" si="19"/>
        <v>463994.35751671897</v>
      </c>
      <c r="AH33" s="740">
        <f t="shared" si="20"/>
        <v>463994.35751671897</v>
      </c>
      <c r="AI33" s="738">
        <f t="shared" si="23"/>
        <v>88685.96373886081</v>
      </c>
      <c r="AJ33" s="762"/>
      <c r="AK33" s="763"/>
      <c r="AL33" s="752">
        <f t="shared" si="18"/>
        <v>88685.96373886081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22"/>
        <v>8</v>
      </c>
    </row>
    <row r="34" spans="2:47" s="675" customFormat="1" ht="15.75" customHeight="1">
      <c r="B34" s="727">
        <f t="shared" si="14"/>
        <v>9</v>
      </c>
      <c r="C34" s="728">
        <f t="shared" si="12"/>
        <v>10</v>
      </c>
      <c r="D34" s="729" t="str">
        <f t="shared" si="13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>
        <f t="shared" si="15"/>
        <v>0</v>
      </c>
      <c r="R34" s="753"/>
      <c r="S34" s="753"/>
      <c r="T34" s="753"/>
      <c r="U34" s="754">
        <f t="shared" si="1"/>
        <v>0</v>
      </c>
      <c r="V34" s="751"/>
      <c r="W34" s="752">
        <f t="shared" si="11"/>
        <v>0</v>
      </c>
      <c r="X34" s="753"/>
      <c r="Y34" s="752"/>
      <c r="Z34" s="736">
        <f>'①Tidak termasuk VAT TAX'!AJ34*10%</f>
        <v>490883.53984737361</v>
      </c>
      <c r="AA34" s="753"/>
      <c r="AB34" s="754">
        <f t="shared" si="16"/>
        <v>490883.53984737361</v>
      </c>
      <c r="AC34" s="738">
        <f t="shared" si="8"/>
        <v>490883.53984737361</v>
      </c>
      <c r="AD34" s="739">
        <f t="shared" si="21"/>
        <v>-19005571.741950169</v>
      </c>
      <c r="AE34" s="739">
        <f t="shared" si="24"/>
        <v>490883.53984737361</v>
      </c>
      <c r="AF34" s="739">
        <f t="shared" si="17"/>
        <v>490883.53984737361</v>
      </c>
      <c r="AG34" s="739">
        <f t="shared" si="19"/>
        <v>460738.47231237817</v>
      </c>
      <c r="AH34" s="740">
        <f t="shared" si="20"/>
        <v>460738.47231237817</v>
      </c>
      <c r="AI34" s="738">
        <f t="shared" si="23"/>
        <v>88685.96373886081</v>
      </c>
      <c r="AJ34" s="762"/>
      <c r="AK34" s="763"/>
      <c r="AL34" s="752">
        <f t="shared" si="18"/>
        <v>88685.96373886081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22"/>
        <v>9</v>
      </c>
    </row>
    <row r="35" spans="2:47" s="675" customFormat="1" ht="15.75" customHeight="1">
      <c r="B35" s="727">
        <f t="shared" si="14"/>
        <v>10</v>
      </c>
      <c r="C35" s="728">
        <f t="shared" si="12"/>
        <v>11</v>
      </c>
      <c r="D35" s="729" t="str">
        <f t="shared" si="13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>
        <f t="shared" si="15"/>
        <v>0</v>
      </c>
      <c r="R35" s="753"/>
      <c r="S35" s="753"/>
      <c r="T35" s="753"/>
      <c r="U35" s="754">
        <f t="shared" si="1"/>
        <v>0</v>
      </c>
      <c r="V35" s="751"/>
      <c r="W35" s="752">
        <f t="shared" si="11"/>
        <v>0</v>
      </c>
      <c r="X35" s="753"/>
      <c r="Y35" s="752"/>
      <c r="Z35" s="736">
        <f>'①Tidak termasuk VAT TAX'!AJ35*10%</f>
        <v>490883.53984737361</v>
      </c>
      <c r="AA35" s="753"/>
      <c r="AB35" s="754">
        <f t="shared" si="16"/>
        <v>490883.53984737361</v>
      </c>
      <c r="AC35" s="738">
        <f t="shared" si="8"/>
        <v>490883.53984737361</v>
      </c>
      <c r="AD35" s="739">
        <f t="shared" si="21"/>
        <v>-18514688.202102795</v>
      </c>
      <c r="AE35" s="739">
        <f t="shared" si="24"/>
        <v>490883.53984737361</v>
      </c>
      <c r="AF35" s="739">
        <f t="shared" si="17"/>
        <v>490883.53984737361</v>
      </c>
      <c r="AG35" s="739">
        <f t="shared" si="19"/>
        <v>457505.4339127281</v>
      </c>
      <c r="AH35" s="740">
        <f t="shared" si="20"/>
        <v>457505.4339127281</v>
      </c>
      <c r="AI35" s="738">
        <f t="shared" si="23"/>
        <v>88685.96373886081</v>
      </c>
      <c r="AJ35" s="762"/>
      <c r="AK35" s="763"/>
      <c r="AL35" s="752">
        <f t="shared" si="18"/>
        <v>88685.96373886081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22"/>
        <v>10</v>
      </c>
    </row>
    <row r="36" spans="2:47" s="675" customFormat="1" ht="15.75" customHeight="1">
      <c r="B36" s="727">
        <f t="shared" si="14"/>
        <v>11</v>
      </c>
      <c r="C36" s="728">
        <f t="shared" si="12"/>
        <v>12</v>
      </c>
      <c r="D36" s="729" t="str">
        <f t="shared" si="13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>
        <f t="shared" si="15"/>
        <v>0</v>
      </c>
      <c r="R36" s="753"/>
      <c r="S36" s="753"/>
      <c r="T36" s="753"/>
      <c r="U36" s="754">
        <f t="shared" si="1"/>
        <v>0</v>
      </c>
      <c r="V36" s="751"/>
      <c r="W36" s="752">
        <f t="shared" si="11"/>
        <v>0</v>
      </c>
      <c r="X36" s="753"/>
      <c r="Y36" s="752"/>
      <c r="Z36" s="736">
        <f>'①Tidak termasuk VAT TAX'!AJ36*10%</f>
        <v>490883.53984737361</v>
      </c>
      <c r="AA36" s="753"/>
      <c r="AB36" s="754">
        <f t="shared" si="16"/>
        <v>490883.53984737361</v>
      </c>
      <c r="AC36" s="738">
        <f>U36+AB36</f>
        <v>490883.53984737361</v>
      </c>
      <c r="AD36" s="739">
        <f t="shared" si="21"/>
        <v>-18023804.662255421</v>
      </c>
      <c r="AE36" s="739">
        <f t="shared" si="24"/>
        <v>490883.53984737361</v>
      </c>
      <c r="AF36" s="739">
        <f t="shared" si="17"/>
        <v>490883.53984737361</v>
      </c>
      <c r="AG36" s="739">
        <f t="shared" si="19"/>
        <v>454295.08199992863</v>
      </c>
      <c r="AH36" s="740">
        <f t="shared" si="20"/>
        <v>454295.08199992863</v>
      </c>
      <c r="AI36" s="738">
        <f t="shared" si="23"/>
        <v>88685.96373886081</v>
      </c>
      <c r="AJ36" s="762"/>
      <c r="AK36" s="763"/>
      <c r="AL36" s="752">
        <f t="shared" si="18"/>
        <v>88685.96373886081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22"/>
        <v>11</v>
      </c>
    </row>
    <row r="37" spans="2:47" s="675" customFormat="1" ht="15.75" customHeight="1">
      <c r="B37" s="727">
        <f t="shared" si="14"/>
        <v>12</v>
      </c>
      <c r="C37" s="728">
        <f t="shared" si="12"/>
        <v>1</v>
      </c>
      <c r="D37" s="729">
        <f t="shared" si="13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>
        <f t="shared" si="15"/>
        <v>0</v>
      </c>
      <c r="R37" s="753"/>
      <c r="S37" s="753"/>
      <c r="T37" s="753"/>
      <c r="U37" s="754">
        <f t="shared" si="1"/>
        <v>0</v>
      </c>
      <c r="V37" s="751"/>
      <c r="W37" s="752">
        <f t="shared" si="11"/>
        <v>0</v>
      </c>
      <c r="X37" s="753"/>
      <c r="Y37" s="752"/>
      <c r="Z37" s="736">
        <f>'①Tidak termasuk VAT TAX'!AJ37*10%</f>
        <v>490883.53984737361</v>
      </c>
      <c r="AA37" s="753"/>
      <c r="AB37" s="754">
        <f t="shared" si="16"/>
        <v>490883.53984737361</v>
      </c>
      <c r="AC37" s="738">
        <f t="shared" si="8"/>
        <v>490883.53984737361</v>
      </c>
      <c r="AD37" s="739">
        <f t="shared" si="21"/>
        <v>-17532921.122408047</v>
      </c>
      <c r="AE37" s="739">
        <f t="shared" si="24"/>
        <v>490883.53984737361</v>
      </c>
      <c r="AF37" s="739">
        <f t="shared" si="17"/>
        <v>490883.53984737361</v>
      </c>
      <c r="AG37" s="739">
        <f t="shared" si="19"/>
        <v>451107.25738110201</v>
      </c>
      <c r="AH37" s="740">
        <f t="shared" si="20"/>
        <v>451107.25738110201</v>
      </c>
      <c r="AI37" s="738">
        <f t="shared" si="23"/>
        <v>88685.96373886081</v>
      </c>
      <c r="AJ37" s="762"/>
      <c r="AK37" s="763"/>
      <c r="AL37" s="752">
        <f t="shared" si="18"/>
        <v>88685.96373886081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22"/>
        <v>12</v>
      </c>
    </row>
    <row r="38" spans="2:47" s="675" customFormat="1" ht="16.5" customHeight="1">
      <c r="B38" s="727">
        <f t="shared" si="14"/>
        <v>13</v>
      </c>
      <c r="C38" s="728">
        <f t="shared" si="12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>
        <f t="shared" si="15"/>
        <v>0</v>
      </c>
      <c r="R38" s="753"/>
      <c r="S38" s="753"/>
      <c r="T38" s="753"/>
      <c r="U38" s="754">
        <f t="shared" si="1"/>
        <v>0</v>
      </c>
      <c r="V38" s="751"/>
      <c r="W38" s="752">
        <f t="shared" si="11"/>
        <v>0</v>
      </c>
      <c r="X38" s="753"/>
      <c r="Y38" s="752"/>
      <c r="Z38" s="736">
        <f>'①Tidak termasuk VAT TAX'!AJ38*10%</f>
        <v>490883.53984737361</v>
      </c>
      <c r="AA38" s="753"/>
      <c r="AB38" s="754">
        <f t="shared" si="16"/>
        <v>490883.53984737361</v>
      </c>
      <c r="AC38" s="738">
        <f t="shared" si="8"/>
        <v>490883.53984737361</v>
      </c>
      <c r="AD38" s="739">
        <f t="shared" si="21"/>
        <v>-17042037.582560673</v>
      </c>
      <c r="AE38" s="739">
        <f t="shared" si="24"/>
        <v>490883.53984737361</v>
      </c>
      <c r="AF38" s="739">
        <f t="shared" si="17"/>
        <v>490883.53984737361</v>
      </c>
      <c r="AG38" s="739">
        <f t="shared" si="19"/>
        <v>447941.80198044021</v>
      </c>
      <c r="AH38" s="740">
        <f t="shared" si="20"/>
        <v>447941.80198044021</v>
      </c>
      <c r="AI38" s="738">
        <f t="shared" si="23"/>
        <v>88685.96373886081</v>
      </c>
      <c r="AJ38" s="762"/>
      <c r="AK38" s="763"/>
      <c r="AL38" s="752">
        <f t="shared" si="18"/>
        <v>88685.96373886081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22"/>
        <v>13</v>
      </c>
    </row>
    <row r="39" spans="2:47" s="675" customFormat="1" ht="15.75" customHeight="1">
      <c r="B39" s="727">
        <f t="shared" si="14"/>
        <v>14</v>
      </c>
      <c r="C39" s="728">
        <f t="shared" si="12"/>
        <v>3</v>
      </c>
      <c r="D39" s="729" t="str">
        <f t="shared" ref="D39:D49" si="25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>
        <f t="shared" si="15"/>
        <v>0</v>
      </c>
      <c r="R39" s="753"/>
      <c r="S39" s="753"/>
      <c r="T39" s="753"/>
      <c r="U39" s="754">
        <f t="shared" si="1"/>
        <v>0</v>
      </c>
      <c r="V39" s="751"/>
      <c r="W39" s="752">
        <f t="shared" si="11"/>
        <v>0</v>
      </c>
      <c r="X39" s="753"/>
      <c r="Y39" s="752"/>
      <c r="Z39" s="736">
        <f>'①Tidak termasuk VAT TAX'!AJ39*10%</f>
        <v>490883.53984737361</v>
      </c>
      <c r="AA39" s="753"/>
      <c r="AB39" s="754">
        <f t="shared" si="16"/>
        <v>490883.53984737361</v>
      </c>
      <c r="AC39" s="738">
        <f t="shared" si="8"/>
        <v>490883.53984737361</v>
      </c>
      <c r="AD39" s="739">
        <f t="shared" si="21"/>
        <v>-16551154.042713299</v>
      </c>
      <c r="AE39" s="739">
        <f t="shared" si="24"/>
        <v>490883.53984737361</v>
      </c>
      <c r="AF39" s="739">
        <f t="shared" si="17"/>
        <v>490883.53984737361</v>
      </c>
      <c r="AG39" s="739">
        <f t="shared" si="19"/>
        <v>444798.55883136502</v>
      </c>
      <c r="AH39" s="740">
        <f t="shared" si="20"/>
        <v>444798.55883136502</v>
      </c>
      <c r="AI39" s="738">
        <f t="shared" si="23"/>
        <v>88685.96373886081</v>
      </c>
      <c r="AJ39" s="762"/>
      <c r="AK39" s="763"/>
      <c r="AL39" s="752">
        <f t="shared" si="18"/>
        <v>88685.96373886081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22"/>
        <v>14</v>
      </c>
    </row>
    <row r="40" spans="2:47" s="675" customFormat="1" ht="15.75" customHeight="1">
      <c r="B40" s="727">
        <f t="shared" si="14"/>
        <v>15</v>
      </c>
      <c r="C40" s="728">
        <f t="shared" si="12"/>
        <v>4</v>
      </c>
      <c r="D40" s="729" t="str">
        <f t="shared" si="25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>
        <f t="shared" si="15"/>
        <v>0</v>
      </c>
      <c r="R40" s="753"/>
      <c r="S40" s="753"/>
      <c r="T40" s="753"/>
      <c r="U40" s="754">
        <f t="shared" si="1"/>
        <v>0</v>
      </c>
      <c r="V40" s="751"/>
      <c r="W40" s="752">
        <f t="shared" si="11"/>
        <v>0</v>
      </c>
      <c r="X40" s="753"/>
      <c r="Y40" s="752"/>
      <c r="Z40" s="736">
        <f>'①Tidak termasuk VAT TAX'!AJ40*10%</f>
        <v>490883.53984737361</v>
      </c>
      <c r="AA40" s="753"/>
      <c r="AB40" s="754">
        <f t="shared" si="16"/>
        <v>490883.53984737361</v>
      </c>
      <c r="AC40" s="738">
        <f t="shared" si="8"/>
        <v>490883.53984737361</v>
      </c>
      <c r="AD40" s="739">
        <f t="shared" si="21"/>
        <v>-16060270.502865925</v>
      </c>
      <c r="AE40" s="739">
        <f t="shared" si="24"/>
        <v>490883.53984737361</v>
      </c>
      <c r="AF40" s="739">
        <f t="shared" si="17"/>
        <v>490883.53984737361</v>
      </c>
      <c r="AG40" s="739">
        <f t="shared" si="19"/>
        <v>441677.3720687459</v>
      </c>
      <c r="AH40" s="740">
        <f t="shared" si="20"/>
        <v>441677.3720687459</v>
      </c>
      <c r="AI40" s="738">
        <f t="shared" si="23"/>
        <v>88685.96373886081</v>
      </c>
      <c r="AJ40" s="762"/>
      <c r="AK40" s="763"/>
      <c r="AL40" s="752">
        <f t="shared" si="18"/>
        <v>88685.96373886081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22"/>
        <v>15</v>
      </c>
    </row>
    <row r="41" spans="2:47" s="675" customFormat="1" ht="15.75" customHeight="1">
      <c r="B41" s="727">
        <f t="shared" si="14"/>
        <v>16</v>
      </c>
      <c r="C41" s="728">
        <f t="shared" si="12"/>
        <v>5</v>
      </c>
      <c r="D41" s="729" t="str">
        <f t="shared" si="25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>
        <f t="shared" si="15"/>
        <v>0</v>
      </c>
      <c r="R41" s="753"/>
      <c r="S41" s="753"/>
      <c r="T41" s="753"/>
      <c r="U41" s="754">
        <f t="shared" si="1"/>
        <v>0</v>
      </c>
      <c r="V41" s="751"/>
      <c r="W41" s="752">
        <f t="shared" si="11"/>
        <v>0</v>
      </c>
      <c r="X41" s="753"/>
      <c r="Y41" s="752"/>
      <c r="Z41" s="736">
        <f>'①Tidak termasuk VAT TAX'!AJ41*10%</f>
        <v>490883.53984737361</v>
      </c>
      <c r="AA41" s="753"/>
      <c r="AB41" s="754">
        <f t="shared" si="16"/>
        <v>490883.53984737361</v>
      </c>
      <c r="AC41" s="738">
        <f t="shared" si="8"/>
        <v>490883.53984737361</v>
      </c>
      <c r="AD41" s="739">
        <f t="shared" si="21"/>
        <v>-15569386.963018551</v>
      </c>
      <c r="AE41" s="739">
        <f t="shared" si="24"/>
        <v>490883.53984737361</v>
      </c>
      <c r="AF41" s="739">
        <f t="shared" si="17"/>
        <v>490883.53984737361</v>
      </c>
      <c r="AG41" s="739">
        <f t="shared" si="19"/>
        <v>438578.08692116954</v>
      </c>
      <c r="AH41" s="740">
        <f t="shared" si="20"/>
        <v>438578.08692116954</v>
      </c>
      <c r="AI41" s="738">
        <f t="shared" si="23"/>
        <v>88685.96373886081</v>
      </c>
      <c r="AJ41" s="762"/>
      <c r="AK41" s="763"/>
      <c r="AL41" s="752">
        <f t="shared" si="18"/>
        <v>88685.96373886081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22"/>
        <v>16</v>
      </c>
    </row>
    <row r="42" spans="2:47" s="675" customFormat="1" ht="15.75" customHeight="1">
      <c r="B42" s="727">
        <f t="shared" si="14"/>
        <v>17</v>
      </c>
      <c r="C42" s="728">
        <f t="shared" si="12"/>
        <v>6</v>
      </c>
      <c r="D42" s="729" t="str">
        <f t="shared" si="25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>
        <f t="shared" si="15"/>
        <v>0</v>
      </c>
      <c r="R42" s="753"/>
      <c r="S42" s="753"/>
      <c r="T42" s="753"/>
      <c r="U42" s="754">
        <f t="shared" si="1"/>
        <v>0</v>
      </c>
      <c r="V42" s="751"/>
      <c r="W42" s="752">
        <f t="shared" si="11"/>
        <v>0</v>
      </c>
      <c r="X42" s="753"/>
      <c r="Y42" s="752"/>
      <c r="Z42" s="736">
        <f>'①Tidak termasuk VAT TAX'!AJ42*10%</f>
        <v>490883.53984737361</v>
      </c>
      <c r="AA42" s="753"/>
      <c r="AB42" s="754">
        <f t="shared" si="16"/>
        <v>490883.53984737361</v>
      </c>
      <c r="AC42" s="738">
        <f t="shared" si="8"/>
        <v>490883.53984737361</v>
      </c>
      <c r="AD42" s="739">
        <f t="shared" si="21"/>
        <v>-15078503.423171178</v>
      </c>
      <c r="AE42" s="739">
        <f t="shared" si="24"/>
        <v>490883.53984737361</v>
      </c>
      <c r="AF42" s="739">
        <f t="shared" si="17"/>
        <v>490883.53984737361</v>
      </c>
      <c r="AG42" s="739">
        <f t="shared" si="19"/>
        <v>435500.54970326636</v>
      </c>
      <c r="AH42" s="740">
        <f t="shared" si="20"/>
        <v>435500.54970326636</v>
      </c>
      <c r="AI42" s="738">
        <f t="shared" si="23"/>
        <v>88685.96373886081</v>
      </c>
      <c r="AJ42" s="762"/>
      <c r="AK42" s="763"/>
      <c r="AL42" s="752">
        <f t="shared" si="18"/>
        <v>88685.96373886081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22"/>
        <v>17</v>
      </c>
    </row>
    <row r="43" spans="2:47" s="675" customFormat="1" ht="15.75" customHeight="1">
      <c r="B43" s="727">
        <f t="shared" si="14"/>
        <v>18</v>
      </c>
      <c r="C43" s="728">
        <f t="shared" si="12"/>
        <v>7</v>
      </c>
      <c r="D43" s="729" t="str">
        <f t="shared" si="25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>
        <f t="shared" si="15"/>
        <v>0</v>
      </c>
      <c r="R43" s="753"/>
      <c r="S43" s="753"/>
      <c r="T43" s="753"/>
      <c r="U43" s="754">
        <f t="shared" si="1"/>
        <v>0</v>
      </c>
      <c r="V43" s="751"/>
      <c r="W43" s="752">
        <f t="shared" si="11"/>
        <v>0</v>
      </c>
      <c r="X43" s="753"/>
      <c r="Y43" s="752"/>
      <c r="Z43" s="736">
        <f>'①Tidak termasuk VAT TAX'!AJ43*10%</f>
        <v>490883.53984737361</v>
      </c>
      <c r="AA43" s="753"/>
      <c r="AB43" s="754">
        <f t="shared" si="16"/>
        <v>490883.53984737361</v>
      </c>
      <c r="AC43" s="738">
        <f t="shared" si="8"/>
        <v>490883.53984737361</v>
      </c>
      <c r="AD43" s="739">
        <f t="shared" si="21"/>
        <v>-14587619.883323804</v>
      </c>
      <c r="AE43" s="739">
        <f t="shared" si="24"/>
        <v>490883.53984737361</v>
      </c>
      <c r="AF43" s="739">
        <f t="shared" si="17"/>
        <v>490883.53984737361</v>
      </c>
      <c r="AG43" s="739">
        <f t="shared" si="19"/>
        <v>432444.60780808917</v>
      </c>
      <c r="AH43" s="740">
        <f t="shared" si="20"/>
        <v>432444.60780808917</v>
      </c>
      <c r="AI43" s="738">
        <f t="shared" si="23"/>
        <v>88685.96373886081</v>
      </c>
      <c r="AJ43" s="762"/>
      <c r="AK43" s="763"/>
      <c r="AL43" s="752">
        <f t="shared" si="18"/>
        <v>88685.96373886081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22"/>
        <v>18</v>
      </c>
    </row>
    <row r="44" spans="2:47" s="675" customFormat="1" ht="15.75" customHeight="1">
      <c r="B44" s="727">
        <f t="shared" si="14"/>
        <v>19</v>
      </c>
      <c r="C44" s="728">
        <f t="shared" si="12"/>
        <v>8</v>
      </c>
      <c r="D44" s="729" t="str">
        <f t="shared" si="25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>
        <f t="shared" si="15"/>
        <v>0</v>
      </c>
      <c r="R44" s="753"/>
      <c r="S44" s="753"/>
      <c r="T44" s="753"/>
      <c r="U44" s="754">
        <f t="shared" si="1"/>
        <v>0</v>
      </c>
      <c r="V44" s="751"/>
      <c r="W44" s="752">
        <f t="shared" si="11"/>
        <v>0</v>
      </c>
      <c r="X44" s="753"/>
      <c r="Y44" s="752"/>
      <c r="Z44" s="736">
        <f>'①Tidak termasuk VAT TAX'!AJ44*10%</f>
        <v>490883.53984737361</v>
      </c>
      <c r="AA44" s="753"/>
      <c r="AB44" s="754">
        <f t="shared" si="16"/>
        <v>490883.53984737361</v>
      </c>
      <c r="AC44" s="738">
        <f t="shared" si="8"/>
        <v>490883.53984737361</v>
      </c>
      <c r="AD44" s="739">
        <f t="shared" si="21"/>
        <v>-14096736.34347643</v>
      </c>
      <c r="AE44" s="739">
        <f t="shared" si="24"/>
        <v>490883.53984737361</v>
      </c>
      <c r="AF44" s="739">
        <f t="shared" si="17"/>
        <v>490883.53984737361</v>
      </c>
      <c r="AG44" s="739">
        <f t="shared" si="19"/>
        <v>429410.10969954572</v>
      </c>
      <c r="AH44" s="740">
        <f t="shared" si="20"/>
        <v>429410.10969954572</v>
      </c>
      <c r="AI44" s="738">
        <f t="shared" si="23"/>
        <v>88685.96373886081</v>
      </c>
      <c r="AJ44" s="762"/>
      <c r="AK44" s="763"/>
      <c r="AL44" s="752">
        <f t="shared" si="18"/>
        <v>88685.96373886081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22"/>
        <v>19</v>
      </c>
    </row>
    <row r="45" spans="2:47" s="675" customFormat="1" ht="15.75" customHeight="1">
      <c r="B45" s="727">
        <f t="shared" si="14"/>
        <v>20</v>
      </c>
      <c r="C45" s="728">
        <f t="shared" si="12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>
        <f t="shared" si="15"/>
        <v>0</v>
      </c>
      <c r="R45" s="753"/>
      <c r="S45" s="753"/>
      <c r="T45" s="753"/>
      <c r="U45" s="754">
        <f t="shared" si="1"/>
        <v>0</v>
      </c>
      <c r="V45" s="751"/>
      <c r="W45" s="752">
        <f t="shared" si="11"/>
        <v>0</v>
      </c>
      <c r="X45" s="753"/>
      <c r="Y45" s="752"/>
      <c r="Z45" s="736">
        <f>'①Tidak termasuk VAT TAX'!AJ45*10%</f>
        <v>490883.53984737361</v>
      </c>
      <c r="AA45" s="753"/>
      <c r="AB45" s="754">
        <f t="shared" si="16"/>
        <v>490883.53984737361</v>
      </c>
      <c r="AC45" s="738">
        <f t="shared" si="8"/>
        <v>490883.53984737361</v>
      </c>
      <c r="AD45" s="739">
        <f t="shared" si="21"/>
        <v>-13605852.803629056</v>
      </c>
      <c r="AE45" s="739">
        <f t="shared" si="24"/>
        <v>490883.53984737361</v>
      </c>
      <c r="AF45" s="739">
        <f t="shared" si="17"/>
        <v>490883.53984737361</v>
      </c>
      <c r="AG45" s="739">
        <f t="shared" si="19"/>
        <v>426396.90490488434</v>
      </c>
      <c r="AH45" s="740">
        <f t="shared" si="20"/>
        <v>426396.90490488434</v>
      </c>
      <c r="AI45" s="738">
        <f t="shared" si="23"/>
        <v>88685.96373886081</v>
      </c>
      <c r="AJ45" s="762"/>
      <c r="AK45" s="763"/>
      <c r="AL45" s="752">
        <f t="shared" si="18"/>
        <v>88685.96373886081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22"/>
        <v>20</v>
      </c>
    </row>
    <row r="46" spans="2:47" s="675" customFormat="1" ht="15.75" customHeight="1">
      <c r="B46" s="727">
        <f t="shared" si="14"/>
        <v>21</v>
      </c>
      <c r="C46" s="728">
        <f t="shared" si="12"/>
        <v>10</v>
      </c>
      <c r="D46" s="729" t="str">
        <f t="shared" si="25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>
        <f t="shared" si="15"/>
        <v>0</v>
      </c>
      <c r="R46" s="753"/>
      <c r="S46" s="753"/>
      <c r="T46" s="753"/>
      <c r="U46" s="754">
        <f t="shared" si="1"/>
        <v>0</v>
      </c>
      <c r="V46" s="751"/>
      <c r="W46" s="752">
        <f t="shared" si="11"/>
        <v>0</v>
      </c>
      <c r="X46" s="753"/>
      <c r="Y46" s="752"/>
      <c r="Z46" s="736">
        <f>'①Tidak termasuk VAT TAX'!AJ46*10%</f>
        <v>490883.53984737361</v>
      </c>
      <c r="AA46" s="753"/>
      <c r="AB46" s="754">
        <f t="shared" si="16"/>
        <v>490883.53984737361</v>
      </c>
      <c r="AC46" s="738">
        <f t="shared" si="8"/>
        <v>490883.53984737361</v>
      </c>
      <c r="AD46" s="739">
        <f t="shared" si="21"/>
        <v>-13114969.263781682</v>
      </c>
      <c r="AE46" s="739">
        <f t="shared" si="24"/>
        <v>490883.53984737361</v>
      </c>
      <c r="AF46" s="739">
        <f t="shared" si="17"/>
        <v>490883.53984737361</v>
      </c>
      <c r="AG46" s="739">
        <f t="shared" si="19"/>
        <v>423404.84400723322</v>
      </c>
      <c r="AH46" s="740">
        <f t="shared" si="20"/>
        <v>423404.84400723322</v>
      </c>
      <c r="AI46" s="738">
        <f t="shared" si="23"/>
        <v>88685.96373886081</v>
      </c>
      <c r="AJ46" s="762"/>
      <c r="AK46" s="763"/>
      <c r="AL46" s="752">
        <f t="shared" si="18"/>
        <v>88685.96373886081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22"/>
        <v>21</v>
      </c>
    </row>
    <row r="47" spans="2:47" s="675" customFormat="1" ht="15.75" customHeight="1">
      <c r="B47" s="727">
        <f t="shared" si="14"/>
        <v>22</v>
      </c>
      <c r="C47" s="728">
        <f t="shared" si="12"/>
        <v>11</v>
      </c>
      <c r="D47" s="729" t="str">
        <f t="shared" si="25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>
        <f t="shared" si="15"/>
        <v>0</v>
      </c>
      <c r="R47" s="753"/>
      <c r="S47" s="753"/>
      <c r="T47" s="753"/>
      <c r="U47" s="754">
        <f t="shared" si="1"/>
        <v>0</v>
      </c>
      <c r="V47" s="751"/>
      <c r="W47" s="752">
        <f t="shared" si="11"/>
        <v>0</v>
      </c>
      <c r="X47" s="753"/>
      <c r="Y47" s="752"/>
      <c r="Z47" s="736">
        <f>'①Tidak termasuk VAT TAX'!AJ47*10%</f>
        <v>490883.53984737361</v>
      </c>
      <c r="AA47" s="753"/>
      <c r="AB47" s="754">
        <f t="shared" si="16"/>
        <v>490883.53984737361</v>
      </c>
      <c r="AC47" s="738">
        <f t="shared" si="8"/>
        <v>490883.53984737361</v>
      </c>
      <c r="AD47" s="739">
        <f t="shared" si="21"/>
        <v>-12624085.723934308</v>
      </c>
      <c r="AE47" s="739">
        <f t="shared" si="24"/>
        <v>490883.53984737361</v>
      </c>
      <c r="AF47" s="739">
        <f t="shared" si="17"/>
        <v>490883.53984737361</v>
      </c>
      <c r="AG47" s="739">
        <f t="shared" si="19"/>
        <v>420433.77863818995</v>
      </c>
      <c r="AH47" s="740">
        <f t="shared" si="20"/>
        <v>420433.77863818995</v>
      </c>
      <c r="AI47" s="738">
        <f t="shared" si="23"/>
        <v>88685.96373886081</v>
      </c>
      <c r="AJ47" s="762"/>
      <c r="AK47" s="763"/>
      <c r="AL47" s="752">
        <f t="shared" si="18"/>
        <v>88685.96373886081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22"/>
        <v>22</v>
      </c>
    </row>
    <row r="48" spans="2:47" s="675" customFormat="1" ht="15.75" customHeight="1">
      <c r="B48" s="727">
        <f t="shared" si="14"/>
        <v>23</v>
      </c>
      <c r="C48" s="728">
        <f t="shared" si="12"/>
        <v>12</v>
      </c>
      <c r="D48" s="729" t="str">
        <f t="shared" si="25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>
        <f t="shared" si="15"/>
        <v>0</v>
      </c>
      <c r="R48" s="753"/>
      <c r="S48" s="753"/>
      <c r="T48" s="753"/>
      <c r="U48" s="754">
        <f t="shared" si="1"/>
        <v>0</v>
      </c>
      <c r="V48" s="751"/>
      <c r="W48" s="752">
        <f t="shared" si="11"/>
        <v>0</v>
      </c>
      <c r="X48" s="753"/>
      <c r="Y48" s="752"/>
      <c r="Z48" s="736">
        <f>'①Tidak termasuk VAT TAX'!AJ48*10%</f>
        <v>490883.53984737361</v>
      </c>
      <c r="AA48" s="753"/>
      <c r="AB48" s="754">
        <f t="shared" si="16"/>
        <v>490883.53984737361</v>
      </c>
      <c r="AC48" s="738">
        <f t="shared" si="8"/>
        <v>490883.53984737361</v>
      </c>
      <c r="AD48" s="739">
        <f t="shared" si="21"/>
        <v>-12133202.184086934</v>
      </c>
      <c r="AE48" s="739">
        <f t="shared" si="24"/>
        <v>490883.53984737361</v>
      </c>
      <c r="AF48" s="739">
        <f t="shared" si="17"/>
        <v>490883.53984737361</v>
      </c>
      <c r="AG48" s="739">
        <f t="shared" si="19"/>
        <v>417483.56147046527</v>
      </c>
      <c r="AH48" s="740">
        <f t="shared" si="20"/>
        <v>417483.56147046527</v>
      </c>
      <c r="AI48" s="738">
        <f t="shared" si="23"/>
        <v>88685.96373886081</v>
      </c>
      <c r="AJ48" s="762"/>
      <c r="AK48" s="763"/>
      <c r="AL48" s="752">
        <f t="shared" si="18"/>
        <v>88685.96373886081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22"/>
        <v>23</v>
      </c>
    </row>
    <row r="49" spans="2:47" s="675" customFormat="1" ht="15.75" customHeight="1">
      <c r="B49" s="727">
        <f t="shared" si="14"/>
        <v>24</v>
      </c>
      <c r="C49" s="728">
        <f t="shared" si="12"/>
        <v>1</v>
      </c>
      <c r="D49" s="729">
        <f t="shared" si="25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>
        <f t="shared" si="15"/>
        <v>0</v>
      </c>
      <c r="R49" s="753"/>
      <c r="S49" s="753"/>
      <c r="T49" s="753"/>
      <c r="U49" s="754">
        <f t="shared" si="1"/>
        <v>0</v>
      </c>
      <c r="V49" s="751"/>
      <c r="W49" s="752">
        <f t="shared" si="11"/>
        <v>0</v>
      </c>
      <c r="X49" s="753"/>
      <c r="Y49" s="752"/>
      <c r="Z49" s="736">
        <f>'①Tidak termasuk VAT TAX'!AJ49*10%</f>
        <v>490883.53984737361</v>
      </c>
      <c r="AA49" s="753"/>
      <c r="AB49" s="754">
        <f t="shared" si="16"/>
        <v>490883.53984737361</v>
      </c>
      <c r="AC49" s="738">
        <f t="shared" si="8"/>
        <v>490883.53984737361</v>
      </c>
      <c r="AD49" s="739">
        <f t="shared" si="21"/>
        <v>-11642318.64423956</v>
      </c>
      <c r="AE49" s="739">
        <f t="shared" si="24"/>
        <v>490883.53984737361</v>
      </c>
      <c r="AF49" s="739">
        <f t="shared" si="17"/>
        <v>490883.53984737361</v>
      </c>
      <c r="AG49" s="739">
        <f t="shared" si="19"/>
        <v>414554.04621057707</v>
      </c>
      <c r="AH49" s="740">
        <f t="shared" si="20"/>
        <v>414554.04621057707</v>
      </c>
      <c r="AI49" s="738">
        <f t="shared" si="23"/>
        <v>88685.96373886081</v>
      </c>
      <c r="AJ49" s="762"/>
      <c r="AK49" s="763"/>
      <c r="AL49" s="752">
        <f t="shared" si="18"/>
        <v>88685.96373886081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22"/>
        <v>24</v>
      </c>
    </row>
    <row r="50" spans="2:47" s="675" customFormat="1" ht="15.75" customHeight="1">
      <c r="B50" s="727">
        <f t="shared" si="14"/>
        <v>25</v>
      </c>
      <c r="C50" s="728">
        <f t="shared" si="12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>
        <f t="shared" si="15"/>
        <v>0</v>
      </c>
      <c r="R50" s="753"/>
      <c r="S50" s="753"/>
      <c r="T50" s="753"/>
      <c r="U50" s="754">
        <f t="shared" si="1"/>
        <v>0</v>
      </c>
      <c r="V50" s="751"/>
      <c r="W50" s="752">
        <f t="shared" si="11"/>
        <v>0</v>
      </c>
      <c r="X50" s="753"/>
      <c r="Y50" s="752"/>
      <c r="Z50" s="736">
        <f>'①Tidak termasuk VAT TAX'!AJ50*10%</f>
        <v>490883.53984737361</v>
      </c>
      <c r="AA50" s="753"/>
      <c r="AB50" s="754">
        <f t="shared" si="16"/>
        <v>490883.53984737361</v>
      </c>
      <c r="AC50" s="738">
        <f t="shared" si="8"/>
        <v>490883.53984737361</v>
      </c>
      <c r="AD50" s="739">
        <f t="shared" si="21"/>
        <v>-11151435.104392186</v>
      </c>
      <c r="AE50" s="739">
        <f t="shared" si="24"/>
        <v>490883.53984737361</v>
      </c>
      <c r="AF50" s="739">
        <f t="shared" si="17"/>
        <v>490883.53984737361</v>
      </c>
      <c r="AG50" s="739">
        <f t="shared" si="19"/>
        <v>411645.08759159647</v>
      </c>
      <c r="AH50" s="740">
        <f t="shared" si="20"/>
        <v>411645.08759159647</v>
      </c>
      <c r="AI50" s="738">
        <f t="shared" si="23"/>
        <v>88685.96373886081</v>
      </c>
      <c r="AJ50" s="762"/>
      <c r="AK50" s="763"/>
      <c r="AL50" s="752">
        <f t="shared" si="18"/>
        <v>88685.96373886081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22"/>
        <v>25</v>
      </c>
    </row>
    <row r="51" spans="2:47" s="675" customFormat="1" ht="15.75" customHeight="1">
      <c r="B51" s="727">
        <f t="shared" si="14"/>
        <v>26</v>
      </c>
      <c r="C51" s="728">
        <f t="shared" si="12"/>
        <v>3</v>
      </c>
      <c r="D51" s="729" t="str">
        <f t="shared" ref="D51:D61" si="26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>
        <f t="shared" si="15"/>
        <v>0</v>
      </c>
      <c r="R51" s="753"/>
      <c r="S51" s="753"/>
      <c r="T51" s="753"/>
      <c r="U51" s="754">
        <f t="shared" si="1"/>
        <v>0</v>
      </c>
      <c r="V51" s="751"/>
      <c r="W51" s="752">
        <f t="shared" si="11"/>
        <v>0</v>
      </c>
      <c r="X51" s="753"/>
      <c r="Y51" s="752"/>
      <c r="Z51" s="736">
        <f>'①Tidak termasuk VAT TAX'!AJ51*10%</f>
        <v>490883.53984737361</v>
      </c>
      <c r="AA51" s="753"/>
      <c r="AB51" s="754">
        <f t="shared" si="16"/>
        <v>490883.53984737361</v>
      </c>
      <c r="AC51" s="738">
        <f t="shared" si="8"/>
        <v>490883.53984737361</v>
      </c>
      <c r="AD51" s="739">
        <f t="shared" si="21"/>
        <v>-10660551.564544812</v>
      </c>
      <c r="AE51" s="739">
        <f t="shared" si="24"/>
        <v>490883.53984737361</v>
      </c>
      <c r="AF51" s="739">
        <f t="shared" si="17"/>
        <v>490883.53984737361</v>
      </c>
      <c r="AG51" s="739">
        <f t="shared" si="19"/>
        <v>408756.54136594367</v>
      </c>
      <c r="AH51" s="740">
        <f t="shared" si="20"/>
        <v>408756.54136594367</v>
      </c>
      <c r="AI51" s="738">
        <f t="shared" si="23"/>
        <v>88685.96373886081</v>
      </c>
      <c r="AJ51" s="762"/>
      <c r="AK51" s="763"/>
      <c r="AL51" s="752">
        <f t="shared" si="18"/>
        <v>88685.96373886081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22"/>
        <v>26</v>
      </c>
    </row>
    <row r="52" spans="2:47" s="675" customFormat="1" ht="15.75" customHeight="1">
      <c r="B52" s="727">
        <f t="shared" si="14"/>
        <v>27</v>
      </c>
      <c r="C52" s="728">
        <f t="shared" si="12"/>
        <v>4</v>
      </c>
      <c r="D52" s="729" t="str">
        <f t="shared" si="26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>
        <f t="shared" si="15"/>
        <v>0</v>
      </c>
      <c r="R52" s="753"/>
      <c r="S52" s="753"/>
      <c r="T52" s="753"/>
      <c r="U52" s="754">
        <f t="shared" si="1"/>
        <v>0</v>
      </c>
      <c r="V52" s="751"/>
      <c r="W52" s="752">
        <f t="shared" si="11"/>
        <v>0</v>
      </c>
      <c r="X52" s="753"/>
      <c r="Y52" s="752"/>
      <c r="Z52" s="736">
        <f>'①Tidak termasuk VAT TAX'!AJ52*10%</f>
        <v>490883.53984737361</v>
      </c>
      <c r="AA52" s="753"/>
      <c r="AB52" s="754">
        <f t="shared" si="16"/>
        <v>490883.53984737361</v>
      </c>
      <c r="AC52" s="738">
        <f t="shared" si="8"/>
        <v>490883.53984737361</v>
      </c>
      <c r="AD52" s="739">
        <f t="shared" si="21"/>
        <v>-10169668.024697438</v>
      </c>
      <c r="AE52" s="739">
        <f t="shared" si="24"/>
        <v>490883.53984737361</v>
      </c>
      <c r="AF52" s="739">
        <f t="shared" si="17"/>
        <v>490883.53984737361</v>
      </c>
      <c r="AG52" s="739">
        <f t="shared" si="19"/>
        <v>405888.26429823617</v>
      </c>
      <c r="AH52" s="740">
        <f t="shared" si="20"/>
        <v>405888.26429823617</v>
      </c>
      <c r="AI52" s="738">
        <f t="shared" si="23"/>
        <v>88685.96373886081</v>
      </c>
      <c r="AJ52" s="762"/>
      <c r="AK52" s="763"/>
      <c r="AL52" s="752">
        <f t="shared" si="18"/>
        <v>88685.96373886081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22"/>
        <v>27</v>
      </c>
    </row>
    <row r="53" spans="2:47" s="675" customFormat="1" ht="15.75" customHeight="1">
      <c r="B53" s="727">
        <f t="shared" si="14"/>
        <v>28</v>
      </c>
      <c r="C53" s="728">
        <f t="shared" si="12"/>
        <v>5</v>
      </c>
      <c r="D53" s="729" t="str">
        <f t="shared" si="26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>
        <f t="shared" si="15"/>
        <v>0</v>
      </c>
      <c r="R53" s="753"/>
      <c r="S53" s="753"/>
      <c r="T53" s="753"/>
      <c r="U53" s="754">
        <f t="shared" si="1"/>
        <v>0</v>
      </c>
      <c r="V53" s="751"/>
      <c r="W53" s="752">
        <f t="shared" si="11"/>
        <v>0</v>
      </c>
      <c r="X53" s="753"/>
      <c r="Y53" s="752"/>
      <c r="Z53" s="736">
        <f>'①Tidak termasuk VAT TAX'!AJ53*10%</f>
        <v>490883.53984737361</v>
      </c>
      <c r="AA53" s="753"/>
      <c r="AB53" s="754">
        <f t="shared" si="16"/>
        <v>490883.53984737361</v>
      </c>
      <c r="AC53" s="738">
        <f t="shared" si="8"/>
        <v>490883.53984737361</v>
      </c>
      <c r="AD53" s="739">
        <f t="shared" si="21"/>
        <v>-9678784.4848500639</v>
      </c>
      <c r="AE53" s="739">
        <f t="shared" si="24"/>
        <v>490883.53984737361</v>
      </c>
      <c r="AF53" s="739">
        <f t="shared" si="17"/>
        <v>490883.53984737361</v>
      </c>
      <c r="AG53" s="739">
        <f t="shared" si="19"/>
        <v>403040.11415818485</v>
      </c>
      <c r="AH53" s="740">
        <f t="shared" si="20"/>
        <v>403040.11415818485</v>
      </c>
      <c r="AI53" s="738">
        <f t="shared" si="23"/>
        <v>88685.96373886081</v>
      </c>
      <c r="AJ53" s="762"/>
      <c r="AK53" s="763"/>
      <c r="AL53" s="752">
        <f t="shared" si="18"/>
        <v>88685.96373886081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22"/>
        <v>28</v>
      </c>
    </row>
    <row r="54" spans="2:47" s="675" customFormat="1" ht="15.75" customHeight="1">
      <c r="B54" s="727">
        <f t="shared" si="14"/>
        <v>29</v>
      </c>
      <c r="C54" s="728">
        <f t="shared" si="12"/>
        <v>6</v>
      </c>
      <c r="D54" s="729" t="str">
        <f t="shared" si="26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>
        <f t="shared" si="15"/>
        <v>0</v>
      </c>
      <c r="R54" s="753"/>
      <c r="S54" s="753"/>
      <c r="T54" s="753"/>
      <c r="U54" s="754">
        <f t="shared" ref="U54:U85" si="27">SUM(E54:T54)</f>
        <v>0</v>
      </c>
      <c r="V54" s="751"/>
      <c r="W54" s="752">
        <f t="shared" si="11"/>
        <v>0</v>
      </c>
      <c r="X54" s="753"/>
      <c r="Y54" s="752"/>
      <c r="Z54" s="736">
        <f>'①Tidak termasuk VAT TAX'!AJ54*10%</f>
        <v>490883.53984737361</v>
      </c>
      <c r="AA54" s="753"/>
      <c r="AB54" s="754">
        <f t="shared" si="16"/>
        <v>490883.53984737361</v>
      </c>
      <c r="AC54" s="738">
        <f t="shared" si="8"/>
        <v>490883.53984737361</v>
      </c>
      <c r="AD54" s="739">
        <f t="shared" si="21"/>
        <v>-9187900.94500269</v>
      </c>
      <c r="AE54" s="739">
        <f t="shared" si="24"/>
        <v>490883.53984737361</v>
      </c>
      <c r="AF54" s="739">
        <f t="shared" si="17"/>
        <v>490883.53984737361</v>
      </c>
      <c r="AG54" s="739">
        <f t="shared" si="19"/>
        <v>400211.94971354253</v>
      </c>
      <c r="AH54" s="740">
        <f t="shared" si="20"/>
        <v>400211.94971354253</v>
      </c>
      <c r="AI54" s="738">
        <f t="shared" si="23"/>
        <v>88685.96373886081</v>
      </c>
      <c r="AJ54" s="762"/>
      <c r="AK54" s="763"/>
      <c r="AL54" s="752">
        <f t="shared" si="18"/>
        <v>88685.96373886081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22"/>
        <v>29</v>
      </c>
    </row>
    <row r="55" spans="2:47" s="675" customFormat="1" ht="15.75" customHeight="1">
      <c r="B55" s="727">
        <f t="shared" si="14"/>
        <v>30</v>
      </c>
      <c r="C55" s="728">
        <f t="shared" si="12"/>
        <v>7</v>
      </c>
      <c r="D55" s="729" t="str">
        <f t="shared" si="26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>
        <f t="shared" si="15"/>
        <v>0</v>
      </c>
      <c r="R55" s="753"/>
      <c r="S55" s="753"/>
      <c r="T55" s="753"/>
      <c r="U55" s="754">
        <f t="shared" si="27"/>
        <v>0</v>
      </c>
      <c r="V55" s="751"/>
      <c r="W55" s="752">
        <f t="shared" si="11"/>
        <v>0</v>
      </c>
      <c r="X55" s="753"/>
      <c r="Y55" s="752"/>
      <c r="Z55" s="736">
        <f>'①Tidak termasuk VAT TAX'!AJ55*10%</f>
        <v>490883.53984737361</v>
      </c>
      <c r="AA55" s="753"/>
      <c r="AB55" s="754">
        <f t="shared" si="16"/>
        <v>490883.53984737361</v>
      </c>
      <c r="AC55" s="738">
        <f t="shared" si="8"/>
        <v>490883.53984737361</v>
      </c>
      <c r="AD55" s="739">
        <f t="shared" si="21"/>
        <v>-8697017.405155316</v>
      </c>
      <c r="AE55" s="739">
        <f t="shared" si="24"/>
        <v>490883.53984737361</v>
      </c>
      <c r="AF55" s="739">
        <f t="shared" si="17"/>
        <v>490883.53984737361</v>
      </c>
      <c r="AG55" s="739">
        <f t="shared" si="19"/>
        <v>397403.63072309905</v>
      </c>
      <c r="AH55" s="740">
        <f t="shared" si="20"/>
        <v>397403.63072309905</v>
      </c>
      <c r="AI55" s="738">
        <f t="shared" si="23"/>
        <v>88685.96373886081</v>
      </c>
      <c r="AJ55" s="762"/>
      <c r="AK55" s="763"/>
      <c r="AL55" s="752">
        <f t="shared" si="18"/>
        <v>88685.96373886081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22"/>
        <v>30</v>
      </c>
    </row>
    <row r="56" spans="2:47" s="675" customFormat="1" ht="15.75" customHeight="1">
      <c r="B56" s="727">
        <f t="shared" si="14"/>
        <v>31</v>
      </c>
      <c r="C56" s="728">
        <f t="shared" si="12"/>
        <v>8</v>
      </c>
      <c r="D56" s="729" t="str">
        <f t="shared" si="26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>
        <f t="shared" si="15"/>
        <v>0</v>
      </c>
      <c r="R56" s="753"/>
      <c r="S56" s="753"/>
      <c r="T56" s="753"/>
      <c r="U56" s="754">
        <f t="shared" si="27"/>
        <v>0</v>
      </c>
      <c r="V56" s="751"/>
      <c r="W56" s="752">
        <f t="shared" si="11"/>
        <v>0</v>
      </c>
      <c r="X56" s="753"/>
      <c r="Y56" s="752"/>
      <c r="Z56" s="736">
        <f>'①Tidak termasuk VAT TAX'!AJ56*10%</f>
        <v>490883.53984737361</v>
      </c>
      <c r="AA56" s="753"/>
      <c r="AB56" s="754">
        <f t="shared" si="16"/>
        <v>490883.53984737361</v>
      </c>
      <c r="AC56" s="738">
        <f t="shared" si="8"/>
        <v>490883.53984737361</v>
      </c>
      <c r="AD56" s="739">
        <f t="shared" si="21"/>
        <v>-8206133.865307942</v>
      </c>
      <c r="AE56" s="739">
        <f t="shared" si="24"/>
        <v>490883.53984737361</v>
      </c>
      <c r="AF56" s="739">
        <f t="shared" si="17"/>
        <v>490883.53984737361</v>
      </c>
      <c r="AG56" s="739">
        <f t="shared" si="19"/>
        <v>394615.01792972896</v>
      </c>
      <c r="AH56" s="740">
        <f t="shared" si="20"/>
        <v>394615.01792972896</v>
      </c>
      <c r="AI56" s="738">
        <f t="shared" si="23"/>
        <v>88685.96373886081</v>
      </c>
      <c r="AJ56" s="762"/>
      <c r="AK56" s="763"/>
      <c r="AL56" s="752">
        <f t="shared" si="18"/>
        <v>88685.96373886081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22"/>
        <v>31</v>
      </c>
    </row>
    <row r="57" spans="2:47" s="675" customFormat="1" ht="15.75" customHeight="1">
      <c r="B57" s="727">
        <f t="shared" si="14"/>
        <v>32</v>
      </c>
      <c r="C57" s="728">
        <f t="shared" si="12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>
        <f t="shared" si="15"/>
        <v>0</v>
      </c>
      <c r="R57" s="753"/>
      <c r="S57" s="753"/>
      <c r="T57" s="753"/>
      <c r="U57" s="754">
        <f t="shared" si="27"/>
        <v>0</v>
      </c>
      <c r="V57" s="751"/>
      <c r="W57" s="752">
        <f t="shared" ref="W57:W90" si="28">IF($AU57=$J$7+1,$M$15,0)</f>
        <v>0</v>
      </c>
      <c r="X57" s="753"/>
      <c r="Y57" s="752"/>
      <c r="Z57" s="736">
        <f>'①Tidak termasuk VAT TAX'!AJ57*10%</f>
        <v>490883.53984737361</v>
      </c>
      <c r="AA57" s="753"/>
      <c r="AB57" s="754">
        <f t="shared" si="16"/>
        <v>490883.53984737361</v>
      </c>
      <c r="AC57" s="738">
        <f t="shared" si="8"/>
        <v>490883.53984737361</v>
      </c>
      <c r="AD57" s="739">
        <f t="shared" si="21"/>
        <v>-7715250.3254605681</v>
      </c>
      <c r="AE57" s="739">
        <f t="shared" si="24"/>
        <v>490883.53984737361</v>
      </c>
      <c r="AF57" s="739">
        <f t="shared" si="17"/>
        <v>490883.53984737361</v>
      </c>
      <c r="AG57" s="739">
        <f t="shared" si="19"/>
        <v>391845.97305348428</v>
      </c>
      <c r="AH57" s="740">
        <f t="shared" si="20"/>
        <v>391845.97305348428</v>
      </c>
      <c r="AI57" s="738">
        <f t="shared" si="23"/>
        <v>88685.96373886081</v>
      </c>
      <c r="AJ57" s="762"/>
      <c r="AK57" s="763"/>
      <c r="AL57" s="752">
        <f t="shared" si="18"/>
        <v>88685.96373886081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22"/>
        <v>32</v>
      </c>
    </row>
    <row r="58" spans="2:47" s="675" customFormat="1" ht="15.75" customHeight="1">
      <c r="B58" s="727">
        <f t="shared" si="14"/>
        <v>33</v>
      </c>
      <c r="C58" s="728">
        <f t="shared" si="12"/>
        <v>10</v>
      </c>
      <c r="D58" s="729" t="str">
        <f t="shared" si="26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>
        <f t="shared" si="15"/>
        <v>0</v>
      </c>
      <c r="R58" s="753"/>
      <c r="S58" s="753"/>
      <c r="T58" s="753"/>
      <c r="U58" s="754">
        <f t="shared" si="27"/>
        <v>0</v>
      </c>
      <c r="V58" s="751"/>
      <c r="W58" s="752">
        <f t="shared" si="28"/>
        <v>0</v>
      </c>
      <c r="X58" s="753"/>
      <c r="Y58" s="752"/>
      <c r="Z58" s="736">
        <f>'①Tidak termasuk VAT TAX'!AJ58*10%</f>
        <v>490883.53984737361</v>
      </c>
      <c r="AA58" s="753"/>
      <c r="AB58" s="754">
        <f t="shared" si="16"/>
        <v>490883.53984737361</v>
      </c>
      <c r="AC58" s="738">
        <f t="shared" si="8"/>
        <v>490883.53984737361</v>
      </c>
      <c r="AD58" s="739">
        <f t="shared" si="21"/>
        <v>-7224366.7856131941</v>
      </c>
      <c r="AE58" s="739">
        <f>IF(AD58&lt;=0,AC58,-AD57)</f>
        <v>490883.53984737361</v>
      </c>
      <c r="AF58" s="739">
        <f t="shared" si="17"/>
        <v>490883.53984737361</v>
      </c>
      <c r="AG58" s="739">
        <f t="shared" ref="AG58:AG90" si="29">PV($G$14/12,$B58,0,$AE58*-1,0)</f>
        <v>389096.35878473875</v>
      </c>
      <c r="AH58" s="740">
        <f t="shared" si="20"/>
        <v>389096.35878473875</v>
      </c>
      <c r="AI58" s="738">
        <f t="shared" si="23"/>
        <v>88685.96373886081</v>
      </c>
      <c r="AJ58" s="762"/>
      <c r="AK58" s="763"/>
      <c r="AL58" s="752">
        <f t="shared" si="18"/>
        <v>88685.96373886081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22"/>
        <v>33</v>
      </c>
    </row>
    <row r="59" spans="2:47" s="675" customFormat="1" ht="15.75" customHeight="1">
      <c r="B59" s="727">
        <f t="shared" si="14"/>
        <v>34</v>
      </c>
      <c r="C59" s="728">
        <f t="shared" si="12"/>
        <v>11</v>
      </c>
      <c r="D59" s="729" t="str">
        <f t="shared" si="26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>
        <f t="shared" si="15"/>
        <v>0</v>
      </c>
      <c r="R59" s="753"/>
      <c r="S59" s="753"/>
      <c r="T59" s="753"/>
      <c r="U59" s="754">
        <f t="shared" si="27"/>
        <v>0</v>
      </c>
      <c r="V59" s="751"/>
      <c r="W59" s="752">
        <f t="shared" si="28"/>
        <v>0</v>
      </c>
      <c r="X59" s="753"/>
      <c r="Y59" s="752"/>
      <c r="Z59" s="736">
        <f>'①Tidak termasuk VAT TAX'!AJ59*10%</f>
        <v>490883.53984737361</v>
      </c>
      <c r="AA59" s="753"/>
      <c r="AB59" s="754">
        <f t="shared" si="16"/>
        <v>490883.53984737361</v>
      </c>
      <c r="AC59" s="738">
        <f t="shared" si="8"/>
        <v>490883.53984737361</v>
      </c>
      <c r="AD59" s="739">
        <f t="shared" si="21"/>
        <v>-6733483.2457658201</v>
      </c>
      <c r="AE59" s="739">
        <f t="shared" ref="AE59:AE90" si="30">IF(AD59&lt;=0,AC59,-AD58)</f>
        <v>490883.53984737361</v>
      </c>
      <c r="AF59" s="739">
        <f t="shared" si="17"/>
        <v>490883.53984737361</v>
      </c>
      <c r="AG59" s="739">
        <f t="shared" si="29"/>
        <v>386366.03877737856</v>
      </c>
      <c r="AH59" s="740">
        <f t="shared" si="20"/>
        <v>386366.03877737856</v>
      </c>
      <c r="AI59" s="738">
        <f t="shared" si="23"/>
        <v>88685.96373886081</v>
      </c>
      <c r="AJ59" s="762"/>
      <c r="AK59" s="763"/>
      <c r="AL59" s="752">
        <f t="shared" si="18"/>
        <v>88685.96373886081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22"/>
        <v>34</v>
      </c>
    </row>
    <row r="60" spans="2:47" s="675" customFormat="1" ht="15.75" customHeight="1">
      <c r="B60" s="727">
        <f t="shared" si="14"/>
        <v>35</v>
      </c>
      <c r="C60" s="728">
        <f t="shared" si="12"/>
        <v>12</v>
      </c>
      <c r="D60" s="729" t="str">
        <f t="shared" si="26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>
        <f t="shared" si="15"/>
        <v>0</v>
      </c>
      <c r="R60" s="753"/>
      <c r="S60" s="753"/>
      <c r="T60" s="753"/>
      <c r="U60" s="754">
        <f t="shared" si="27"/>
        <v>0</v>
      </c>
      <c r="V60" s="751"/>
      <c r="W60" s="752">
        <f t="shared" si="28"/>
        <v>0</v>
      </c>
      <c r="X60" s="753"/>
      <c r="Y60" s="752"/>
      <c r="Z60" s="736">
        <f>'①Tidak termasuk VAT TAX'!AJ60*10%</f>
        <v>490883.53984737361</v>
      </c>
      <c r="AA60" s="753"/>
      <c r="AB60" s="754">
        <f t="shared" si="16"/>
        <v>490883.53984737361</v>
      </c>
      <c r="AC60" s="738">
        <f>U60+AB60</f>
        <v>490883.53984737361</v>
      </c>
      <c r="AD60" s="739">
        <f t="shared" si="21"/>
        <v>-6242599.7059184462</v>
      </c>
      <c r="AE60" s="739">
        <f t="shared" si="30"/>
        <v>490883.53984737361</v>
      </c>
      <c r="AF60" s="739">
        <f t="shared" si="17"/>
        <v>490883.53984737361</v>
      </c>
      <c r="AG60" s="739">
        <f t="shared" si="29"/>
        <v>383654.87764204142</v>
      </c>
      <c r="AH60" s="740">
        <f t="shared" si="20"/>
        <v>383654.87764204142</v>
      </c>
      <c r="AI60" s="738">
        <f>IF(AU60&lt;=$J$7,AI59,0)</f>
        <v>88685.96373886081</v>
      </c>
      <c r="AJ60" s="762"/>
      <c r="AK60" s="763"/>
      <c r="AL60" s="752">
        <f t="shared" si="18"/>
        <v>88685.96373886081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22"/>
        <v>35</v>
      </c>
    </row>
    <row r="61" spans="2:47" s="675" customFormat="1" ht="15.75" customHeight="1">
      <c r="B61" s="727">
        <f t="shared" si="14"/>
        <v>36</v>
      </c>
      <c r="C61" s="728">
        <f t="shared" si="12"/>
        <v>1</v>
      </c>
      <c r="D61" s="729">
        <f t="shared" si="26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>
        <f t="shared" si="15"/>
        <v>0</v>
      </c>
      <c r="R61" s="753"/>
      <c r="S61" s="753"/>
      <c r="T61" s="753"/>
      <c r="U61" s="754">
        <f t="shared" si="27"/>
        <v>0</v>
      </c>
      <c r="V61" s="751"/>
      <c r="W61" s="752">
        <f t="shared" si="28"/>
        <v>0</v>
      </c>
      <c r="X61" s="753"/>
      <c r="Y61" s="752"/>
      <c r="Z61" s="736">
        <f>'①Tidak termasuk VAT TAX'!AJ61*10%</f>
        <v>490883.53984737361</v>
      </c>
      <c r="AA61" s="753"/>
      <c r="AB61" s="754">
        <f t="shared" si="16"/>
        <v>490883.53984737361</v>
      </c>
      <c r="AC61" s="738">
        <f t="shared" si="8"/>
        <v>490883.53984737361</v>
      </c>
      <c r="AD61" s="739">
        <f t="shared" si="21"/>
        <v>-5751716.1660710722</v>
      </c>
      <c r="AE61" s="739">
        <f>IF(AD61&lt;=0,AC61,-AD60)</f>
        <v>490883.53984737361</v>
      </c>
      <c r="AF61" s="739">
        <f>IF(AD61&lt;=0,AE61,)</f>
        <v>490883.53984737361</v>
      </c>
      <c r="AG61" s="739">
        <f t="shared" si="29"/>
        <v>380962.74093940289</v>
      </c>
      <c r="AH61" s="740">
        <f t="shared" si="20"/>
        <v>380962.74093940289</v>
      </c>
      <c r="AI61" s="738">
        <f t="shared" si="23"/>
        <v>88685.96373886081</v>
      </c>
      <c r="AJ61" s="762"/>
      <c r="AK61" s="763"/>
      <c r="AL61" s="752">
        <f t="shared" si="18"/>
        <v>88685.96373886081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22"/>
        <v>36</v>
      </c>
    </row>
    <row r="62" spans="2:47" s="675" customFormat="1" ht="15.75" customHeight="1">
      <c r="B62" s="727">
        <f t="shared" si="14"/>
        <v>37</v>
      </c>
      <c r="C62" s="728">
        <f t="shared" si="12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>
        <f t="shared" si="15"/>
        <v>0</v>
      </c>
      <c r="R62" s="753"/>
      <c r="S62" s="753"/>
      <c r="T62" s="753"/>
      <c r="U62" s="754">
        <f t="shared" si="27"/>
        <v>0</v>
      </c>
      <c r="V62" s="751"/>
      <c r="W62" s="752">
        <f t="shared" si="28"/>
        <v>0</v>
      </c>
      <c r="X62" s="753"/>
      <c r="Y62" s="752"/>
      <c r="Z62" s="736">
        <f>'①Tidak termasuk VAT TAX'!AJ62*10%</f>
        <v>490883.53984737361</v>
      </c>
      <c r="AA62" s="753"/>
      <c r="AB62" s="754">
        <f t="shared" si="16"/>
        <v>490883.53984737361</v>
      </c>
      <c r="AC62" s="738">
        <f>U62+AB62</f>
        <v>490883.53984737361</v>
      </c>
      <c r="AD62" s="739">
        <f t="shared" si="21"/>
        <v>-5260832.6262236983</v>
      </c>
      <c r="AE62" s="739">
        <f t="shared" si="30"/>
        <v>490883.53984737361</v>
      </c>
      <c r="AF62" s="739">
        <f t="shared" ref="AF62:AF90" si="31">IF(AD62&lt;=0,AE62,)</f>
        <v>490883.53984737361</v>
      </c>
      <c r="AG62" s="739">
        <f t="shared" si="29"/>
        <v>378289.49517351011</v>
      </c>
      <c r="AH62" s="740">
        <f t="shared" si="20"/>
        <v>378289.49517351011</v>
      </c>
      <c r="AI62" s="738">
        <f t="shared" si="23"/>
        <v>88685.96373886081</v>
      </c>
      <c r="AJ62" s="762"/>
      <c r="AK62" s="763"/>
      <c r="AL62" s="752">
        <f t="shared" si="18"/>
        <v>88685.96373886081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22"/>
        <v>37</v>
      </c>
    </row>
    <row r="63" spans="2:47" s="675" customFormat="1" ht="15.75" customHeight="1">
      <c r="B63" s="727">
        <f t="shared" si="14"/>
        <v>38</v>
      </c>
      <c r="C63" s="728">
        <f t="shared" si="12"/>
        <v>3</v>
      </c>
      <c r="D63" s="729" t="str">
        <f t="shared" ref="D63:D73" si="32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>
        <f t="shared" si="15"/>
        <v>0</v>
      </c>
      <c r="R63" s="753"/>
      <c r="S63" s="753"/>
      <c r="T63" s="753"/>
      <c r="U63" s="754">
        <f t="shared" si="27"/>
        <v>0</v>
      </c>
      <c r="V63" s="751"/>
      <c r="W63" s="752">
        <f t="shared" si="28"/>
        <v>0</v>
      </c>
      <c r="X63" s="753"/>
      <c r="Y63" s="752"/>
      <c r="Z63" s="736">
        <f>'①Tidak termasuk VAT TAX'!AJ63*10%</f>
        <v>490883.53984737361</v>
      </c>
      <c r="AA63" s="753"/>
      <c r="AB63" s="754">
        <f t="shared" si="16"/>
        <v>490883.53984737361</v>
      </c>
      <c r="AC63" s="738">
        <f t="shared" si="8"/>
        <v>490883.53984737361</v>
      </c>
      <c r="AD63" s="739">
        <f t="shared" si="21"/>
        <v>-4769949.0863763243</v>
      </c>
      <c r="AE63" s="739">
        <f>IF(AD63&lt;=0,AC63,-AD62)</f>
        <v>490883.53984737361</v>
      </c>
      <c r="AF63" s="739">
        <f t="shared" si="31"/>
        <v>490883.53984737361</v>
      </c>
      <c r="AG63" s="739">
        <f t="shared" si="29"/>
        <v>375635.00778516149</v>
      </c>
      <c r="AH63" s="740">
        <f t="shared" si="20"/>
        <v>375635.00778516149</v>
      </c>
      <c r="AI63" s="738">
        <f t="shared" si="23"/>
        <v>88685.96373886081</v>
      </c>
      <c r="AJ63" s="762"/>
      <c r="AK63" s="763"/>
      <c r="AL63" s="752">
        <f t="shared" si="18"/>
        <v>88685.96373886081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22"/>
        <v>38</v>
      </c>
    </row>
    <row r="64" spans="2:47" s="675" customFormat="1" ht="15.75" customHeight="1">
      <c r="B64" s="727">
        <f t="shared" si="14"/>
        <v>39</v>
      </c>
      <c r="C64" s="728">
        <f t="shared" si="12"/>
        <v>4</v>
      </c>
      <c r="D64" s="729" t="str">
        <f t="shared" si="32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>
        <f t="shared" si="15"/>
        <v>0</v>
      </c>
      <c r="R64" s="753"/>
      <c r="S64" s="753"/>
      <c r="T64" s="753"/>
      <c r="U64" s="754">
        <f t="shared" si="27"/>
        <v>0</v>
      </c>
      <c r="V64" s="751"/>
      <c r="W64" s="752">
        <f t="shared" si="28"/>
        <v>0</v>
      </c>
      <c r="X64" s="753"/>
      <c r="Y64" s="752"/>
      <c r="Z64" s="736">
        <f>'①Tidak termasuk VAT TAX'!AJ64*10%</f>
        <v>490883.53984737361</v>
      </c>
      <c r="AA64" s="753"/>
      <c r="AB64" s="754">
        <f t="shared" si="16"/>
        <v>490883.53984737361</v>
      </c>
      <c r="AC64" s="738">
        <f t="shared" si="8"/>
        <v>490883.53984737361</v>
      </c>
      <c r="AD64" s="739">
        <f t="shared" si="21"/>
        <v>-4279065.5465289503</v>
      </c>
      <c r="AE64" s="739">
        <f>IF(AD64&lt;=0,AC64,-AD63)</f>
        <v>490883.53984737361</v>
      </c>
      <c r="AF64" s="739">
        <f t="shared" si="31"/>
        <v>490883.53984737361</v>
      </c>
      <c r="AG64" s="739">
        <f t="shared" si="29"/>
        <v>372999.14714533446</v>
      </c>
      <c r="AH64" s="740">
        <f t="shared" si="20"/>
        <v>372999.14714533446</v>
      </c>
      <c r="AI64" s="738">
        <f t="shared" si="23"/>
        <v>88685.96373886081</v>
      </c>
      <c r="AJ64" s="762"/>
      <c r="AK64" s="763"/>
      <c r="AL64" s="752">
        <f t="shared" si="18"/>
        <v>88685.96373886081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22"/>
        <v>39</v>
      </c>
    </row>
    <row r="65" spans="2:47" s="675" customFormat="1" ht="15.75" customHeight="1">
      <c r="B65" s="727">
        <f t="shared" si="14"/>
        <v>40</v>
      </c>
      <c r="C65" s="728">
        <f t="shared" si="12"/>
        <v>5</v>
      </c>
      <c r="D65" s="729" t="str">
        <f t="shared" si="32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>
        <f t="shared" si="15"/>
        <v>0</v>
      </c>
      <c r="R65" s="753"/>
      <c r="S65" s="753"/>
      <c r="T65" s="753"/>
      <c r="U65" s="754">
        <f t="shared" si="27"/>
        <v>0</v>
      </c>
      <c r="V65" s="751"/>
      <c r="W65" s="752">
        <f t="shared" si="28"/>
        <v>0</v>
      </c>
      <c r="X65" s="753"/>
      <c r="Y65" s="752"/>
      <c r="Z65" s="736">
        <f>'①Tidak termasuk VAT TAX'!AJ65*10%</f>
        <v>490883.53984737361</v>
      </c>
      <c r="AA65" s="753"/>
      <c r="AB65" s="754">
        <f t="shared" si="16"/>
        <v>490883.53984737361</v>
      </c>
      <c r="AC65" s="738">
        <f>U65+AB65</f>
        <v>490883.53984737361</v>
      </c>
      <c r="AD65" s="739">
        <f>AD64+AC65</f>
        <v>-3788182.0066815768</v>
      </c>
      <c r="AE65" s="739">
        <f t="shared" si="30"/>
        <v>490883.53984737361</v>
      </c>
      <c r="AF65" s="739">
        <f>IF(AD65&lt;=0,AE65,)</f>
        <v>490883.53984737361</v>
      </c>
      <c r="AG65" s="739">
        <f t="shared" si="29"/>
        <v>370381.78254865715</v>
      </c>
      <c r="AH65" s="740">
        <f t="shared" si="20"/>
        <v>370381.78254865715</v>
      </c>
      <c r="AI65" s="738">
        <f t="shared" si="23"/>
        <v>88685.96373886081</v>
      </c>
      <c r="AJ65" s="762"/>
      <c r="AK65" s="763"/>
      <c r="AL65" s="752">
        <f t="shared" si="18"/>
        <v>88685.96373886081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22"/>
        <v>40</v>
      </c>
    </row>
    <row r="66" spans="2:47" s="675" customFormat="1" ht="15.75" customHeight="1">
      <c r="B66" s="727">
        <f t="shared" si="14"/>
        <v>41</v>
      </c>
      <c r="C66" s="728">
        <f t="shared" si="12"/>
        <v>6</v>
      </c>
      <c r="D66" s="729" t="str">
        <f t="shared" si="32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>
        <f t="shared" si="15"/>
        <v>0</v>
      </c>
      <c r="R66" s="753"/>
      <c r="S66" s="753"/>
      <c r="T66" s="753"/>
      <c r="U66" s="754">
        <f t="shared" si="27"/>
        <v>0</v>
      </c>
      <c r="V66" s="751"/>
      <c r="W66" s="752">
        <f t="shared" si="28"/>
        <v>0</v>
      </c>
      <c r="X66" s="753"/>
      <c r="Y66" s="752"/>
      <c r="Z66" s="736">
        <f>'①Tidak termasuk VAT TAX'!AJ66*10%</f>
        <v>490883.53984737361</v>
      </c>
      <c r="AA66" s="753"/>
      <c r="AB66" s="754">
        <f t="shared" si="16"/>
        <v>490883.53984737361</v>
      </c>
      <c r="AC66" s="738">
        <f t="shared" si="8"/>
        <v>490883.53984737361</v>
      </c>
      <c r="AD66" s="739">
        <f t="shared" si="21"/>
        <v>-3297298.4668342033</v>
      </c>
      <c r="AE66" s="739">
        <f t="shared" si="30"/>
        <v>490883.53984737361</v>
      </c>
      <c r="AF66" s="739">
        <f t="shared" si="31"/>
        <v>490883.53984737361</v>
      </c>
      <c r="AG66" s="739">
        <f t="shared" si="29"/>
        <v>367782.78420692822</v>
      </c>
      <c r="AH66" s="740">
        <f t="shared" si="20"/>
        <v>367782.78420692822</v>
      </c>
      <c r="AI66" s="738">
        <f t="shared" si="23"/>
        <v>88685.96373886081</v>
      </c>
      <c r="AJ66" s="762"/>
      <c r="AK66" s="763"/>
      <c r="AL66" s="752">
        <f t="shared" si="18"/>
        <v>88685.96373886081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22"/>
        <v>41</v>
      </c>
    </row>
    <row r="67" spans="2:47" s="675" customFormat="1" ht="15.75" customHeight="1">
      <c r="B67" s="727">
        <f t="shared" si="14"/>
        <v>42</v>
      </c>
      <c r="C67" s="728">
        <f t="shared" si="12"/>
        <v>7</v>
      </c>
      <c r="D67" s="729" t="str">
        <f t="shared" si="32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>
        <f t="shared" si="15"/>
        <v>0</v>
      </c>
      <c r="R67" s="753"/>
      <c r="S67" s="753"/>
      <c r="T67" s="753"/>
      <c r="U67" s="754">
        <f t="shared" si="27"/>
        <v>0</v>
      </c>
      <c r="V67" s="751"/>
      <c r="W67" s="752">
        <f t="shared" si="28"/>
        <v>0</v>
      </c>
      <c r="X67" s="753"/>
      <c r="Y67" s="752"/>
      <c r="Z67" s="736">
        <f>'①Tidak termasuk VAT TAX'!AJ67*10%</f>
        <v>490883.53984737361</v>
      </c>
      <c r="AA67" s="753"/>
      <c r="AB67" s="754">
        <f t="shared" si="16"/>
        <v>490883.53984737361</v>
      </c>
      <c r="AC67" s="738">
        <f>U67+AB67</f>
        <v>490883.53984737361</v>
      </c>
      <c r="AD67" s="739">
        <f t="shared" si="21"/>
        <v>-2806414.9269868298</v>
      </c>
      <c r="AE67" s="739">
        <f t="shared" si="30"/>
        <v>490883.53984737361</v>
      </c>
      <c r="AF67" s="739">
        <f t="shared" si="31"/>
        <v>490883.53984737361</v>
      </c>
      <c r="AG67" s="739">
        <f>PV($G$14/12,$B67,0,$AE67*-1,0)</f>
        <v>365202.02324267983</v>
      </c>
      <c r="AH67" s="740">
        <f t="shared" si="20"/>
        <v>365202.02324267983</v>
      </c>
      <c r="AI67" s="738">
        <f t="shared" si="23"/>
        <v>88685.96373886081</v>
      </c>
      <c r="AJ67" s="762"/>
      <c r="AK67" s="763"/>
      <c r="AL67" s="752">
        <f t="shared" si="18"/>
        <v>88685.96373886081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22"/>
        <v>42</v>
      </c>
    </row>
    <row r="68" spans="2:47" s="675" customFormat="1" ht="15.75" customHeight="1">
      <c r="B68" s="727">
        <f t="shared" si="14"/>
        <v>43</v>
      </c>
      <c r="C68" s="728">
        <f t="shared" si="12"/>
        <v>8</v>
      </c>
      <c r="D68" s="729" t="str">
        <f t="shared" si="32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>
        <f t="shared" si="15"/>
        <v>0</v>
      </c>
      <c r="R68" s="753"/>
      <c r="S68" s="753"/>
      <c r="T68" s="753"/>
      <c r="U68" s="754">
        <f t="shared" si="27"/>
        <v>0</v>
      </c>
      <c r="V68" s="751"/>
      <c r="W68" s="752">
        <f t="shared" si="28"/>
        <v>0</v>
      </c>
      <c r="X68" s="753"/>
      <c r="Y68" s="752"/>
      <c r="Z68" s="736">
        <f>'①Tidak termasuk VAT TAX'!AJ68*10%</f>
        <v>490883.53984737361</v>
      </c>
      <c r="AA68" s="753"/>
      <c r="AB68" s="754">
        <f t="shared" si="16"/>
        <v>490883.53984737361</v>
      </c>
      <c r="AC68" s="738">
        <f t="shared" si="8"/>
        <v>490883.53984737361</v>
      </c>
      <c r="AD68" s="739">
        <f t="shared" si="21"/>
        <v>-2315531.3871394563</v>
      </c>
      <c r="AE68" s="739">
        <f>IF(AD68&lt;=0,AC68,-AD67)</f>
        <v>490883.53984737361</v>
      </c>
      <c r="AF68" s="739">
        <f t="shared" si="31"/>
        <v>490883.53984737361</v>
      </c>
      <c r="AG68" s="739">
        <f>PV($G$14/12,$B68,0,$AE68*-1,0)</f>
        <v>362639.37168278819</v>
      </c>
      <c r="AH68" s="740">
        <f t="shared" si="20"/>
        <v>362639.37168278819</v>
      </c>
      <c r="AI68" s="738">
        <f t="shared" si="23"/>
        <v>88685.96373886081</v>
      </c>
      <c r="AJ68" s="762"/>
      <c r="AK68" s="763"/>
      <c r="AL68" s="752">
        <f t="shared" si="18"/>
        <v>88685.96373886081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22"/>
        <v>43</v>
      </c>
    </row>
    <row r="69" spans="2:47" s="675" customFormat="1" ht="15.75" customHeight="1">
      <c r="B69" s="727">
        <f t="shared" si="14"/>
        <v>44</v>
      </c>
      <c r="C69" s="728">
        <f t="shared" si="12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>
        <f t="shared" si="15"/>
        <v>0</v>
      </c>
      <c r="R69" s="753"/>
      <c r="S69" s="753"/>
      <c r="T69" s="753"/>
      <c r="U69" s="754">
        <f t="shared" si="27"/>
        <v>0</v>
      </c>
      <c r="V69" s="751"/>
      <c r="W69" s="752">
        <f t="shared" si="28"/>
        <v>0</v>
      </c>
      <c r="X69" s="753"/>
      <c r="Y69" s="752"/>
      <c r="Z69" s="736">
        <f>'①Tidak termasuk VAT TAX'!AJ69*10%</f>
        <v>490883.53984737361</v>
      </c>
      <c r="AA69" s="753"/>
      <c r="AB69" s="754">
        <f t="shared" si="16"/>
        <v>490883.53984737361</v>
      </c>
      <c r="AC69" s="738">
        <f t="shared" si="8"/>
        <v>490883.53984737361</v>
      </c>
      <c r="AD69" s="739">
        <f t="shared" si="21"/>
        <v>-1824647.8472920828</v>
      </c>
      <c r="AE69" s="739">
        <f t="shared" si="30"/>
        <v>490883.53984737361</v>
      </c>
      <c r="AF69" s="739">
        <f t="shared" si="31"/>
        <v>490883.53984737361</v>
      </c>
      <c r="AG69" s="739">
        <f t="shared" si="29"/>
        <v>360094.70245212631</v>
      </c>
      <c r="AH69" s="740">
        <f t="shared" si="20"/>
        <v>360094.70245212631</v>
      </c>
      <c r="AI69" s="738">
        <f t="shared" si="23"/>
        <v>88685.96373886081</v>
      </c>
      <c r="AJ69" s="762"/>
      <c r="AK69" s="763"/>
      <c r="AL69" s="752">
        <f t="shared" si="18"/>
        <v>88685.96373886081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22"/>
        <v>44</v>
      </c>
    </row>
    <row r="70" spans="2:47" s="675" customFormat="1" ht="15.75" customHeight="1">
      <c r="B70" s="727">
        <f t="shared" si="14"/>
        <v>45</v>
      </c>
      <c r="C70" s="728">
        <f t="shared" si="12"/>
        <v>10</v>
      </c>
      <c r="D70" s="729" t="str">
        <f t="shared" si="32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>
        <f t="shared" si="15"/>
        <v>0</v>
      </c>
      <c r="R70" s="753"/>
      <c r="S70" s="753"/>
      <c r="T70" s="753"/>
      <c r="U70" s="754">
        <f t="shared" si="27"/>
        <v>0</v>
      </c>
      <c r="V70" s="751"/>
      <c r="W70" s="752">
        <f t="shared" si="28"/>
        <v>0</v>
      </c>
      <c r="X70" s="753"/>
      <c r="Y70" s="752"/>
      <c r="Z70" s="736">
        <f>'①Tidak termasuk VAT TAX'!AJ70*10%</f>
        <v>490883.53984737361</v>
      </c>
      <c r="AA70" s="753"/>
      <c r="AB70" s="754">
        <f t="shared" si="16"/>
        <v>490883.53984737361</v>
      </c>
      <c r="AC70" s="738">
        <f t="shared" si="8"/>
        <v>490883.53984737361</v>
      </c>
      <c r="AD70" s="739">
        <f t="shared" si="21"/>
        <v>-1333764.3074447094</v>
      </c>
      <c r="AE70" s="739">
        <f t="shared" si="30"/>
        <v>490883.53984737361</v>
      </c>
      <c r="AF70" s="739">
        <f t="shared" si="31"/>
        <v>490883.53984737361</v>
      </c>
      <c r="AG70" s="739">
        <f t="shared" si="29"/>
        <v>357567.88936726435</v>
      </c>
      <c r="AH70" s="740">
        <f t="shared" si="20"/>
        <v>357567.88936726435</v>
      </c>
      <c r="AI70" s="738">
        <f t="shared" si="23"/>
        <v>88685.96373886081</v>
      </c>
      <c r="AJ70" s="762"/>
      <c r="AK70" s="763"/>
      <c r="AL70" s="752">
        <f t="shared" si="18"/>
        <v>88685.96373886081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22"/>
        <v>45</v>
      </c>
    </row>
    <row r="71" spans="2:47" s="675" customFormat="1" ht="15.75" customHeight="1">
      <c r="B71" s="727">
        <f t="shared" si="14"/>
        <v>46</v>
      </c>
      <c r="C71" s="728">
        <f t="shared" si="12"/>
        <v>11</v>
      </c>
      <c r="D71" s="729" t="str">
        <f t="shared" si="32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>
        <f t="shared" si="15"/>
        <v>0</v>
      </c>
      <c r="R71" s="753"/>
      <c r="S71" s="753"/>
      <c r="T71" s="753"/>
      <c r="U71" s="754">
        <f t="shared" si="27"/>
        <v>0</v>
      </c>
      <c r="V71" s="751"/>
      <c r="W71" s="752">
        <f t="shared" si="28"/>
        <v>0</v>
      </c>
      <c r="X71" s="753"/>
      <c r="Y71" s="752"/>
      <c r="Z71" s="736">
        <f>'①Tidak termasuk VAT TAX'!AJ71*10%</f>
        <v>490883.53984737361</v>
      </c>
      <c r="AA71" s="753"/>
      <c r="AB71" s="754">
        <f t="shared" si="16"/>
        <v>490883.53984737361</v>
      </c>
      <c r="AC71" s="738">
        <f t="shared" si="8"/>
        <v>490883.53984737361</v>
      </c>
      <c r="AD71" s="739">
        <f t="shared" si="21"/>
        <v>-842880.76759733574</v>
      </c>
      <c r="AE71" s="739">
        <f t="shared" si="30"/>
        <v>490883.53984737361</v>
      </c>
      <c r="AF71" s="739">
        <f t="shared" si="31"/>
        <v>490883.53984737361</v>
      </c>
      <c r="AG71" s="739">
        <f t="shared" si="29"/>
        <v>355058.80713021068</v>
      </c>
      <c r="AH71" s="740">
        <f t="shared" si="20"/>
        <v>355058.80713021068</v>
      </c>
      <c r="AI71" s="738">
        <f t="shared" si="23"/>
        <v>88685.96373886081</v>
      </c>
      <c r="AJ71" s="762"/>
      <c r="AK71" s="763"/>
      <c r="AL71" s="752">
        <f t="shared" si="18"/>
        <v>88685.96373886081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22"/>
        <v>46</v>
      </c>
    </row>
    <row r="72" spans="2:47" s="675" customFormat="1" ht="15.75" customHeight="1">
      <c r="B72" s="727">
        <f t="shared" si="14"/>
        <v>47</v>
      </c>
      <c r="C72" s="728">
        <f t="shared" si="12"/>
        <v>12</v>
      </c>
      <c r="D72" s="729" t="str">
        <f t="shared" si="32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>
        <f t="shared" si="15"/>
        <v>0</v>
      </c>
      <c r="R72" s="753"/>
      <c r="S72" s="753"/>
      <c r="T72" s="753"/>
      <c r="U72" s="754">
        <f t="shared" si="27"/>
        <v>0</v>
      </c>
      <c r="V72" s="751"/>
      <c r="W72" s="752">
        <f t="shared" si="28"/>
        <v>0</v>
      </c>
      <c r="X72" s="753"/>
      <c r="Y72" s="752"/>
      <c r="Z72" s="736">
        <f>'①Tidak termasuk VAT TAX'!AJ72*10%</f>
        <v>490883.53984737361</v>
      </c>
      <c r="AA72" s="753"/>
      <c r="AB72" s="754">
        <f t="shared" si="16"/>
        <v>490883.53984737361</v>
      </c>
      <c r="AC72" s="738">
        <f t="shared" si="8"/>
        <v>490883.53984737361</v>
      </c>
      <c r="AD72" s="739">
        <f t="shared" si="21"/>
        <v>-351997.22774996213</v>
      </c>
      <c r="AE72" s="739">
        <f t="shared" si="30"/>
        <v>490883.53984737361</v>
      </c>
      <c r="AF72" s="739">
        <f t="shared" si="31"/>
        <v>490883.53984737361</v>
      </c>
      <c r="AG72" s="739">
        <f t="shared" si="29"/>
        <v>352567.33132220048</v>
      </c>
      <c r="AH72" s="740">
        <f t="shared" si="20"/>
        <v>352567.33132220048</v>
      </c>
      <c r="AI72" s="738">
        <f t="shared" si="23"/>
        <v>88685.96373886081</v>
      </c>
      <c r="AJ72" s="762"/>
      <c r="AK72" s="763"/>
      <c r="AL72" s="752">
        <f t="shared" si="18"/>
        <v>88685.96373886081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22"/>
        <v>47</v>
      </c>
    </row>
    <row r="73" spans="2:47" s="675" customFormat="1" ht="15.75" customHeight="1">
      <c r="B73" s="727">
        <f t="shared" si="14"/>
        <v>48</v>
      </c>
      <c r="C73" s="728">
        <f t="shared" si="12"/>
        <v>1</v>
      </c>
      <c r="D73" s="729">
        <f t="shared" si="32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>
        <f t="shared" si="15"/>
        <v>0</v>
      </c>
      <c r="R73" s="753"/>
      <c r="S73" s="753"/>
      <c r="T73" s="753"/>
      <c r="U73" s="754">
        <f t="shared" si="27"/>
        <v>0</v>
      </c>
      <c r="V73" s="751"/>
      <c r="W73" s="752">
        <f t="shared" si="28"/>
        <v>0</v>
      </c>
      <c r="X73" s="753"/>
      <c r="Y73" s="752"/>
      <c r="Z73" s="736">
        <f>'①Tidak termasuk VAT TAX'!AJ73*10%</f>
        <v>490883.53984737361</v>
      </c>
      <c r="AA73" s="753"/>
      <c r="AB73" s="754">
        <f t="shared" si="16"/>
        <v>490883.53984737361</v>
      </c>
      <c r="AC73" s="738">
        <f t="shared" si="8"/>
        <v>490883.53984737361</v>
      </c>
      <c r="AD73" s="739">
        <f t="shared" si="21"/>
        <v>138886.31209741149</v>
      </c>
      <c r="AE73" s="739">
        <f t="shared" si="30"/>
        <v>351997.22774996213</v>
      </c>
      <c r="AF73" s="739">
        <f t="shared" si="31"/>
        <v>0</v>
      </c>
      <c r="AG73" s="739">
        <f t="shared" si="29"/>
        <v>251040.97930839864</v>
      </c>
      <c r="AH73" s="740">
        <f t="shared" si="20"/>
        <v>251040.97930839864</v>
      </c>
      <c r="AI73" s="738">
        <f t="shared" si="23"/>
        <v>88685.96373886081</v>
      </c>
      <c r="AJ73" s="762"/>
      <c r="AK73" s="763"/>
      <c r="AL73" s="752">
        <f t="shared" si="18"/>
        <v>88685.96373886081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22"/>
        <v>48</v>
      </c>
    </row>
    <row r="74" spans="2:47" s="675" customFormat="1" ht="15.75" customHeight="1">
      <c r="B74" s="727">
        <f t="shared" si="14"/>
        <v>49</v>
      </c>
      <c r="C74" s="728">
        <f t="shared" si="12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>
        <f t="shared" si="15"/>
        <v>0</v>
      </c>
      <c r="R74" s="753"/>
      <c r="S74" s="753"/>
      <c r="T74" s="753"/>
      <c r="U74" s="754">
        <f t="shared" si="27"/>
        <v>0</v>
      </c>
      <c r="V74" s="751"/>
      <c r="W74" s="752">
        <f>IF($AU74=$J$7+1,$M$15,0)</f>
        <v>5161692.8369454592</v>
      </c>
      <c r="X74" s="753"/>
      <c r="Y74" s="752"/>
      <c r="Z74" s="736">
        <f>'①Tidak termasuk VAT TAX'!AJ74*10%</f>
        <v>0</v>
      </c>
      <c r="AA74" s="753"/>
      <c r="AB74" s="754">
        <f>SUM(V74:AA74)</f>
        <v>5161692.8369454592</v>
      </c>
      <c r="AC74" s="738">
        <f t="shared" si="8"/>
        <v>5161692.8369454592</v>
      </c>
      <c r="AD74" s="739">
        <f t="shared" si="21"/>
        <v>5300579.1490428708</v>
      </c>
      <c r="AE74" s="739">
        <f t="shared" si="30"/>
        <v>-138886.31209741149</v>
      </c>
      <c r="AF74" s="739">
        <f t="shared" si="31"/>
        <v>0</v>
      </c>
      <c r="AG74" s="739">
        <f t="shared" si="29"/>
        <v>-98357.300829927699</v>
      </c>
      <c r="AH74" s="740">
        <f t="shared" si="20"/>
        <v>0</v>
      </c>
      <c r="AI74" s="738">
        <f t="shared" si="23"/>
        <v>0</v>
      </c>
      <c r="AJ74" s="762"/>
      <c r="AK74" s="763"/>
      <c r="AL74" s="752">
        <f t="shared" si="18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22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>
        <f t="shared" si="15"/>
        <v>0</v>
      </c>
      <c r="R75" s="753"/>
      <c r="S75" s="753"/>
      <c r="T75" s="753"/>
      <c r="U75" s="754">
        <f t="shared" si="27"/>
        <v>0</v>
      </c>
      <c r="V75" s="751"/>
      <c r="W75" s="752">
        <f t="shared" si="28"/>
        <v>0</v>
      </c>
      <c r="X75" s="753"/>
      <c r="Y75" s="752"/>
      <c r="Z75" s="736">
        <f>'①Tidak termasuk VAT TAX'!AJ75*10%</f>
        <v>0</v>
      </c>
      <c r="AA75" s="753"/>
      <c r="AB75" s="754">
        <f t="shared" si="16"/>
        <v>0</v>
      </c>
      <c r="AC75" s="738">
        <f t="shared" si="8"/>
        <v>0</v>
      </c>
      <c r="AD75" s="739">
        <f t="shared" si="21"/>
        <v>5300579.1490428708</v>
      </c>
      <c r="AE75" s="739">
        <f t="shared" si="30"/>
        <v>-5300579.1490428708</v>
      </c>
      <c r="AF75" s="739">
        <f t="shared" si="31"/>
        <v>0</v>
      </c>
      <c r="AG75" s="739">
        <f t="shared" si="29"/>
        <v>-3727453.7080303854</v>
      </c>
      <c r="AH75" s="740">
        <f t="shared" si="20"/>
        <v>0</v>
      </c>
      <c r="AI75" s="738">
        <f>IF(AU75&lt;=$J$7,AI74,0)</f>
        <v>0</v>
      </c>
      <c r="AJ75" s="762"/>
      <c r="AK75" s="763"/>
      <c r="AL75" s="752">
        <f t="shared" si="18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14"/>
        <v>51</v>
      </c>
      <c r="C76" s="728">
        <f t="shared" si="12"/>
        <v>4</v>
      </c>
      <c r="D76" s="729" t="str">
        <f t="shared" ref="D76:D84" si="33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>
        <f t="shared" si="15"/>
        <v>0</v>
      </c>
      <c r="R76" s="753"/>
      <c r="S76" s="753"/>
      <c r="T76" s="753"/>
      <c r="U76" s="754">
        <f t="shared" si="27"/>
        <v>0</v>
      </c>
      <c r="V76" s="751"/>
      <c r="W76" s="752">
        <f t="shared" si="28"/>
        <v>0</v>
      </c>
      <c r="X76" s="753"/>
      <c r="Y76" s="752"/>
      <c r="Z76" s="736">
        <f>'①Tidak termasuk VAT TAX'!AJ76*10%</f>
        <v>0</v>
      </c>
      <c r="AA76" s="753"/>
      <c r="AB76" s="754">
        <f t="shared" si="16"/>
        <v>0</v>
      </c>
      <c r="AC76" s="738">
        <f t="shared" si="8"/>
        <v>0</v>
      </c>
      <c r="AD76" s="739">
        <f t="shared" si="21"/>
        <v>5300579.1490428708</v>
      </c>
      <c r="AE76" s="739">
        <f t="shared" si="30"/>
        <v>-5300579.1490428708</v>
      </c>
      <c r="AF76" s="739">
        <f t="shared" si="31"/>
        <v>0</v>
      </c>
      <c r="AG76" s="739">
        <f t="shared" si="29"/>
        <v>-3701297.8697508136</v>
      </c>
      <c r="AH76" s="740">
        <f t="shared" si="20"/>
        <v>0</v>
      </c>
      <c r="AI76" s="738">
        <f t="shared" si="23"/>
        <v>0</v>
      </c>
      <c r="AJ76" s="762"/>
      <c r="AK76" s="763"/>
      <c r="AL76" s="752">
        <f t="shared" si="18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22"/>
        <v>51</v>
      </c>
    </row>
    <row r="77" spans="2:47" s="675" customFormat="1" ht="15.75" customHeight="1">
      <c r="B77" s="727">
        <f t="shared" si="14"/>
        <v>52</v>
      </c>
      <c r="C77" s="728">
        <f t="shared" si="12"/>
        <v>5</v>
      </c>
      <c r="D77" s="729" t="str">
        <f t="shared" si="33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>
        <f t="shared" si="15"/>
        <v>0</v>
      </c>
      <c r="R77" s="753"/>
      <c r="S77" s="753"/>
      <c r="T77" s="753"/>
      <c r="U77" s="754">
        <f t="shared" si="27"/>
        <v>0</v>
      </c>
      <c r="V77" s="751"/>
      <c r="W77" s="752">
        <f t="shared" si="28"/>
        <v>0</v>
      </c>
      <c r="X77" s="753"/>
      <c r="Y77" s="752"/>
      <c r="Z77" s="736">
        <f>'①Tidak termasuk VAT TAX'!AJ77*10%</f>
        <v>0</v>
      </c>
      <c r="AA77" s="753"/>
      <c r="AB77" s="754">
        <f t="shared" si="16"/>
        <v>0</v>
      </c>
      <c r="AC77" s="738">
        <f t="shared" si="8"/>
        <v>0</v>
      </c>
      <c r="AD77" s="739">
        <f t="shared" si="21"/>
        <v>5300579.1490428708</v>
      </c>
      <c r="AE77" s="739">
        <f t="shared" si="30"/>
        <v>-5300579.1490428708</v>
      </c>
      <c r="AF77" s="739">
        <f t="shared" si="31"/>
        <v>0</v>
      </c>
      <c r="AG77" s="739">
        <f t="shared" si="29"/>
        <v>-3675325.5690627685</v>
      </c>
      <c r="AH77" s="740">
        <f t="shared" si="20"/>
        <v>0</v>
      </c>
      <c r="AI77" s="738">
        <f t="shared" si="23"/>
        <v>0</v>
      </c>
      <c r="AJ77" s="762"/>
      <c r="AK77" s="763"/>
      <c r="AL77" s="752">
        <f t="shared" si="18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22"/>
        <v>52</v>
      </c>
    </row>
    <row r="78" spans="2:47" s="675" customFormat="1" ht="15.75" customHeight="1">
      <c r="B78" s="727">
        <f t="shared" si="14"/>
        <v>53</v>
      </c>
      <c r="C78" s="728">
        <f t="shared" si="12"/>
        <v>6</v>
      </c>
      <c r="D78" s="729" t="str">
        <f t="shared" si="33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>
        <f t="shared" si="15"/>
        <v>0</v>
      </c>
      <c r="R78" s="753"/>
      <c r="S78" s="753"/>
      <c r="T78" s="753"/>
      <c r="U78" s="754">
        <f t="shared" si="27"/>
        <v>0</v>
      </c>
      <c r="V78" s="751"/>
      <c r="W78" s="752">
        <f t="shared" si="28"/>
        <v>0</v>
      </c>
      <c r="X78" s="753"/>
      <c r="Y78" s="752"/>
      <c r="Z78" s="736">
        <f>'①Tidak termasuk VAT TAX'!AJ78*10%</f>
        <v>0</v>
      </c>
      <c r="AA78" s="753"/>
      <c r="AB78" s="754">
        <f t="shared" si="16"/>
        <v>0</v>
      </c>
      <c r="AC78" s="738">
        <f t="shared" si="8"/>
        <v>0</v>
      </c>
      <c r="AD78" s="739">
        <f t="shared" si="21"/>
        <v>5300579.1490428708</v>
      </c>
      <c r="AE78" s="739">
        <f t="shared" si="30"/>
        <v>-5300579.1490428708</v>
      </c>
      <c r="AF78" s="739">
        <f t="shared" si="31"/>
        <v>0</v>
      </c>
      <c r="AG78" s="739">
        <f t="shared" si="29"/>
        <v>-3649535.5180684184</v>
      </c>
      <c r="AH78" s="740">
        <f t="shared" si="20"/>
        <v>0</v>
      </c>
      <c r="AI78" s="738">
        <f t="shared" si="23"/>
        <v>0</v>
      </c>
      <c r="AJ78" s="762"/>
      <c r="AK78" s="763"/>
      <c r="AL78" s="752">
        <f t="shared" si="18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22"/>
        <v>53</v>
      </c>
    </row>
    <row r="79" spans="2:47" s="675" customFormat="1" ht="15.75" customHeight="1">
      <c r="B79" s="727">
        <f t="shared" si="14"/>
        <v>54</v>
      </c>
      <c r="C79" s="728">
        <f t="shared" si="12"/>
        <v>7</v>
      </c>
      <c r="D79" s="729" t="str">
        <f t="shared" si="33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>
        <f t="shared" si="15"/>
        <v>0</v>
      </c>
      <c r="R79" s="753"/>
      <c r="S79" s="753"/>
      <c r="T79" s="753"/>
      <c r="U79" s="754">
        <f t="shared" si="27"/>
        <v>0</v>
      </c>
      <c r="V79" s="751"/>
      <c r="W79" s="752">
        <f t="shared" si="28"/>
        <v>0</v>
      </c>
      <c r="X79" s="753"/>
      <c r="Y79" s="752"/>
      <c r="Z79" s="736">
        <f>'①Tidak termasuk VAT TAX'!AJ79*10%</f>
        <v>0</v>
      </c>
      <c r="AA79" s="753"/>
      <c r="AB79" s="754">
        <f t="shared" si="16"/>
        <v>0</v>
      </c>
      <c r="AC79" s="738">
        <f t="shared" si="8"/>
        <v>0</v>
      </c>
      <c r="AD79" s="739">
        <f t="shared" si="21"/>
        <v>5300579.1490428708</v>
      </c>
      <c r="AE79" s="739">
        <f t="shared" si="30"/>
        <v>-5300579.1490428708</v>
      </c>
      <c r="AF79" s="739">
        <f t="shared" si="31"/>
        <v>0</v>
      </c>
      <c r="AG79" s="739">
        <f t="shared" si="29"/>
        <v>-3623926.4379072064</v>
      </c>
      <c r="AH79" s="740">
        <f t="shared" si="20"/>
        <v>0</v>
      </c>
      <c r="AI79" s="738">
        <f t="shared" si="23"/>
        <v>0</v>
      </c>
      <c r="AJ79" s="762"/>
      <c r="AK79" s="763"/>
      <c r="AL79" s="752">
        <f t="shared" si="18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22"/>
        <v>54</v>
      </c>
    </row>
    <row r="80" spans="2:47" s="675" customFormat="1" ht="15.75" customHeight="1">
      <c r="B80" s="727">
        <f t="shared" si="14"/>
        <v>55</v>
      </c>
      <c r="C80" s="728">
        <f t="shared" si="12"/>
        <v>8</v>
      </c>
      <c r="D80" s="729" t="str">
        <f t="shared" si="33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>
        <f t="shared" si="15"/>
        <v>0</v>
      </c>
      <c r="R80" s="753"/>
      <c r="S80" s="753"/>
      <c r="T80" s="753"/>
      <c r="U80" s="754">
        <f t="shared" si="27"/>
        <v>0</v>
      </c>
      <c r="V80" s="751"/>
      <c r="W80" s="752">
        <f t="shared" si="28"/>
        <v>0</v>
      </c>
      <c r="X80" s="753"/>
      <c r="Y80" s="752"/>
      <c r="Z80" s="736">
        <f>'①Tidak termasuk VAT TAX'!AJ80*10%</f>
        <v>0</v>
      </c>
      <c r="AA80" s="753"/>
      <c r="AB80" s="754">
        <f t="shared" si="16"/>
        <v>0</v>
      </c>
      <c r="AC80" s="738">
        <f t="shared" si="8"/>
        <v>0</v>
      </c>
      <c r="AD80" s="739">
        <f>AD79+AC80</f>
        <v>5300579.1490428708</v>
      </c>
      <c r="AE80" s="739">
        <f t="shared" si="30"/>
        <v>-5300579.1490428708</v>
      </c>
      <c r="AF80" s="739">
        <f t="shared" si="31"/>
        <v>0</v>
      </c>
      <c r="AG80" s="739">
        <f t="shared" si="29"/>
        <v>-3598497.058692446</v>
      </c>
      <c r="AH80" s="740">
        <f t="shared" si="20"/>
        <v>0</v>
      </c>
      <c r="AI80" s="738">
        <f t="shared" si="23"/>
        <v>0</v>
      </c>
      <c r="AJ80" s="762"/>
      <c r="AK80" s="763"/>
      <c r="AL80" s="752">
        <f t="shared" si="18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22"/>
        <v>55</v>
      </c>
    </row>
    <row r="81" spans="2:83" s="675" customFormat="1" ht="15.75" customHeight="1">
      <c r="B81" s="727">
        <f t="shared" si="14"/>
        <v>56</v>
      </c>
      <c r="C81" s="728">
        <f t="shared" si="12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>
        <f t="shared" si="15"/>
        <v>0</v>
      </c>
      <c r="R81" s="753"/>
      <c r="S81" s="753"/>
      <c r="T81" s="753"/>
      <c r="U81" s="754">
        <f t="shared" si="27"/>
        <v>0</v>
      </c>
      <c r="V81" s="751"/>
      <c r="W81" s="752">
        <f t="shared" si="28"/>
        <v>0</v>
      </c>
      <c r="X81" s="753"/>
      <c r="Y81" s="752"/>
      <c r="Z81" s="736">
        <f>'①Tidak termasuk VAT TAX'!AJ81*10%</f>
        <v>0</v>
      </c>
      <c r="AA81" s="753"/>
      <c r="AB81" s="754">
        <f t="shared" si="16"/>
        <v>0</v>
      </c>
      <c r="AC81" s="738">
        <f t="shared" si="8"/>
        <v>0</v>
      </c>
      <c r="AD81" s="739">
        <f>AD80+AC81</f>
        <v>5300579.1490428708</v>
      </c>
      <c r="AE81" s="739">
        <f t="shared" si="30"/>
        <v>-5300579.1490428708</v>
      </c>
      <c r="AF81" s="739">
        <f t="shared" si="31"/>
        <v>0</v>
      </c>
      <c r="AG81" s="739">
        <f>PV($G$14/12,$B81,0,$AE81*-1,0)</f>
        <v>-3573246.1194483433</v>
      </c>
      <c r="AH81" s="740">
        <f t="shared" si="20"/>
        <v>0</v>
      </c>
      <c r="AI81" s="738">
        <f t="shared" si="23"/>
        <v>0</v>
      </c>
      <c r="AJ81" s="762"/>
      <c r="AK81" s="763"/>
      <c r="AL81" s="752">
        <f t="shared" si="18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22"/>
        <v>56</v>
      </c>
    </row>
    <row r="82" spans="2:83" s="675" customFormat="1" ht="15.75" customHeight="1">
      <c r="B82" s="727">
        <f t="shared" si="14"/>
        <v>57</v>
      </c>
      <c r="C82" s="728">
        <f t="shared" si="12"/>
        <v>10</v>
      </c>
      <c r="D82" s="729" t="str">
        <f t="shared" si="33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>
        <f t="shared" si="15"/>
        <v>0</v>
      </c>
      <c r="R82" s="753"/>
      <c r="S82" s="753"/>
      <c r="T82" s="753"/>
      <c r="U82" s="754">
        <f t="shared" si="27"/>
        <v>0</v>
      </c>
      <c r="V82" s="751"/>
      <c r="W82" s="752">
        <f t="shared" si="28"/>
        <v>0</v>
      </c>
      <c r="X82" s="753"/>
      <c r="Y82" s="752"/>
      <c r="Z82" s="736">
        <f>'①Tidak termasuk VAT TAX'!AJ82*10%</f>
        <v>0</v>
      </c>
      <c r="AA82" s="753"/>
      <c r="AB82" s="754">
        <f t="shared" si="16"/>
        <v>0</v>
      </c>
      <c r="AC82" s="738">
        <f t="shared" si="8"/>
        <v>0</v>
      </c>
      <c r="AD82" s="739">
        <f t="shared" si="21"/>
        <v>5300579.1490428708</v>
      </c>
      <c r="AE82" s="739">
        <f t="shared" si="30"/>
        <v>-5300579.1490428708</v>
      </c>
      <c r="AF82" s="739">
        <f t="shared" si="31"/>
        <v>0</v>
      </c>
      <c r="AG82" s="739">
        <f t="shared" si="29"/>
        <v>-3548172.3680474749</v>
      </c>
      <c r="AH82" s="740">
        <f t="shared" si="20"/>
        <v>0</v>
      </c>
      <c r="AI82" s="738">
        <f t="shared" si="23"/>
        <v>0</v>
      </c>
      <c r="AJ82" s="762"/>
      <c r="AK82" s="763"/>
      <c r="AL82" s="752">
        <f t="shared" si="18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22"/>
        <v>57</v>
      </c>
    </row>
    <row r="83" spans="2:83" s="675" customFormat="1" ht="15.75" customHeight="1">
      <c r="B83" s="727">
        <f t="shared" si="14"/>
        <v>58</v>
      </c>
      <c r="C83" s="728">
        <f t="shared" si="12"/>
        <v>11</v>
      </c>
      <c r="D83" s="729" t="str">
        <f t="shared" si="33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>
        <f t="shared" si="15"/>
        <v>0</v>
      </c>
      <c r="R83" s="753"/>
      <c r="S83" s="753"/>
      <c r="T83" s="753"/>
      <c r="U83" s="754">
        <f t="shared" si="27"/>
        <v>0</v>
      </c>
      <c r="V83" s="751"/>
      <c r="W83" s="752">
        <f t="shared" si="28"/>
        <v>0</v>
      </c>
      <c r="X83" s="753"/>
      <c r="Y83" s="752"/>
      <c r="Z83" s="736">
        <f>'①Tidak termasuk VAT TAX'!AJ83*10%</f>
        <v>0</v>
      </c>
      <c r="AA83" s="753"/>
      <c r="AB83" s="754">
        <f t="shared" si="16"/>
        <v>0</v>
      </c>
      <c r="AC83" s="738">
        <f t="shared" si="8"/>
        <v>0</v>
      </c>
      <c r="AD83" s="739">
        <f t="shared" si="21"/>
        <v>5300579.1490428708</v>
      </c>
      <c r="AE83" s="739">
        <f t="shared" si="30"/>
        <v>-5300579.1490428708</v>
      </c>
      <c r="AF83" s="739">
        <f t="shared" si="31"/>
        <v>0</v>
      </c>
      <c r="AG83" s="739">
        <f t="shared" si="29"/>
        <v>-3523274.5611486896</v>
      </c>
      <c r="AH83" s="740">
        <f t="shared" si="20"/>
        <v>0</v>
      </c>
      <c r="AI83" s="738">
        <f>IF(AU83&lt;=$J$7,AI82,0)</f>
        <v>0</v>
      </c>
      <c r="AJ83" s="762"/>
      <c r="AK83" s="763"/>
      <c r="AL83" s="752">
        <f t="shared" si="18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22"/>
        <v>58</v>
      </c>
    </row>
    <row r="84" spans="2:83" s="675" customFormat="1" ht="15.75" customHeight="1">
      <c r="B84" s="727">
        <f t="shared" si="14"/>
        <v>59</v>
      </c>
      <c r="C84" s="728">
        <f t="shared" si="12"/>
        <v>12</v>
      </c>
      <c r="D84" s="729" t="str">
        <f t="shared" si="33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>
        <f t="shared" si="15"/>
        <v>0</v>
      </c>
      <c r="R84" s="753"/>
      <c r="S84" s="753"/>
      <c r="T84" s="753"/>
      <c r="U84" s="754">
        <f t="shared" si="27"/>
        <v>0</v>
      </c>
      <c r="V84" s="751"/>
      <c r="W84" s="752">
        <f t="shared" si="28"/>
        <v>0</v>
      </c>
      <c r="X84" s="753"/>
      <c r="Y84" s="752"/>
      <c r="Z84" s="736">
        <f>'①Tidak termasuk VAT TAX'!AJ84*10%</f>
        <v>0</v>
      </c>
      <c r="AA84" s="753"/>
      <c r="AB84" s="754">
        <f t="shared" si="16"/>
        <v>0</v>
      </c>
      <c r="AC84" s="738">
        <f t="shared" si="8"/>
        <v>0</v>
      </c>
      <c r="AD84" s="739">
        <f t="shared" si="21"/>
        <v>5300579.1490428708</v>
      </c>
      <c r="AE84" s="739">
        <f t="shared" si="30"/>
        <v>-5300579.1490428708</v>
      </c>
      <c r="AF84" s="739">
        <f t="shared" si="31"/>
        <v>0</v>
      </c>
      <c r="AG84" s="739">
        <f t="shared" si="29"/>
        <v>-3498551.4641354661</v>
      </c>
      <c r="AH84" s="740">
        <f t="shared" si="20"/>
        <v>0</v>
      </c>
      <c r="AI84" s="738">
        <f>IF(AU84&lt;=$J$7,AI83,0)</f>
        <v>0</v>
      </c>
      <c r="AJ84" s="762"/>
      <c r="AK84" s="763"/>
      <c r="AL84" s="752">
        <f t="shared" si="18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22"/>
        <v>59</v>
      </c>
    </row>
    <row r="85" spans="2:83" s="675" customFormat="1" ht="15.75" customHeight="1">
      <c r="B85" s="727">
        <f t="shared" si="14"/>
        <v>60</v>
      </c>
      <c r="C85" s="728">
        <f t="shared" si="12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>
        <f t="shared" si="15"/>
        <v>0</v>
      </c>
      <c r="R85" s="753"/>
      <c r="S85" s="753"/>
      <c r="T85" s="753"/>
      <c r="U85" s="754">
        <f t="shared" si="27"/>
        <v>0</v>
      </c>
      <c r="V85" s="751"/>
      <c r="W85" s="752">
        <f t="shared" si="28"/>
        <v>0</v>
      </c>
      <c r="X85" s="753"/>
      <c r="Y85" s="752"/>
      <c r="Z85" s="736">
        <f>'①Tidak termasuk VAT TAX'!AJ85*10%</f>
        <v>0</v>
      </c>
      <c r="AA85" s="753"/>
      <c r="AB85" s="754">
        <f t="shared" si="16"/>
        <v>0</v>
      </c>
      <c r="AC85" s="738">
        <f t="shared" si="8"/>
        <v>0</v>
      </c>
      <c r="AD85" s="739">
        <f>AD84+AC85</f>
        <v>5300579.1490428708</v>
      </c>
      <c r="AE85" s="739">
        <f t="shared" si="30"/>
        <v>-5300579.1490428708</v>
      </c>
      <c r="AF85" s="739">
        <f t="shared" si="31"/>
        <v>0</v>
      </c>
      <c r="AG85" s="739">
        <f t="shared" si="29"/>
        <v>-3474001.8510546787</v>
      </c>
      <c r="AH85" s="740">
        <f t="shared" si="20"/>
        <v>0</v>
      </c>
      <c r="AI85" s="738">
        <f>IF(AU85&lt;=$J$7,AI84,0)</f>
        <v>0</v>
      </c>
      <c r="AJ85" s="762"/>
      <c r="AK85" s="763"/>
      <c r="AL85" s="752">
        <f t="shared" si="18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22"/>
        <v>60</v>
      </c>
    </row>
    <row r="86" spans="2:83" s="675" customFormat="1" ht="15.75" customHeight="1">
      <c r="B86" s="727">
        <f t="shared" si="14"/>
        <v>61</v>
      </c>
      <c r="C86" s="728">
        <f t="shared" si="12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>
        <f t="shared" si="15"/>
        <v>0</v>
      </c>
      <c r="R86" s="753"/>
      <c r="S86" s="753"/>
      <c r="T86" s="753"/>
      <c r="U86" s="754">
        <f t="shared" ref="U86:U90" si="34">SUM(E86:T86)</f>
        <v>0</v>
      </c>
      <c r="V86" s="751"/>
      <c r="W86" s="752">
        <f>IF($AU86=$J$7+1,$M$15,0)</f>
        <v>0</v>
      </c>
      <c r="X86" s="753"/>
      <c r="Y86" s="752"/>
      <c r="Z86" s="736">
        <f>'①Tidak termasuk VAT TAX'!AJ86*10%</f>
        <v>0</v>
      </c>
      <c r="AA86" s="753"/>
      <c r="AB86" s="754">
        <f t="shared" si="16"/>
        <v>0</v>
      </c>
      <c r="AC86" s="738">
        <f>U86+AB86</f>
        <v>0</v>
      </c>
      <c r="AD86" s="739"/>
      <c r="AE86" s="739"/>
      <c r="AF86" s="739">
        <f t="shared" si="31"/>
        <v>0</v>
      </c>
      <c r="AG86" s="739">
        <f t="shared" si="29"/>
        <v>0</v>
      </c>
      <c r="AH86" s="740">
        <f t="shared" si="20"/>
        <v>0</v>
      </c>
      <c r="AI86" s="738">
        <f>IF(AU86&lt;=$J$7,AI85,0)</f>
        <v>0</v>
      </c>
      <c r="AJ86" s="762"/>
      <c r="AK86" s="763"/>
      <c r="AL86" s="752">
        <f t="shared" ref="AL86:AL89" si="35">AI87</f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22"/>
        <v>61</v>
      </c>
    </row>
    <row r="87" spans="2:83" s="675" customFormat="1" ht="15.75" customHeight="1">
      <c r="B87" s="727">
        <f t="shared" si="14"/>
        <v>62</v>
      </c>
      <c r="C87" s="728">
        <f t="shared" si="12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>
        <f t="shared" si="15"/>
        <v>0</v>
      </c>
      <c r="R87" s="753"/>
      <c r="S87" s="753"/>
      <c r="T87" s="753"/>
      <c r="U87" s="754">
        <f t="shared" si="34"/>
        <v>0</v>
      </c>
      <c r="V87" s="751"/>
      <c r="W87" s="752">
        <f t="shared" si="28"/>
        <v>0</v>
      </c>
      <c r="X87" s="753"/>
      <c r="Y87" s="752"/>
      <c r="Z87" s="736">
        <f>'①Tidak termasuk VAT TAX'!AJ87*10%</f>
        <v>0</v>
      </c>
      <c r="AA87" s="753"/>
      <c r="AB87" s="754">
        <f t="shared" si="16"/>
        <v>0</v>
      </c>
      <c r="AC87" s="738">
        <f>U87+AB87</f>
        <v>0</v>
      </c>
      <c r="AD87" s="739"/>
      <c r="AE87" s="739">
        <f t="shared" si="30"/>
        <v>0</v>
      </c>
      <c r="AF87" s="739">
        <f t="shared" si="31"/>
        <v>0</v>
      </c>
      <c r="AG87" s="739">
        <f t="shared" si="29"/>
        <v>0</v>
      </c>
      <c r="AH87" s="740">
        <f t="shared" si="20"/>
        <v>0</v>
      </c>
      <c r="AI87" s="738">
        <f t="shared" si="23"/>
        <v>0</v>
      </c>
      <c r="AJ87" s="762"/>
      <c r="AK87" s="763"/>
      <c r="AL87" s="752">
        <f t="shared" si="35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22"/>
        <v>62</v>
      </c>
    </row>
    <row r="88" spans="2:83" s="675" customFormat="1" ht="15.75" customHeight="1">
      <c r="B88" s="727">
        <f t="shared" si="14"/>
        <v>63</v>
      </c>
      <c r="C88" s="728">
        <f t="shared" si="12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>
        <f t="shared" si="15"/>
        <v>0</v>
      </c>
      <c r="R88" s="753"/>
      <c r="S88" s="753"/>
      <c r="T88" s="753"/>
      <c r="U88" s="754">
        <f t="shared" si="34"/>
        <v>0</v>
      </c>
      <c r="V88" s="751"/>
      <c r="W88" s="752">
        <f t="shared" si="28"/>
        <v>0</v>
      </c>
      <c r="X88" s="753"/>
      <c r="Y88" s="752"/>
      <c r="Z88" s="736">
        <f>'①Tidak termasuk VAT TAX'!AJ88*10%</f>
        <v>0</v>
      </c>
      <c r="AA88" s="753"/>
      <c r="AB88" s="754">
        <f t="shared" si="16"/>
        <v>0</v>
      </c>
      <c r="AC88" s="738">
        <f>U88+AB88</f>
        <v>0</v>
      </c>
      <c r="AD88" s="739"/>
      <c r="AE88" s="739">
        <f t="shared" si="30"/>
        <v>0</v>
      </c>
      <c r="AF88" s="739">
        <f t="shared" si="31"/>
        <v>0</v>
      </c>
      <c r="AG88" s="739">
        <f t="shared" si="29"/>
        <v>0</v>
      </c>
      <c r="AH88" s="740">
        <f t="shared" si="20"/>
        <v>0</v>
      </c>
      <c r="AI88" s="738">
        <f t="shared" si="23"/>
        <v>0</v>
      </c>
      <c r="AJ88" s="762"/>
      <c r="AK88" s="763"/>
      <c r="AL88" s="752">
        <f t="shared" si="35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22"/>
        <v>63</v>
      </c>
    </row>
    <row r="89" spans="2:83" s="675" customFormat="1" ht="15.75" customHeight="1">
      <c r="B89" s="727">
        <f t="shared" si="14"/>
        <v>64</v>
      </c>
      <c r="C89" s="728">
        <f t="shared" si="12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>
        <f t="shared" si="15"/>
        <v>0</v>
      </c>
      <c r="R89" s="753"/>
      <c r="S89" s="753"/>
      <c r="T89" s="753"/>
      <c r="U89" s="754">
        <f t="shared" si="34"/>
        <v>0</v>
      </c>
      <c r="V89" s="751"/>
      <c r="W89" s="752">
        <f t="shared" si="28"/>
        <v>0</v>
      </c>
      <c r="X89" s="753"/>
      <c r="Y89" s="752"/>
      <c r="Z89" s="736">
        <f>'①Tidak termasuk VAT TAX'!AJ89*10%</f>
        <v>0</v>
      </c>
      <c r="AA89" s="753"/>
      <c r="AB89" s="754">
        <f t="shared" si="16"/>
        <v>0</v>
      </c>
      <c r="AC89" s="738">
        <f>U89+AB89</f>
        <v>0</v>
      </c>
      <c r="AD89" s="739"/>
      <c r="AE89" s="739">
        <f t="shared" si="30"/>
        <v>0</v>
      </c>
      <c r="AF89" s="739">
        <f t="shared" si="31"/>
        <v>0</v>
      </c>
      <c r="AG89" s="739">
        <f t="shared" si="29"/>
        <v>0</v>
      </c>
      <c r="AH89" s="740">
        <f t="shared" si="20"/>
        <v>0</v>
      </c>
      <c r="AI89" s="738">
        <f t="shared" si="23"/>
        <v>0</v>
      </c>
      <c r="AJ89" s="762"/>
      <c r="AK89" s="763"/>
      <c r="AL89" s="752">
        <f t="shared" si="35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22"/>
        <v>64</v>
      </c>
    </row>
    <row r="90" spans="2:83" s="675" customFormat="1" ht="15.75" customHeight="1" thickBot="1">
      <c r="B90" s="766">
        <f t="shared" si="14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52">
        <f t="shared" si="15"/>
        <v>0</v>
      </c>
      <c r="R90" s="771"/>
      <c r="S90" s="771"/>
      <c r="T90" s="771"/>
      <c r="U90" s="772">
        <f t="shared" si="34"/>
        <v>0</v>
      </c>
      <c r="V90" s="769"/>
      <c r="W90" s="770">
        <f t="shared" si="28"/>
        <v>0</v>
      </c>
      <c r="X90" s="771"/>
      <c r="Y90" s="770"/>
      <c r="Z90" s="773">
        <f>'①Tidak termasuk VAT TAX'!AJ90*10%</f>
        <v>0</v>
      </c>
      <c r="AA90" s="771"/>
      <c r="AB90" s="772">
        <f t="shared" ref="AB90" si="36">SUM(V90:AA90)</f>
        <v>0</v>
      </c>
      <c r="AC90" s="774">
        <f>U90+AB90</f>
        <v>0</v>
      </c>
      <c r="AD90" s="775"/>
      <c r="AE90" s="775">
        <f t="shared" si="30"/>
        <v>0</v>
      </c>
      <c r="AF90" s="775">
        <f t="shared" si="31"/>
        <v>0</v>
      </c>
      <c r="AG90" s="775">
        <f t="shared" si="29"/>
        <v>0</v>
      </c>
      <c r="AH90" s="776">
        <f t="shared" si="20"/>
        <v>0</v>
      </c>
      <c r="AI90" s="774">
        <f t="shared" si="23"/>
        <v>0</v>
      </c>
      <c r="AJ90" s="777"/>
      <c r="AK90" s="778"/>
      <c r="AL90" s="770"/>
      <c r="AM90" s="779"/>
      <c r="AN90" s="780"/>
      <c r="AO90" s="781"/>
      <c r="AP90" s="781"/>
      <c r="AQ90" s="781"/>
      <c r="AR90" s="781"/>
      <c r="AS90" s="782"/>
      <c r="AT90" s="783"/>
      <c r="AU90" s="784">
        <f t="shared" si="22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>
        <f t="shared" ref="F91:J91" si="37">SUM(F22:F90)</f>
        <v>-23423523.600576535</v>
      </c>
      <c r="G91" s="821"/>
      <c r="H91" s="820">
        <f t="shared" si="37"/>
        <v>0</v>
      </c>
      <c r="I91" s="821"/>
      <c r="J91" s="820">
        <f t="shared" si="37"/>
        <v>0</v>
      </c>
      <c r="K91" s="821"/>
      <c r="L91" s="820">
        <f t="shared" ref="L91:Z91" si="38">SUM(L22:L90)</f>
        <v>0</v>
      </c>
      <c r="M91" s="821"/>
      <c r="N91" s="821"/>
      <c r="O91" s="821"/>
      <c r="P91" s="821"/>
      <c r="Q91" s="820">
        <f t="shared" si="38"/>
        <v>0</v>
      </c>
      <c r="R91" s="821">
        <f t="shared" si="38"/>
        <v>0</v>
      </c>
      <c r="S91" s="821">
        <f t="shared" si="38"/>
        <v>0</v>
      </c>
      <c r="T91" s="821">
        <f t="shared" si="38"/>
        <v>0</v>
      </c>
      <c r="U91" s="822">
        <f t="shared" si="38"/>
        <v>-23423523.600576535</v>
      </c>
      <c r="V91" s="823"/>
      <c r="W91" s="824">
        <f t="shared" si="38"/>
        <v>5161692.8369454592</v>
      </c>
      <c r="X91" s="825">
        <f t="shared" si="38"/>
        <v>0</v>
      </c>
      <c r="Y91" s="824">
        <f t="shared" si="38"/>
        <v>0</v>
      </c>
      <c r="Z91" s="826">
        <f t="shared" si="38"/>
        <v>23562409.912673946</v>
      </c>
      <c r="AA91" s="825">
        <f>SUM(AA22:AA75)</f>
        <v>0</v>
      </c>
      <c r="AB91" s="827">
        <f t="shared" ref="AB91:AI91" si="39">SUM(AB22:AB90)</f>
        <v>28724102.749619406</v>
      </c>
      <c r="AC91" s="785">
        <f t="shared" si="21"/>
        <v>28724102.749619406</v>
      </c>
      <c r="AD91" s="785">
        <f t="shared" si="21"/>
        <v>28724102.749619406</v>
      </c>
      <c r="AE91" s="785">
        <f>SUM(AE26:AE90)</f>
        <v>-35021733.350992456</v>
      </c>
      <c r="AF91" s="785">
        <f>SUM(AF26:AF90)</f>
        <v>23071526.372826573</v>
      </c>
      <c r="AG91" s="829">
        <f>SUM(AG22:AG90)</f>
        <v>-43291074.071241446</v>
      </c>
      <c r="AH91" s="830">
        <f>SUM(AH22:AH90)</f>
        <v>-3599434.2450648276</v>
      </c>
      <c r="AI91" s="831">
        <f t="shared" si="39"/>
        <v>4256926.2594653238</v>
      </c>
      <c r="AJ91" s="832"/>
      <c r="AK91" s="786"/>
      <c r="AL91" s="787">
        <f>SUM(AL22:AL90)</f>
        <v>4256926.2594653238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5161692.836945544</v>
      </c>
      <c r="BE92" s="846"/>
      <c r="BL92" s="790"/>
      <c r="BM92" s="790"/>
    </row>
    <row r="93" spans="2:83" ht="21.75" customHeight="1"/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</row>
    <row r="95" spans="2:83" s="638" customFormat="1" ht="24.75" customHeight="1" thickTop="1">
      <c r="B95" s="1623" t="s">
        <v>175</v>
      </c>
      <c r="C95" s="1624" t="s">
        <v>176</v>
      </c>
      <c r="D95" s="1624"/>
      <c r="E95" s="1624"/>
      <c r="F95" s="1624"/>
      <c r="G95" s="1624"/>
      <c r="H95" s="1624"/>
      <c r="I95" s="1624"/>
      <c r="J95" s="1624"/>
      <c r="K95" s="1625"/>
      <c r="L95" s="1626" t="s">
        <v>177</v>
      </c>
      <c r="M95" s="1627"/>
      <c r="N95" s="1627"/>
      <c r="O95" s="1628"/>
      <c r="P95" s="1642" t="s">
        <v>178</v>
      </c>
      <c r="Q95" s="1643"/>
      <c r="R95" s="1644"/>
      <c r="S95" s="1633" t="s">
        <v>179</v>
      </c>
      <c r="T95" s="1630" t="s">
        <v>180</v>
      </c>
      <c r="AP95" s="878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645"/>
      <c r="C96" s="1646" t="s">
        <v>166</v>
      </c>
      <c r="D96" s="1646"/>
      <c r="E96" s="1646"/>
      <c r="F96" s="1646" t="s">
        <v>187</v>
      </c>
      <c r="G96" s="1646"/>
      <c r="H96" s="1646" t="s">
        <v>165</v>
      </c>
      <c r="I96" s="1646"/>
      <c r="J96" s="1654" t="s">
        <v>188</v>
      </c>
      <c r="K96" s="1620" t="s">
        <v>58</v>
      </c>
      <c r="L96" s="1640" t="s">
        <v>189</v>
      </c>
      <c r="M96" s="1654" t="s">
        <v>190</v>
      </c>
      <c r="N96" s="1638" t="s">
        <v>191</v>
      </c>
      <c r="O96" s="1620" t="s">
        <v>58</v>
      </c>
      <c r="P96" s="1640" t="s">
        <v>192</v>
      </c>
      <c r="Q96" s="1638" t="s">
        <v>193</v>
      </c>
      <c r="R96" s="1636" t="s">
        <v>194</v>
      </c>
      <c r="S96" s="1634"/>
      <c r="T96" s="1631"/>
      <c r="AP96" s="878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652"/>
      <c r="C97" s="919"/>
      <c r="D97" s="1653" t="s">
        <v>169</v>
      </c>
      <c r="E97" s="1653"/>
      <c r="F97" s="918" t="s">
        <v>196</v>
      </c>
      <c r="G97" s="879" t="s">
        <v>169</v>
      </c>
      <c r="H97" s="918" t="s">
        <v>196</v>
      </c>
      <c r="I97" s="879" t="s">
        <v>169</v>
      </c>
      <c r="J97" s="1655"/>
      <c r="K97" s="1629"/>
      <c r="L97" s="1641"/>
      <c r="M97" s="1655"/>
      <c r="N97" s="1639"/>
      <c r="O97" s="1629"/>
      <c r="P97" s="1641"/>
      <c r="Q97" s="1639"/>
      <c r="R97" s="1637"/>
      <c r="S97" s="1635"/>
      <c r="T97" s="1632"/>
      <c r="AP97" s="878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>
        <f>SUM(D103:D144)</f>
        <v>20617108.673589703</v>
      </c>
      <c r="E98" s="655">
        <v>17000000</v>
      </c>
      <c r="F98" s="655">
        <f>E98-D98</f>
        <v>-3617108.6735897027</v>
      </c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P98" s="878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 thickBot="1">
      <c r="B99" s="911">
        <f t="shared" ref="B99:B130" si="40">B22</f>
        <v>-3</v>
      </c>
      <c r="C99" s="904"/>
      <c r="D99" s="883"/>
      <c r="E99" s="883">
        <f t="shared" ref="E99:E139" si="41">AL22</f>
        <v>0</v>
      </c>
      <c r="F99" s="904"/>
      <c r="G99" s="883">
        <f>W22</f>
        <v>0</v>
      </c>
      <c r="H99" s="904"/>
      <c r="I99" s="883">
        <f>Y22</f>
        <v>0</v>
      </c>
      <c r="J99" s="904"/>
      <c r="K99" s="885">
        <f t="shared" ref="K99:K162" si="42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1" si="43">P99+Q99</f>
        <v>0</v>
      </c>
      <c r="S99" s="889">
        <f t="shared" ref="S99:S130" si="44">IF($R99&lt;0,$R99*-1,0)</f>
        <v>0</v>
      </c>
      <c r="T99" s="889">
        <f t="shared" ref="T99:T139" si="45">$S99*$G$14*1/12</f>
        <v>0</v>
      </c>
      <c r="AP99" s="878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 thickTop="1" thickBot="1">
      <c r="B100" s="912">
        <f t="shared" si="40"/>
        <v>-2</v>
      </c>
      <c r="C100" s="905"/>
      <c r="D100" s="815">
        <f t="shared" ref="D100:D157" si="46">IF(AE23&gt;=0,AE23,0)</f>
        <v>0</v>
      </c>
      <c r="E100" s="815">
        <f t="shared" si="41"/>
        <v>0</v>
      </c>
      <c r="F100" s="905"/>
      <c r="G100" s="883">
        <f t="shared" ref="G100:G163" si="47">W23</f>
        <v>0</v>
      </c>
      <c r="H100" s="905"/>
      <c r="I100" s="883">
        <f t="shared" ref="I100:I163" si="48">Y23</f>
        <v>0</v>
      </c>
      <c r="J100" s="905"/>
      <c r="K100" s="884">
        <f t="shared" si="42"/>
        <v>0</v>
      </c>
      <c r="L100" s="890">
        <f>U23</f>
        <v>0</v>
      </c>
      <c r="M100" s="905"/>
      <c r="N100" s="815">
        <f>T99*-1</f>
        <v>0</v>
      </c>
      <c r="O100" s="884">
        <f t="shared" ref="O100:O163" si="49">L100+M100+N100</f>
        <v>0</v>
      </c>
      <c r="P100" s="891">
        <f>K100+O100</f>
        <v>0</v>
      </c>
      <c r="Q100" s="892">
        <f>R99</f>
        <v>0</v>
      </c>
      <c r="R100" s="893">
        <f t="shared" si="43"/>
        <v>0</v>
      </c>
      <c r="S100" s="894">
        <f t="shared" si="44"/>
        <v>0</v>
      </c>
      <c r="T100" s="894">
        <f t="shared" si="45"/>
        <v>0</v>
      </c>
      <c r="W100" s="641"/>
      <c r="AP100" s="878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 thickTop="1" thickBot="1">
      <c r="B101" s="912">
        <f t="shared" si="40"/>
        <v>-1</v>
      </c>
      <c r="C101" s="905"/>
      <c r="D101" s="815">
        <f t="shared" si="46"/>
        <v>0</v>
      </c>
      <c r="E101" s="815">
        <f t="shared" si="41"/>
        <v>0</v>
      </c>
      <c r="F101" s="905"/>
      <c r="G101" s="883">
        <f t="shared" si="47"/>
        <v>0</v>
      </c>
      <c r="H101" s="905"/>
      <c r="I101" s="883">
        <f t="shared" si="48"/>
        <v>0</v>
      </c>
      <c r="J101" s="905"/>
      <c r="K101" s="884">
        <f t="shared" si="42"/>
        <v>0</v>
      </c>
      <c r="L101" s="890">
        <f>U24</f>
        <v>0</v>
      </c>
      <c r="M101" s="905"/>
      <c r="N101" s="815">
        <f>T100*-1</f>
        <v>0</v>
      </c>
      <c r="O101" s="884">
        <f t="shared" si="49"/>
        <v>0</v>
      </c>
      <c r="P101" s="891">
        <f t="shared" ref="P101:P161" si="50">K101+O101</f>
        <v>0</v>
      </c>
      <c r="Q101" s="892">
        <f t="shared" ref="Q101:Q164" si="51">R100</f>
        <v>0</v>
      </c>
      <c r="R101" s="893">
        <f t="shared" si="43"/>
        <v>0</v>
      </c>
      <c r="S101" s="894">
        <f t="shared" si="44"/>
        <v>0</v>
      </c>
      <c r="T101" s="894">
        <f t="shared" si="45"/>
        <v>0</v>
      </c>
      <c r="AP101" s="878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 thickTop="1" thickBot="1">
      <c r="B102" s="913">
        <f t="shared" si="40"/>
        <v>0</v>
      </c>
      <c r="C102" s="905"/>
      <c r="D102" s="815">
        <f t="shared" si="46"/>
        <v>0</v>
      </c>
      <c r="E102" s="815">
        <f t="shared" si="41"/>
        <v>0</v>
      </c>
      <c r="F102" s="905"/>
      <c r="G102" s="883">
        <f t="shared" si="47"/>
        <v>0</v>
      </c>
      <c r="H102" s="905"/>
      <c r="I102" s="883">
        <f>Y25</f>
        <v>0</v>
      </c>
      <c r="J102" s="905"/>
      <c r="K102" s="884">
        <f t="shared" si="42"/>
        <v>0</v>
      </c>
      <c r="L102" s="890">
        <f>AC25</f>
        <v>-23423523.600576535</v>
      </c>
      <c r="M102" s="905"/>
      <c r="N102" s="815">
        <f t="shared" ref="N102:N165" si="52">T101*-1</f>
        <v>0</v>
      </c>
      <c r="O102" s="884">
        <f>L102+M102+N102</f>
        <v>-23423523.600576535</v>
      </c>
      <c r="P102" s="891">
        <f>K102+O102</f>
        <v>-23423523.600576535</v>
      </c>
      <c r="Q102" s="892">
        <f>R101</f>
        <v>0</v>
      </c>
      <c r="R102" s="893">
        <f>P102+Q102</f>
        <v>-23423523.600576535</v>
      </c>
      <c r="S102" s="894">
        <f>IF($R102&lt;0,$R102*-1,0)</f>
        <v>23423523.600576535</v>
      </c>
      <c r="T102" s="894">
        <f>$S102*$G$14*1/12</f>
        <v>165526.2334440742</v>
      </c>
      <c r="V102" s="641"/>
      <c r="W102" s="641"/>
      <c r="AP102" s="878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 thickTop="1" thickBot="1">
      <c r="B103" s="913">
        <f t="shared" si="40"/>
        <v>1</v>
      </c>
      <c r="C103" s="905"/>
      <c r="D103" s="815">
        <f>IF(AE26&gt;=0,AE26,0)</f>
        <v>490883.53984737361</v>
      </c>
      <c r="E103" s="815">
        <f t="shared" si="41"/>
        <v>88685.96373886081</v>
      </c>
      <c r="F103" s="905"/>
      <c r="G103" s="883">
        <f t="shared" si="47"/>
        <v>0</v>
      </c>
      <c r="H103" s="905"/>
      <c r="I103" s="1398">
        <v>0</v>
      </c>
      <c r="J103" s="905"/>
      <c r="K103" s="884">
        <f>C103+E103+F103+G103+H103+I103+J103+D103</f>
        <v>579569.50358623441</v>
      </c>
      <c r="L103" s="890"/>
      <c r="M103" s="905"/>
      <c r="N103" s="815">
        <f>T102*-1</f>
        <v>-165526.2334440742</v>
      </c>
      <c r="O103" s="884">
        <f>L103+M103+N103</f>
        <v>-165526.2334440742</v>
      </c>
      <c r="P103" s="891">
        <f>K103+O103</f>
        <v>414043.27014216024</v>
      </c>
      <c r="Q103" s="892">
        <f>R102</f>
        <v>-23423523.600576535</v>
      </c>
      <c r="R103" s="893">
        <f>P103+Q103</f>
        <v>-23009480.330434375</v>
      </c>
      <c r="S103" s="894">
        <f t="shared" si="44"/>
        <v>23009480.330434375</v>
      </c>
      <c r="T103" s="894">
        <f t="shared" si="45"/>
        <v>162600.3276684029</v>
      </c>
      <c r="V103" s="641"/>
      <c r="W103" s="641"/>
      <c r="X103" s="641"/>
      <c r="AP103" s="878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 thickTop="1" thickBot="1">
      <c r="B104" s="913">
        <f t="shared" si="40"/>
        <v>2</v>
      </c>
      <c r="C104" s="905"/>
      <c r="D104" s="815">
        <f t="shared" si="46"/>
        <v>490883.53984737361</v>
      </c>
      <c r="E104" s="815">
        <f t="shared" si="41"/>
        <v>88685.96373886081</v>
      </c>
      <c r="F104" s="905"/>
      <c r="G104" s="883">
        <f t="shared" si="47"/>
        <v>0</v>
      </c>
      <c r="H104" s="905"/>
      <c r="I104" s="883">
        <f t="shared" si="48"/>
        <v>0</v>
      </c>
      <c r="J104" s="905"/>
      <c r="K104" s="884">
        <f t="shared" si="42"/>
        <v>579569.50358623441</v>
      </c>
      <c r="L104" s="890"/>
      <c r="M104" s="905"/>
      <c r="N104" s="815">
        <f t="shared" si="52"/>
        <v>-162600.3276684029</v>
      </c>
      <c r="O104" s="884">
        <f t="shared" si="49"/>
        <v>-162600.3276684029</v>
      </c>
      <c r="P104" s="891">
        <f>K104+O104</f>
        <v>416969.17591783148</v>
      </c>
      <c r="Q104" s="892">
        <f>R103</f>
        <v>-23009480.330434375</v>
      </c>
      <c r="R104" s="893">
        <f>P104+Q104</f>
        <v>-22592511.154516544</v>
      </c>
      <c r="S104" s="894">
        <f t="shared" si="44"/>
        <v>22592511.154516544</v>
      </c>
      <c r="T104" s="894">
        <f t="shared" si="45"/>
        <v>159653.74549191692</v>
      </c>
      <c r="V104" s="641"/>
      <c r="W104" s="641"/>
      <c r="X104" s="641"/>
      <c r="AP104" s="878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 thickTop="1" thickBot="1">
      <c r="B105" s="913">
        <f t="shared" si="40"/>
        <v>3</v>
      </c>
      <c r="C105" s="905"/>
      <c r="D105" s="815">
        <f t="shared" si="46"/>
        <v>490883.53984737361</v>
      </c>
      <c r="E105" s="815">
        <f t="shared" si="41"/>
        <v>88685.96373886081</v>
      </c>
      <c r="F105" s="905"/>
      <c r="G105" s="883">
        <f t="shared" si="47"/>
        <v>0</v>
      </c>
      <c r="H105" s="905"/>
      <c r="I105" s="883">
        <f t="shared" si="48"/>
        <v>0</v>
      </c>
      <c r="J105" s="905"/>
      <c r="K105" s="884">
        <f t="shared" si="42"/>
        <v>579569.50358623441</v>
      </c>
      <c r="L105" s="890"/>
      <c r="M105" s="905"/>
      <c r="N105" s="815">
        <f t="shared" si="52"/>
        <v>-159653.74549191692</v>
      </c>
      <c r="O105" s="884">
        <f t="shared" si="49"/>
        <v>-159653.74549191692</v>
      </c>
      <c r="P105" s="891">
        <f t="shared" si="50"/>
        <v>419915.75809431751</v>
      </c>
      <c r="Q105" s="892">
        <f>R104</f>
        <v>-22592511.154516544</v>
      </c>
      <c r="R105" s="893">
        <f t="shared" ref="R105:R164" si="53">P105+Q105</f>
        <v>-22172595.396422226</v>
      </c>
      <c r="S105" s="894">
        <f t="shared" si="44"/>
        <v>22172595.396422226</v>
      </c>
      <c r="T105" s="894">
        <f t="shared" si="45"/>
        <v>156686.34080138375</v>
      </c>
      <c r="V105" s="641"/>
      <c r="W105" s="641"/>
      <c r="X105" s="641"/>
      <c r="AP105" s="878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 thickTop="1" thickBot="1">
      <c r="B106" s="913">
        <f t="shared" si="40"/>
        <v>4</v>
      </c>
      <c r="C106" s="905"/>
      <c r="D106" s="815">
        <f t="shared" si="46"/>
        <v>490883.53984737361</v>
      </c>
      <c r="E106" s="815">
        <f t="shared" si="41"/>
        <v>88685.96373886081</v>
      </c>
      <c r="F106" s="905"/>
      <c r="G106" s="883">
        <f t="shared" si="47"/>
        <v>0</v>
      </c>
      <c r="H106" s="905"/>
      <c r="I106" s="883">
        <f t="shared" si="48"/>
        <v>0</v>
      </c>
      <c r="J106" s="905"/>
      <c r="K106" s="884">
        <f t="shared" si="42"/>
        <v>579569.50358623441</v>
      </c>
      <c r="L106" s="890"/>
      <c r="M106" s="905"/>
      <c r="N106" s="815">
        <f t="shared" si="52"/>
        <v>-156686.34080138375</v>
      </c>
      <c r="O106" s="884">
        <f t="shared" si="49"/>
        <v>-156686.34080138375</v>
      </c>
      <c r="P106" s="891">
        <f t="shared" si="50"/>
        <v>422883.16278485069</v>
      </c>
      <c r="Q106" s="892">
        <f>R105</f>
        <v>-22172595.396422226</v>
      </c>
      <c r="R106" s="893">
        <f t="shared" si="53"/>
        <v>-21749712.233637374</v>
      </c>
      <c r="S106" s="894">
        <f t="shared" si="44"/>
        <v>21749712.233637374</v>
      </c>
      <c r="T106" s="894">
        <f t="shared" si="45"/>
        <v>153697.96645103744</v>
      </c>
      <c r="AP106" s="878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 thickTop="1" thickBot="1">
      <c r="B107" s="913">
        <f t="shared" si="40"/>
        <v>5</v>
      </c>
      <c r="C107" s="905"/>
      <c r="D107" s="815">
        <f t="shared" si="46"/>
        <v>490883.53984737361</v>
      </c>
      <c r="E107" s="815">
        <f t="shared" si="41"/>
        <v>88685.96373886081</v>
      </c>
      <c r="F107" s="905"/>
      <c r="G107" s="883">
        <f t="shared" si="47"/>
        <v>0</v>
      </c>
      <c r="H107" s="905"/>
      <c r="I107" s="883">
        <f t="shared" si="48"/>
        <v>0</v>
      </c>
      <c r="J107" s="905"/>
      <c r="K107" s="884">
        <f t="shared" si="42"/>
        <v>579569.50358623441</v>
      </c>
      <c r="L107" s="890"/>
      <c r="M107" s="905"/>
      <c r="N107" s="815">
        <f t="shared" si="52"/>
        <v>-153697.96645103744</v>
      </c>
      <c r="O107" s="884">
        <f t="shared" si="49"/>
        <v>-153697.96645103744</v>
      </c>
      <c r="P107" s="891">
        <f t="shared" si="50"/>
        <v>425871.53713519697</v>
      </c>
      <c r="Q107" s="892">
        <f t="shared" si="51"/>
        <v>-21749712.233637374</v>
      </c>
      <c r="R107" s="893">
        <f>P107+Q107</f>
        <v>-21323840.696502175</v>
      </c>
      <c r="S107" s="894">
        <f t="shared" si="44"/>
        <v>21323840.696502175</v>
      </c>
      <c r="T107" s="894">
        <f t="shared" si="45"/>
        <v>150688.47425528205</v>
      </c>
      <c r="AP107" s="878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 thickTop="1" thickBot="1">
      <c r="B108" s="913">
        <f t="shared" si="40"/>
        <v>6</v>
      </c>
      <c r="C108" s="905"/>
      <c r="D108" s="815">
        <f t="shared" si="46"/>
        <v>490883.53984737361</v>
      </c>
      <c r="E108" s="815">
        <f t="shared" si="41"/>
        <v>88685.96373886081</v>
      </c>
      <c r="F108" s="905"/>
      <c r="G108" s="883">
        <f t="shared" si="47"/>
        <v>0</v>
      </c>
      <c r="H108" s="905"/>
      <c r="I108" s="883">
        <f t="shared" si="48"/>
        <v>0</v>
      </c>
      <c r="J108" s="905"/>
      <c r="K108" s="884">
        <f t="shared" si="42"/>
        <v>579569.50358623441</v>
      </c>
      <c r="L108" s="890"/>
      <c r="M108" s="905"/>
      <c r="N108" s="815">
        <f t="shared" si="52"/>
        <v>-150688.47425528205</v>
      </c>
      <c r="O108" s="884">
        <f t="shared" si="49"/>
        <v>-150688.47425528205</v>
      </c>
      <c r="P108" s="891">
        <f t="shared" si="50"/>
        <v>428881.02933095233</v>
      </c>
      <c r="Q108" s="892">
        <f t="shared" si="51"/>
        <v>-21323840.696502175</v>
      </c>
      <c r="R108" s="893">
        <f t="shared" si="53"/>
        <v>-20894959.667171221</v>
      </c>
      <c r="S108" s="894">
        <f t="shared" si="44"/>
        <v>20894959.667171221</v>
      </c>
      <c r="T108" s="894">
        <f t="shared" si="45"/>
        <v>147657.71498134331</v>
      </c>
      <c r="AP108" s="878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 thickTop="1" thickBot="1">
      <c r="B109" s="913">
        <f t="shared" si="40"/>
        <v>7</v>
      </c>
      <c r="C109" s="905"/>
      <c r="D109" s="815">
        <f t="shared" si="46"/>
        <v>490883.53984737361</v>
      </c>
      <c r="E109" s="815">
        <f t="shared" si="41"/>
        <v>88685.96373886081</v>
      </c>
      <c r="F109" s="905"/>
      <c r="G109" s="883">
        <f t="shared" si="47"/>
        <v>0</v>
      </c>
      <c r="H109" s="905"/>
      <c r="I109" s="883">
        <f t="shared" si="48"/>
        <v>0</v>
      </c>
      <c r="J109" s="905"/>
      <c r="K109" s="884">
        <f t="shared" si="42"/>
        <v>579569.50358623441</v>
      </c>
      <c r="L109" s="890"/>
      <c r="M109" s="905"/>
      <c r="N109" s="815">
        <f t="shared" si="52"/>
        <v>-147657.71498134331</v>
      </c>
      <c r="O109" s="884">
        <f t="shared" si="49"/>
        <v>-147657.71498134331</v>
      </c>
      <c r="P109" s="891">
        <f t="shared" si="50"/>
        <v>431911.7886048911</v>
      </c>
      <c r="Q109" s="892">
        <f t="shared" si="51"/>
        <v>-20894959.667171221</v>
      </c>
      <c r="R109" s="893">
        <f t="shared" si="53"/>
        <v>-20463047.878566328</v>
      </c>
      <c r="S109" s="894">
        <f t="shared" si="44"/>
        <v>20463047.878566328</v>
      </c>
      <c r="T109" s="894">
        <f t="shared" si="45"/>
        <v>144605.53834186873</v>
      </c>
      <c r="AP109" s="878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 thickTop="1" thickBot="1">
      <c r="B110" s="913">
        <f t="shared" si="40"/>
        <v>8</v>
      </c>
      <c r="C110" s="905"/>
      <c r="D110" s="815">
        <f t="shared" si="46"/>
        <v>490883.53984737361</v>
      </c>
      <c r="E110" s="815">
        <f t="shared" si="41"/>
        <v>88685.96373886081</v>
      </c>
      <c r="F110" s="905"/>
      <c r="G110" s="883">
        <f t="shared" si="47"/>
        <v>0</v>
      </c>
      <c r="H110" s="905"/>
      <c r="I110" s="883">
        <f t="shared" si="48"/>
        <v>0</v>
      </c>
      <c r="J110" s="905"/>
      <c r="K110" s="884">
        <f t="shared" si="42"/>
        <v>579569.50358623441</v>
      </c>
      <c r="L110" s="890"/>
      <c r="M110" s="905"/>
      <c r="N110" s="815">
        <f t="shared" si="52"/>
        <v>-144605.53834186873</v>
      </c>
      <c r="O110" s="884">
        <f t="shared" si="49"/>
        <v>-144605.53834186873</v>
      </c>
      <c r="P110" s="891">
        <f t="shared" si="50"/>
        <v>434963.96524436568</v>
      </c>
      <c r="Q110" s="892">
        <f t="shared" si="51"/>
        <v>-20463047.878566328</v>
      </c>
      <c r="R110" s="893">
        <f t="shared" si="53"/>
        <v>-20028083.913321964</v>
      </c>
      <c r="S110" s="894">
        <f t="shared" si="44"/>
        <v>20028083.913321964</v>
      </c>
      <c r="T110" s="894">
        <f t="shared" si="45"/>
        <v>141531.7929874752</v>
      </c>
      <c r="AP110" s="878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 thickTop="1" thickBot="1">
      <c r="B111" s="913">
        <f t="shared" si="40"/>
        <v>9</v>
      </c>
      <c r="C111" s="905"/>
      <c r="D111" s="815">
        <f t="shared" si="46"/>
        <v>490883.53984737361</v>
      </c>
      <c r="E111" s="815">
        <f t="shared" si="41"/>
        <v>88685.96373886081</v>
      </c>
      <c r="F111" s="905"/>
      <c r="G111" s="883">
        <f t="shared" si="47"/>
        <v>0</v>
      </c>
      <c r="H111" s="905"/>
      <c r="I111" s="883">
        <f t="shared" si="48"/>
        <v>0</v>
      </c>
      <c r="J111" s="905"/>
      <c r="K111" s="884">
        <f t="shared" si="42"/>
        <v>579569.50358623441</v>
      </c>
      <c r="L111" s="890"/>
      <c r="M111" s="905"/>
      <c r="N111" s="815">
        <f t="shared" si="52"/>
        <v>-141531.7929874752</v>
      </c>
      <c r="O111" s="884">
        <f t="shared" si="49"/>
        <v>-141531.7929874752</v>
      </c>
      <c r="P111" s="891">
        <f t="shared" si="50"/>
        <v>438037.71059875924</v>
      </c>
      <c r="Q111" s="892">
        <f t="shared" si="51"/>
        <v>-20028083.913321964</v>
      </c>
      <c r="R111" s="893">
        <f t="shared" si="53"/>
        <v>-19590046.202723205</v>
      </c>
      <c r="S111" s="894">
        <f t="shared" si="44"/>
        <v>19590046.202723205</v>
      </c>
      <c r="T111" s="894">
        <f t="shared" si="45"/>
        <v>138436.32649924399</v>
      </c>
      <c r="AP111" s="878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 thickTop="1" thickBot="1">
      <c r="B112" s="913">
        <f t="shared" si="40"/>
        <v>10</v>
      </c>
      <c r="C112" s="905"/>
      <c r="D112" s="815">
        <f t="shared" si="46"/>
        <v>490883.53984737361</v>
      </c>
      <c r="E112" s="815">
        <f t="shared" si="41"/>
        <v>88685.96373886081</v>
      </c>
      <c r="F112" s="905"/>
      <c r="G112" s="883">
        <f t="shared" si="47"/>
        <v>0</v>
      </c>
      <c r="H112" s="905"/>
      <c r="I112" s="883">
        <f t="shared" si="48"/>
        <v>0</v>
      </c>
      <c r="J112" s="905"/>
      <c r="K112" s="884">
        <f t="shared" si="42"/>
        <v>579569.50358623441</v>
      </c>
      <c r="L112" s="890"/>
      <c r="M112" s="905"/>
      <c r="N112" s="815">
        <f t="shared" si="52"/>
        <v>-138436.32649924399</v>
      </c>
      <c r="O112" s="884">
        <f t="shared" si="49"/>
        <v>-138436.32649924399</v>
      </c>
      <c r="P112" s="891">
        <f t="shared" si="50"/>
        <v>441133.17708699044</v>
      </c>
      <c r="Q112" s="892">
        <f t="shared" si="51"/>
        <v>-19590046.202723205</v>
      </c>
      <c r="R112" s="893">
        <f t="shared" si="53"/>
        <v>-19148913.025636215</v>
      </c>
      <c r="S112" s="894">
        <f t="shared" si="44"/>
        <v>19148913.025636215</v>
      </c>
      <c r="T112" s="894">
        <f t="shared" si="45"/>
        <v>135318.98538116258</v>
      </c>
      <c r="AP112" s="878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 thickTop="1" thickBot="1">
      <c r="B113" s="913">
        <f t="shared" si="40"/>
        <v>11</v>
      </c>
      <c r="C113" s="905"/>
      <c r="D113" s="815">
        <f t="shared" si="46"/>
        <v>490883.53984737361</v>
      </c>
      <c r="E113" s="815">
        <f t="shared" si="41"/>
        <v>88685.96373886081</v>
      </c>
      <c r="F113" s="905"/>
      <c r="G113" s="883">
        <f t="shared" si="47"/>
        <v>0</v>
      </c>
      <c r="H113" s="905"/>
      <c r="I113" s="883">
        <f t="shared" si="48"/>
        <v>0</v>
      </c>
      <c r="J113" s="905"/>
      <c r="K113" s="884">
        <f t="shared" si="42"/>
        <v>579569.50358623441</v>
      </c>
      <c r="L113" s="890"/>
      <c r="M113" s="905"/>
      <c r="N113" s="815">
        <f t="shared" si="52"/>
        <v>-135318.98538116258</v>
      </c>
      <c r="O113" s="884">
        <f>L113+M113+N113</f>
        <v>-135318.98538116258</v>
      </c>
      <c r="P113" s="891">
        <f>K113+O113</f>
        <v>444250.5182050718</v>
      </c>
      <c r="Q113" s="892">
        <f t="shared" si="51"/>
        <v>-19148913.025636215</v>
      </c>
      <c r="R113" s="893">
        <f t="shared" si="53"/>
        <v>-18704662.507431142</v>
      </c>
      <c r="S113" s="894">
        <f t="shared" si="44"/>
        <v>18704662.507431142</v>
      </c>
      <c r="T113" s="894">
        <f t="shared" si="45"/>
        <v>132179.6150525134</v>
      </c>
      <c r="AP113" s="878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 thickTop="1" thickBot="1">
      <c r="B114" s="913">
        <f t="shared" si="40"/>
        <v>12</v>
      </c>
      <c r="C114" s="905"/>
      <c r="D114" s="815">
        <f t="shared" si="46"/>
        <v>490883.53984737361</v>
      </c>
      <c r="E114" s="815">
        <f t="shared" si="41"/>
        <v>88685.96373886081</v>
      </c>
      <c r="F114" s="905"/>
      <c r="G114" s="883">
        <f t="shared" si="47"/>
        <v>0</v>
      </c>
      <c r="H114" s="905"/>
      <c r="I114" s="883">
        <f t="shared" si="48"/>
        <v>0</v>
      </c>
      <c r="J114" s="905"/>
      <c r="K114" s="884">
        <f t="shared" si="42"/>
        <v>579569.50358623441</v>
      </c>
      <c r="L114" s="890"/>
      <c r="M114" s="905"/>
      <c r="N114" s="815">
        <f t="shared" si="52"/>
        <v>-132179.6150525134</v>
      </c>
      <c r="O114" s="884">
        <f t="shared" si="49"/>
        <v>-132179.6150525134</v>
      </c>
      <c r="P114" s="891">
        <f t="shared" si="50"/>
        <v>447389.88853372098</v>
      </c>
      <c r="Q114" s="892">
        <f t="shared" si="51"/>
        <v>-18704662.507431142</v>
      </c>
      <c r="R114" s="893">
        <f t="shared" si="53"/>
        <v>-18257272.618897419</v>
      </c>
      <c r="S114" s="894">
        <f t="shared" si="44"/>
        <v>18257272.618897419</v>
      </c>
      <c r="T114" s="894">
        <f t="shared" si="45"/>
        <v>129018.05984020843</v>
      </c>
      <c r="AP114" s="878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 thickTop="1" thickBot="1">
      <c r="B115" s="913">
        <f t="shared" si="40"/>
        <v>13</v>
      </c>
      <c r="C115" s="905"/>
      <c r="D115" s="815">
        <f t="shared" si="46"/>
        <v>490883.53984737361</v>
      </c>
      <c r="E115" s="815">
        <f t="shared" si="41"/>
        <v>88685.96373886081</v>
      </c>
      <c r="F115" s="905"/>
      <c r="G115" s="883">
        <f t="shared" si="47"/>
        <v>0</v>
      </c>
      <c r="H115" s="905"/>
      <c r="I115" s="883">
        <f t="shared" si="48"/>
        <v>0</v>
      </c>
      <c r="J115" s="905"/>
      <c r="K115" s="884">
        <f t="shared" si="42"/>
        <v>579569.50358623441</v>
      </c>
      <c r="L115" s="890"/>
      <c r="M115" s="905"/>
      <c r="N115" s="815">
        <f t="shared" si="52"/>
        <v>-129018.05984020843</v>
      </c>
      <c r="O115" s="884">
        <f t="shared" si="49"/>
        <v>-129018.05984020843</v>
      </c>
      <c r="P115" s="891">
        <f t="shared" si="50"/>
        <v>450551.44374602597</v>
      </c>
      <c r="Q115" s="892">
        <f t="shared" si="51"/>
        <v>-18257272.618897419</v>
      </c>
      <c r="R115" s="893">
        <f t="shared" si="53"/>
        <v>-17806721.175151393</v>
      </c>
      <c r="S115" s="894">
        <f t="shared" si="44"/>
        <v>17806721.175151393</v>
      </c>
      <c r="T115" s="894">
        <f t="shared" si="45"/>
        <v>125834.16297106985</v>
      </c>
      <c r="AP115" s="878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 thickTop="1" thickBot="1">
      <c r="B116" s="913">
        <f t="shared" si="40"/>
        <v>14</v>
      </c>
      <c r="C116" s="905"/>
      <c r="D116" s="815">
        <f t="shared" si="46"/>
        <v>490883.53984737361</v>
      </c>
      <c r="E116" s="815">
        <f t="shared" si="41"/>
        <v>88685.96373886081</v>
      </c>
      <c r="F116" s="905"/>
      <c r="G116" s="883">
        <f t="shared" si="47"/>
        <v>0</v>
      </c>
      <c r="H116" s="905"/>
      <c r="I116" s="883">
        <f t="shared" si="48"/>
        <v>0</v>
      </c>
      <c r="J116" s="905"/>
      <c r="K116" s="884">
        <f t="shared" si="42"/>
        <v>579569.50358623441</v>
      </c>
      <c r="L116" s="890"/>
      <c r="M116" s="905"/>
      <c r="N116" s="815">
        <f t="shared" si="52"/>
        <v>-125834.16297106985</v>
      </c>
      <c r="O116" s="884">
        <f t="shared" si="49"/>
        <v>-125834.16297106985</v>
      </c>
      <c r="P116" s="891">
        <f t="shared" si="50"/>
        <v>453735.34061516455</v>
      </c>
      <c r="Q116" s="892">
        <f t="shared" si="51"/>
        <v>-17806721.175151393</v>
      </c>
      <c r="R116" s="893">
        <f t="shared" si="53"/>
        <v>-17352985.834536228</v>
      </c>
      <c r="S116" s="894">
        <f t="shared" si="44"/>
        <v>17352985.834536228</v>
      </c>
      <c r="T116" s="894">
        <f t="shared" si="45"/>
        <v>122627.766564056</v>
      </c>
      <c r="AP116" s="878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 thickTop="1" thickBot="1">
      <c r="B117" s="913">
        <f t="shared" si="40"/>
        <v>15</v>
      </c>
      <c r="C117" s="905"/>
      <c r="D117" s="815">
        <f t="shared" si="46"/>
        <v>490883.53984737361</v>
      </c>
      <c r="E117" s="815">
        <f t="shared" si="41"/>
        <v>88685.96373886081</v>
      </c>
      <c r="F117" s="905"/>
      <c r="G117" s="883">
        <f t="shared" si="47"/>
        <v>0</v>
      </c>
      <c r="H117" s="905"/>
      <c r="I117" s="883">
        <f t="shared" si="48"/>
        <v>0</v>
      </c>
      <c r="J117" s="905"/>
      <c r="K117" s="884">
        <f t="shared" si="42"/>
        <v>579569.50358623441</v>
      </c>
      <c r="L117" s="890"/>
      <c r="M117" s="905"/>
      <c r="N117" s="815">
        <f t="shared" si="52"/>
        <v>-122627.766564056</v>
      </c>
      <c r="O117" s="884">
        <f t="shared" si="49"/>
        <v>-122627.766564056</v>
      </c>
      <c r="P117" s="891">
        <f t="shared" si="50"/>
        <v>456941.73702217842</v>
      </c>
      <c r="Q117" s="892">
        <f t="shared" si="51"/>
        <v>-17352985.834536228</v>
      </c>
      <c r="R117" s="893">
        <f t="shared" si="53"/>
        <v>-16896044.097514048</v>
      </c>
      <c r="S117" s="894">
        <f t="shared" si="44"/>
        <v>16896044.097514048</v>
      </c>
      <c r="T117" s="894">
        <f t="shared" si="45"/>
        <v>119398.71162243262</v>
      </c>
      <c r="AP117" s="878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 thickTop="1" thickBot="1">
      <c r="B118" s="913">
        <f t="shared" si="40"/>
        <v>16</v>
      </c>
      <c r="C118" s="905"/>
      <c r="D118" s="815">
        <f t="shared" si="46"/>
        <v>490883.53984737361</v>
      </c>
      <c r="E118" s="815">
        <f t="shared" si="41"/>
        <v>88685.96373886081</v>
      </c>
      <c r="F118" s="905"/>
      <c r="G118" s="883">
        <f t="shared" si="47"/>
        <v>0</v>
      </c>
      <c r="H118" s="905"/>
      <c r="I118" s="883">
        <f t="shared" si="48"/>
        <v>0</v>
      </c>
      <c r="J118" s="905"/>
      <c r="K118" s="884">
        <f t="shared" si="42"/>
        <v>579569.50358623441</v>
      </c>
      <c r="L118" s="890"/>
      <c r="M118" s="905"/>
      <c r="N118" s="815">
        <f t="shared" si="52"/>
        <v>-119398.71162243262</v>
      </c>
      <c r="O118" s="884">
        <f t="shared" si="49"/>
        <v>-119398.71162243262</v>
      </c>
      <c r="P118" s="891">
        <f t="shared" si="50"/>
        <v>460170.79196380178</v>
      </c>
      <c r="Q118" s="892">
        <f t="shared" si="51"/>
        <v>-16896044.097514048</v>
      </c>
      <c r="R118" s="893">
        <f t="shared" si="53"/>
        <v>-16435873.305550246</v>
      </c>
      <c r="S118" s="894">
        <f t="shared" si="44"/>
        <v>16435873.305550246</v>
      </c>
      <c r="T118" s="894">
        <f t="shared" si="45"/>
        <v>116146.83802588841</v>
      </c>
      <c r="AP118" s="878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 thickTop="1" thickBot="1">
      <c r="B119" s="913">
        <f t="shared" si="40"/>
        <v>17</v>
      </c>
      <c r="C119" s="905"/>
      <c r="D119" s="815">
        <f t="shared" si="46"/>
        <v>490883.53984737361</v>
      </c>
      <c r="E119" s="815">
        <f t="shared" si="41"/>
        <v>88685.96373886081</v>
      </c>
      <c r="F119" s="905"/>
      <c r="G119" s="883">
        <f t="shared" si="47"/>
        <v>0</v>
      </c>
      <c r="H119" s="905"/>
      <c r="I119" s="883">
        <f t="shared" si="48"/>
        <v>0</v>
      </c>
      <c r="J119" s="905"/>
      <c r="K119" s="884">
        <f t="shared" si="42"/>
        <v>579569.50358623441</v>
      </c>
      <c r="L119" s="890"/>
      <c r="M119" s="905"/>
      <c r="N119" s="815">
        <f t="shared" si="52"/>
        <v>-116146.83802588841</v>
      </c>
      <c r="O119" s="884">
        <f t="shared" si="49"/>
        <v>-116146.83802588841</v>
      </c>
      <c r="P119" s="891">
        <f t="shared" si="50"/>
        <v>463422.66556034598</v>
      </c>
      <c r="Q119" s="892">
        <f t="shared" si="51"/>
        <v>-16435873.305550246</v>
      </c>
      <c r="R119" s="893">
        <f t="shared" si="53"/>
        <v>-15972450.639989899</v>
      </c>
      <c r="S119" s="894">
        <f t="shared" si="44"/>
        <v>15972450.639989899</v>
      </c>
      <c r="T119" s="894">
        <f t="shared" si="45"/>
        <v>112871.98452259529</v>
      </c>
      <c r="AP119" s="878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 thickTop="1" thickBot="1">
      <c r="B120" s="913">
        <f t="shared" si="40"/>
        <v>18</v>
      </c>
      <c r="C120" s="905"/>
      <c r="D120" s="815">
        <f t="shared" si="46"/>
        <v>490883.53984737361</v>
      </c>
      <c r="E120" s="815">
        <f t="shared" si="41"/>
        <v>88685.96373886081</v>
      </c>
      <c r="F120" s="905"/>
      <c r="G120" s="883">
        <f t="shared" si="47"/>
        <v>0</v>
      </c>
      <c r="H120" s="905"/>
      <c r="I120" s="883">
        <f t="shared" si="48"/>
        <v>0</v>
      </c>
      <c r="J120" s="905"/>
      <c r="K120" s="884">
        <f t="shared" si="42"/>
        <v>579569.50358623441</v>
      </c>
      <c r="L120" s="890"/>
      <c r="M120" s="905"/>
      <c r="N120" s="815">
        <f t="shared" si="52"/>
        <v>-112871.98452259529</v>
      </c>
      <c r="O120" s="884">
        <f t="shared" si="49"/>
        <v>-112871.98452259529</v>
      </c>
      <c r="P120" s="891">
        <f t="shared" si="50"/>
        <v>466697.51906363911</v>
      </c>
      <c r="Q120" s="892">
        <f t="shared" si="51"/>
        <v>-15972450.639989899</v>
      </c>
      <c r="R120" s="893">
        <f t="shared" si="53"/>
        <v>-15505753.120926261</v>
      </c>
      <c r="S120" s="894">
        <f t="shared" si="44"/>
        <v>15505753.120926261</v>
      </c>
      <c r="T120" s="894">
        <f t="shared" si="45"/>
        <v>109573.98872121224</v>
      </c>
      <c r="AP120" s="878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 thickTop="1" thickBot="1">
      <c r="B121" s="913">
        <f t="shared" si="40"/>
        <v>19</v>
      </c>
      <c r="C121" s="905"/>
      <c r="D121" s="815">
        <f t="shared" si="46"/>
        <v>490883.53984737361</v>
      </c>
      <c r="E121" s="815">
        <f t="shared" si="41"/>
        <v>88685.96373886081</v>
      </c>
      <c r="F121" s="905"/>
      <c r="G121" s="883">
        <f t="shared" si="47"/>
        <v>0</v>
      </c>
      <c r="H121" s="905"/>
      <c r="I121" s="883">
        <f t="shared" si="48"/>
        <v>0</v>
      </c>
      <c r="J121" s="905"/>
      <c r="K121" s="884">
        <f t="shared" si="42"/>
        <v>579569.50358623441</v>
      </c>
      <c r="L121" s="890"/>
      <c r="M121" s="905"/>
      <c r="N121" s="815">
        <f t="shared" si="52"/>
        <v>-109573.98872121224</v>
      </c>
      <c r="O121" s="884">
        <f t="shared" si="49"/>
        <v>-109573.98872121224</v>
      </c>
      <c r="P121" s="891">
        <f t="shared" si="50"/>
        <v>469995.51486502215</v>
      </c>
      <c r="Q121" s="892">
        <f t="shared" si="51"/>
        <v>-15505753.120926261</v>
      </c>
      <c r="R121" s="893">
        <f t="shared" si="53"/>
        <v>-15035757.606061239</v>
      </c>
      <c r="S121" s="894">
        <f t="shared" si="44"/>
        <v>15035757.606061239</v>
      </c>
      <c r="T121" s="894">
        <f t="shared" si="45"/>
        <v>106252.68708283275</v>
      </c>
      <c r="AP121" s="878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 thickTop="1" thickBot="1">
      <c r="B122" s="913">
        <f t="shared" si="40"/>
        <v>20</v>
      </c>
      <c r="C122" s="905"/>
      <c r="D122" s="815">
        <f t="shared" si="46"/>
        <v>490883.53984737361</v>
      </c>
      <c r="E122" s="815">
        <f t="shared" si="41"/>
        <v>88685.96373886081</v>
      </c>
      <c r="F122" s="905"/>
      <c r="G122" s="883">
        <f t="shared" si="47"/>
        <v>0</v>
      </c>
      <c r="H122" s="905"/>
      <c r="I122" s="883">
        <f t="shared" si="48"/>
        <v>0</v>
      </c>
      <c r="J122" s="905"/>
      <c r="K122" s="884">
        <f t="shared" si="42"/>
        <v>579569.50358623441</v>
      </c>
      <c r="L122" s="890"/>
      <c r="M122" s="905"/>
      <c r="N122" s="815">
        <f t="shared" si="52"/>
        <v>-106252.68708283275</v>
      </c>
      <c r="O122" s="884">
        <f t="shared" si="49"/>
        <v>-106252.68708283275</v>
      </c>
      <c r="P122" s="891">
        <f t="shared" si="50"/>
        <v>473316.81650340167</v>
      </c>
      <c r="Q122" s="892">
        <f t="shared" si="51"/>
        <v>-15035757.606061239</v>
      </c>
      <c r="R122" s="893">
        <f t="shared" si="53"/>
        <v>-14562440.789557837</v>
      </c>
      <c r="S122" s="894">
        <f t="shared" si="44"/>
        <v>14562440.789557837</v>
      </c>
      <c r="T122" s="894">
        <f t="shared" si="45"/>
        <v>102907.91491287538</v>
      </c>
      <c r="AP122" s="878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 thickTop="1" thickBot="1">
      <c r="B123" s="913">
        <f t="shared" si="40"/>
        <v>21</v>
      </c>
      <c r="C123" s="905"/>
      <c r="D123" s="815">
        <f t="shared" si="46"/>
        <v>490883.53984737361</v>
      </c>
      <c r="E123" s="815">
        <f t="shared" si="41"/>
        <v>88685.96373886081</v>
      </c>
      <c r="F123" s="905"/>
      <c r="G123" s="883">
        <f t="shared" si="47"/>
        <v>0</v>
      </c>
      <c r="H123" s="905"/>
      <c r="I123" s="883">
        <f t="shared" si="48"/>
        <v>0</v>
      </c>
      <c r="J123" s="905"/>
      <c r="K123" s="884">
        <f t="shared" si="42"/>
        <v>579569.50358623441</v>
      </c>
      <c r="L123" s="890"/>
      <c r="M123" s="905"/>
      <c r="N123" s="815">
        <f t="shared" si="52"/>
        <v>-102907.91491287538</v>
      </c>
      <c r="O123" s="884">
        <f t="shared" si="49"/>
        <v>-102907.91491287538</v>
      </c>
      <c r="P123" s="891">
        <f t="shared" si="50"/>
        <v>476661.58867335902</v>
      </c>
      <c r="Q123" s="892">
        <f t="shared" si="51"/>
        <v>-14562440.789557837</v>
      </c>
      <c r="R123" s="893">
        <f t="shared" si="53"/>
        <v>-14085779.200884478</v>
      </c>
      <c r="S123" s="894">
        <f t="shared" si="44"/>
        <v>14085779.200884478</v>
      </c>
      <c r="T123" s="894">
        <f t="shared" si="45"/>
        <v>99539.506352916986</v>
      </c>
      <c r="AP123" s="878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 thickTop="1" thickBot="1">
      <c r="B124" s="913">
        <f t="shared" si="40"/>
        <v>22</v>
      </c>
      <c r="C124" s="905"/>
      <c r="D124" s="815">
        <f t="shared" si="46"/>
        <v>490883.53984737361</v>
      </c>
      <c r="E124" s="815">
        <f t="shared" si="41"/>
        <v>88685.96373886081</v>
      </c>
      <c r="F124" s="905"/>
      <c r="G124" s="883">
        <f t="shared" si="47"/>
        <v>0</v>
      </c>
      <c r="H124" s="905"/>
      <c r="I124" s="883">
        <f t="shared" si="48"/>
        <v>0</v>
      </c>
      <c r="J124" s="905"/>
      <c r="K124" s="884">
        <f t="shared" si="42"/>
        <v>579569.50358623441</v>
      </c>
      <c r="L124" s="890"/>
      <c r="M124" s="905"/>
      <c r="N124" s="815">
        <f t="shared" si="52"/>
        <v>-99539.506352916986</v>
      </c>
      <c r="O124" s="884">
        <f t="shared" si="49"/>
        <v>-99539.506352916986</v>
      </c>
      <c r="P124" s="891">
        <f t="shared" si="50"/>
        <v>480029.99723331741</v>
      </c>
      <c r="Q124" s="892">
        <f t="shared" si="51"/>
        <v>-14085779.200884478</v>
      </c>
      <c r="R124" s="893">
        <f t="shared" si="53"/>
        <v>-13605749.20365116</v>
      </c>
      <c r="S124" s="894">
        <f t="shared" si="44"/>
        <v>13605749.20365116</v>
      </c>
      <c r="T124" s="894">
        <f t="shared" si="45"/>
        <v>96147.294372468197</v>
      </c>
      <c r="AP124" s="878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 thickTop="1" thickBot="1">
      <c r="B125" s="913">
        <f t="shared" si="40"/>
        <v>23</v>
      </c>
      <c r="C125" s="905"/>
      <c r="D125" s="815">
        <f t="shared" si="46"/>
        <v>490883.53984737361</v>
      </c>
      <c r="E125" s="815">
        <f t="shared" si="41"/>
        <v>88685.96373886081</v>
      </c>
      <c r="F125" s="905"/>
      <c r="G125" s="883">
        <f t="shared" si="47"/>
        <v>0</v>
      </c>
      <c r="H125" s="905"/>
      <c r="I125" s="883">
        <f t="shared" si="48"/>
        <v>0</v>
      </c>
      <c r="J125" s="905"/>
      <c r="K125" s="884">
        <f t="shared" si="42"/>
        <v>579569.50358623441</v>
      </c>
      <c r="L125" s="890"/>
      <c r="M125" s="905"/>
      <c r="N125" s="815">
        <f t="shared" si="52"/>
        <v>-96147.294372468197</v>
      </c>
      <c r="O125" s="884">
        <f t="shared" si="49"/>
        <v>-96147.294372468197</v>
      </c>
      <c r="P125" s="891">
        <f t="shared" si="50"/>
        <v>483422.20921376621</v>
      </c>
      <c r="Q125" s="892">
        <f t="shared" si="51"/>
        <v>-13605749.20365116</v>
      </c>
      <c r="R125" s="893">
        <f t="shared" si="53"/>
        <v>-13122326.994437395</v>
      </c>
      <c r="S125" s="894">
        <f t="shared" si="44"/>
        <v>13122326.994437395</v>
      </c>
      <c r="T125" s="894">
        <f t="shared" si="45"/>
        <v>92731.110760690921</v>
      </c>
      <c r="AP125" s="878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 thickTop="1" thickBot="1">
      <c r="B126" s="913">
        <f t="shared" si="40"/>
        <v>24</v>
      </c>
      <c r="C126" s="905"/>
      <c r="D126" s="815">
        <f t="shared" si="46"/>
        <v>490883.53984737361</v>
      </c>
      <c r="E126" s="815">
        <f t="shared" si="41"/>
        <v>88685.96373886081</v>
      </c>
      <c r="F126" s="905"/>
      <c r="G126" s="883">
        <f t="shared" si="47"/>
        <v>0</v>
      </c>
      <c r="H126" s="905"/>
      <c r="I126" s="883">
        <f t="shared" si="48"/>
        <v>0</v>
      </c>
      <c r="J126" s="905"/>
      <c r="K126" s="884">
        <f t="shared" si="42"/>
        <v>579569.50358623441</v>
      </c>
      <c r="L126" s="890"/>
      <c r="M126" s="905"/>
      <c r="N126" s="815">
        <f t="shared" si="52"/>
        <v>-92731.110760690921</v>
      </c>
      <c r="O126" s="884">
        <f t="shared" si="49"/>
        <v>-92731.110760690921</v>
      </c>
      <c r="P126" s="891">
        <f t="shared" si="50"/>
        <v>486838.39282554347</v>
      </c>
      <c r="Q126" s="892">
        <f t="shared" si="51"/>
        <v>-13122326.994437395</v>
      </c>
      <c r="R126" s="893">
        <f t="shared" si="53"/>
        <v>-12635488.601611851</v>
      </c>
      <c r="S126" s="894">
        <f t="shared" si="44"/>
        <v>12635488.601611851</v>
      </c>
      <c r="T126" s="894">
        <f t="shared" si="45"/>
        <v>89290.786118057076</v>
      </c>
      <c r="AP126" s="878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 thickTop="1" thickBot="1">
      <c r="B127" s="913">
        <f t="shared" si="40"/>
        <v>25</v>
      </c>
      <c r="C127" s="905"/>
      <c r="D127" s="815">
        <f t="shared" si="46"/>
        <v>490883.53984737361</v>
      </c>
      <c r="E127" s="815">
        <f t="shared" si="41"/>
        <v>88685.96373886081</v>
      </c>
      <c r="F127" s="905"/>
      <c r="G127" s="883">
        <f t="shared" si="47"/>
        <v>0</v>
      </c>
      <c r="H127" s="905"/>
      <c r="I127" s="883">
        <f t="shared" si="48"/>
        <v>0</v>
      </c>
      <c r="J127" s="905"/>
      <c r="K127" s="884">
        <f t="shared" si="42"/>
        <v>579569.50358623441</v>
      </c>
      <c r="L127" s="890"/>
      <c r="M127" s="905"/>
      <c r="N127" s="815">
        <f t="shared" si="52"/>
        <v>-89290.786118057076</v>
      </c>
      <c r="O127" s="884">
        <f t="shared" si="49"/>
        <v>-89290.786118057076</v>
      </c>
      <c r="P127" s="891">
        <f t="shared" si="50"/>
        <v>490278.71746817732</v>
      </c>
      <c r="Q127" s="892">
        <f t="shared" si="51"/>
        <v>-12635488.601611851</v>
      </c>
      <c r="R127" s="893">
        <f t="shared" si="53"/>
        <v>-12145209.884143673</v>
      </c>
      <c r="S127" s="894">
        <f t="shared" si="44"/>
        <v>12145209.884143673</v>
      </c>
      <c r="T127" s="894">
        <f t="shared" si="45"/>
        <v>85826.149847948618</v>
      </c>
      <c r="AP127" s="878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 thickTop="1" thickBot="1">
      <c r="B128" s="913">
        <f t="shared" si="40"/>
        <v>26</v>
      </c>
      <c r="C128" s="905"/>
      <c r="D128" s="815">
        <f t="shared" si="46"/>
        <v>490883.53984737361</v>
      </c>
      <c r="E128" s="815">
        <f t="shared" si="41"/>
        <v>88685.96373886081</v>
      </c>
      <c r="F128" s="905"/>
      <c r="G128" s="883">
        <f t="shared" si="47"/>
        <v>0</v>
      </c>
      <c r="H128" s="905"/>
      <c r="I128" s="883">
        <f t="shared" si="48"/>
        <v>0</v>
      </c>
      <c r="J128" s="905"/>
      <c r="K128" s="884">
        <f t="shared" si="42"/>
        <v>579569.50358623441</v>
      </c>
      <c r="L128" s="890"/>
      <c r="M128" s="905"/>
      <c r="N128" s="815">
        <f t="shared" si="52"/>
        <v>-85826.149847948618</v>
      </c>
      <c r="O128" s="884">
        <f t="shared" si="49"/>
        <v>-85826.149847948618</v>
      </c>
      <c r="P128" s="891">
        <f t="shared" si="50"/>
        <v>493743.35373828578</v>
      </c>
      <c r="Q128" s="892">
        <f t="shared" si="51"/>
        <v>-12145209.884143673</v>
      </c>
      <c r="R128" s="893">
        <f t="shared" si="53"/>
        <v>-11651466.530405387</v>
      </c>
      <c r="S128" s="894">
        <f t="shared" si="44"/>
        <v>11651466.530405387</v>
      </c>
      <c r="T128" s="894">
        <f t="shared" si="45"/>
        <v>82337.030148198071</v>
      </c>
      <c r="AP128" s="878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 thickTop="1" thickBot="1">
      <c r="B129" s="913">
        <f t="shared" si="40"/>
        <v>27</v>
      </c>
      <c r="C129" s="905"/>
      <c r="D129" s="815">
        <f t="shared" si="46"/>
        <v>490883.53984737361</v>
      </c>
      <c r="E129" s="815">
        <f t="shared" si="41"/>
        <v>88685.96373886081</v>
      </c>
      <c r="F129" s="905"/>
      <c r="G129" s="883">
        <f t="shared" si="47"/>
        <v>0</v>
      </c>
      <c r="H129" s="905"/>
      <c r="I129" s="883">
        <f t="shared" si="48"/>
        <v>0</v>
      </c>
      <c r="J129" s="905"/>
      <c r="K129" s="884">
        <f t="shared" si="42"/>
        <v>579569.50358623441</v>
      </c>
      <c r="L129" s="890"/>
      <c r="M129" s="905"/>
      <c r="N129" s="815">
        <f t="shared" si="52"/>
        <v>-82337.030148198071</v>
      </c>
      <c r="O129" s="884">
        <f t="shared" si="49"/>
        <v>-82337.030148198071</v>
      </c>
      <c r="P129" s="891">
        <f t="shared" si="50"/>
        <v>497232.47343803634</v>
      </c>
      <c r="Q129" s="892">
        <f t="shared" si="51"/>
        <v>-11651466.530405387</v>
      </c>
      <c r="R129" s="893">
        <f t="shared" si="53"/>
        <v>-11154234.056967352</v>
      </c>
      <c r="S129" s="894">
        <f t="shared" si="44"/>
        <v>11154234.056967352</v>
      </c>
      <c r="T129" s="894">
        <f t="shared" si="45"/>
        <v>78823.254002569287</v>
      </c>
      <c r="AP129" s="878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 thickTop="1" thickBot="1">
      <c r="B130" s="913">
        <f t="shared" si="40"/>
        <v>28</v>
      </c>
      <c r="C130" s="905"/>
      <c r="D130" s="815">
        <f t="shared" si="46"/>
        <v>490883.53984737361</v>
      </c>
      <c r="E130" s="815">
        <f t="shared" si="41"/>
        <v>88685.96373886081</v>
      </c>
      <c r="F130" s="905"/>
      <c r="G130" s="883">
        <f t="shared" si="47"/>
        <v>0</v>
      </c>
      <c r="H130" s="905"/>
      <c r="I130" s="883">
        <f t="shared" si="48"/>
        <v>0</v>
      </c>
      <c r="J130" s="905"/>
      <c r="K130" s="884">
        <f t="shared" si="42"/>
        <v>579569.50358623441</v>
      </c>
      <c r="L130" s="890"/>
      <c r="M130" s="905"/>
      <c r="N130" s="815">
        <f t="shared" si="52"/>
        <v>-78823.254002569287</v>
      </c>
      <c r="O130" s="884">
        <f t="shared" si="49"/>
        <v>-78823.254002569287</v>
      </c>
      <c r="P130" s="891">
        <f t="shared" si="50"/>
        <v>500746.24958366511</v>
      </c>
      <c r="Q130" s="892">
        <f t="shared" si="51"/>
        <v>-11154234.056967352</v>
      </c>
      <c r="R130" s="893">
        <f t="shared" si="53"/>
        <v>-10653487.807383686</v>
      </c>
      <c r="S130" s="894">
        <f t="shared" si="44"/>
        <v>10653487.807383686</v>
      </c>
      <c r="T130" s="894">
        <f t="shared" si="45"/>
        <v>75284.647172178054</v>
      </c>
      <c r="AP130" s="878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 thickTop="1" thickBot="1">
      <c r="B131" s="913">
        <f t="shared" ref="B131:B162" si="54">B54</f>
        <v>29</v>
      </c>
      <c r="C131" s="905"/>
      <c r="D131" s="815">
        <f t="shared" si="46"/>
        <v>490883.53984737361</v>
      </c>
      <c r="E131" s="815">
        <f t="shared" si="41"/>
        <v>88685.96373886081</v>
      </c>
      <c r="F131" s="905"/>
      <c r="G131" s="883">
        <f t="shared" si="47"/>
        <v>0</v>
      </c>
      <c r="H131" s="905"/>
      <c r="I131" s="883">
        <f t="shared" si="48"/>
        <v>0</v>
      </c>
      <c r="J131" s="905"/>
      <c r="K131" s="884">
        <f t="shared" si="42"/>
        <v>579569.50358623441</v>
      </c>
      <c r="L131" s="890"/>
      <c r="M131" s="905"/>
      <c r="N131" s="815">
        <f t="shared" si="52"/>
        <v>-75284.647172178054</v>
      </c>
      <c r="O131" s="884">
        <f t="shared" si="49"/>
        <v>-75284.647172178054</v>
      </c>
      <c r="P131" s="891">
        <f t="shared" si="50"/>
        <v>504284.85641405638</v>
      </c>
      <c r="Q131" s="892">
        <f t="shared" si="51"/>
        <v>-10653487.807383686</v>
      </c>
      <c r="R131" s="893">
        <f t="shared" si="53"/>
        <v>-10149202.950969629</v>
      </c>
      <c r="S131" s="894">
        <f t="shared" ref="S131:S167" si="55">IF($R131&lt;0,$R131*-1,0)</f>
        <v>10149202.950969629</v>
      </c>
      <c r="T131" s="894">
        <f t="shared" si="45"/>
        <v>71721.034186852048</v>
      </c>
      <c r="AP131" s="878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 thickTop="1" thickBot="1">
      <c r="B132" s="913">
        <f t="shared" si="54"/>
        <v>30</v>
      </c>
      <c r="C132" s="905"/>
      <c r="D132" s="815">
        <f t="shared" si="46"/>
        <v>490883.53984737361</v>
      </c>
      <c r="E132" s="815">
        <f t="shared" si="41"/>
        <v>88685.96373886081</v>
      </c>
      <c r="F132" s="905"/>
      <c r="G132" s="883">
        <f t="shared" si="47"/>
        <v>0</v>
      </c>
      <c r="H132" s="905"/>
      <c r="I132" s="883">
        <f t="shared" si="48"/>
        <v>0</v>
      </c>
      <c r="J132" s="905"/>
      <c r="K132" s="884">
        <f t="shared" si="42"/>
        <v>579569.50358623441</v>
      </c>
      <c r="L132" s="890"/>
      <c r="M132" s="905"/>
      <c r="N132" s="815">
        <f>T131*-1</f>
        <v>-71721.034186852048</v>
      </c>
      <c r="O132" s="884">
        <f t="shared" si="49"/>
        <v>-71721.034186852048</v>
      </c>
      <c r="P132" s="891">
        <f t="shared" si="50"/>
        <v>507848.46939938236</v>
      </c>
      <c r="Q132" s="892">
        <f t="shared" si="51"/>
        <v>-10149202.950969629</v>
      </c>
      <c r="R132" s="893">
        <f t="shared" si="53"/>
        <v>-9641354.4815702476</v>
      </c>
      <c r="S132" s="894">
        <f t="shared" si="55"/>
        <v>9641354.4815702476</v>
      </c>
      <c r="T132" s="894">
        <f t="shared" si="45"/>
        <v>68132.238336429742</v>
      </c>
      <c r="AP132" s="878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 thickTop="1" thickBot="1">
      <c r="B133" s="913">
        <f t="shared" si="54"/>
        <v>31</v>
      </c>
      <c r="C133" s="905"/>
      <c r="D133" s="815">
        <f t="shared" si="46"/>
        <v>490883.53984737361</v>
      </c>
      <c r="E133" s="815">
        <f t="shared" si="41"/>
        <v>88685.96373886081</v>
      </c>
      <c r="F133" s="905"/>
      <c r="G133" s="883">
        <f t="shared" si="47"/>
        <v>0</v>
      </c>
      <c r="H133" s="905"/>
      <c r="I133" s="883">
        <f t="shared" si="48"/>
        <v>0</v>
      </c>
      <c r="J133" s="905"/>
      <c r="K133" s="884">
        <f t="shared" si="42"/>
        <v>579569.50358623441</v>
      </c>
      <c r="L133" s="890"/>
      <c r="M133" s="905"/>
      <c r="N133" s="815">
        <f t="shared" si="52"/>
        <v>-68132.238336429742</v>
      </c>
      <c r="O133" s="884">
        <f t="shared" si="49"/>
        <v>-68132.238336429742</v>
      </c>
      <c r="P133" s="891">
        <f>K133+O133</f>
        <v>511437.26524980465</v>
      </c>
      <c r="Q133" s="892">
        <f t="shared" si="51"/>
        <v>-9641354.4815702476</v>
      </c>
      <c r="R133" s="893">
        <f t="shared" si="53"/>
        <v>-9129917.216320442</v>
      </c>
      <c r="S133" s="894">
        <f t="shared" si="55"/>
        <v>9129917.216320442</v>
      </c>
      <c r="T133" s="894">
        <f t="shared" si="45"/>
        <v>64518.081661997792</v>
      </c>
      <c r="AP133" s="878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 thickTop="1" thickBot="1">
      <c r="B134" s="913">
        <f t="shared" si="54"/>
        <v>32</v>
      </c>
      <c r="C134" s="905"/>
      <c r="D134" s="815">
        <f t="shared" si="46"/>
        <v>490883.53984737361</v>
      </c>
      <c r="E134" s="815">
        <f t="shared" si="41"/>
        <v>88685.96373886081</v>
      </c>
      <c r="F134" s="905"/>
      <c r="G134" s="883">
        <f t="shared" si="47"/>
        <v>0</v>
      </c>
      <c r="H134" s="905"/>
      <c r="I134" s="883">
        <f t="shared" si="48"/>
        <v>0</v>
      </c>
      <c r="J134" s="905"/>
      <c r="K134" s="884">
        <f t="shared" si="42"/>
        <v>579569.50358623441</v>
      </c>
      <c r="L134" s="890"/>
      <c r="M134" s="905"/>
      <c r="N134" s="815">
        <f t="shared" si="52"/>
        <v>-64518.081661997792</v>
      </c>
      <c r="O134" s="884">
        <f t="shared" si="49"/>
        <v>-64518.081661997792</v>
      </c>
      <c r="P134" s="891">
        <f>K134+O134</f>
        <v>515051.42192423664</v>
      </c>
      <c r="Q134" s="892">
        <f t="shared" si="51"/>
        <v>-9129917.216320442</v>
      </c>
      <c r="R134" s="893">
        <f t="shared" si="53"/>
        <v>-8614865.7943962049</v>
      </c>
      <c r="S134" s="894">
        <f t="shared" si="55"/>
        <v>8614865.7943962049</v>
      </c>
      <c r="T134" s="894">
        <f t="shared" si="45"/>
        <v>60878.384947066515</v>
      </c>
      <c r="AP134" s="878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 thickTop="1" thickBot="1">
      <c r="B135" s="913">
        <f t="shared" si="54"/>
        <v>33</v>
      </c>
      <c r="C135" s="905"/>
      <c r="D135" s="815">
        <f t="shared" si="46"/>
        <v>490883.53984737361</v>
      </c>
      <c r="E135" s="815">
        <f t="shared" si="41"/>
        <v>88685.96373886081</v>
      </c>
      <c r="F135" s="905"/>
      <c r="G135" s="883">
        <f t="shared" si="47"/>
        <v>0</v>
      </c>
      <c r="H135" s="905"/>
      <c r="I135" s="883">
        <f t="shared" si="48"/>
        <v>0</v>
      </c>
      <c r="J135" s="905"/>
      <c r="K135" s="884">
        <f t="shared" si="42"/>
        <v>579569.50358623441</v>
      </c>
      <c r="L135" s="890"/>
      <c r="M135" s="905"/>
      <c r="N135" s="815">
        <f t="shared" si="52"/>
        <v>-60878.384947066515</v>
      </c>
      <c r="O135" s="884">
        <f t="shared" si="49"/>
        <v>-60878.384947066515</v>
      </c>
      <c r="P135" s="891">
        <f>K135+O135</f>
        <v>518691.11863916786</v>
      </c>
      <c r="Q135" s="892">
        <f t="shared" si="51"/>
        <v>-8614865.7943962049</v>
      </c>
      <c r="R135" s="893">
        <f t="shared" si="53"/>
        <v>-8096174.6757570375</v>
      </c>
      <c r="S135" s="894">
        <f t="shared" si="55"/>
        <v>8096174.6757570375</v>
      </c>
      <c r="T135" s="894">
        <f t="shared" si="45"/>
        <v>57212.967708683071</v>
      </c>
      <c r="AP135" s="878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 thickTop="1" thickBot="1">
      <c r="B136" s="913">
        <f t="shared" si="54"/>
        <v>34</v>
      </c>
      <c r="C136" s="905"/>
      <c r="D136" s="815">
        <f t="shared" si="46"/>
        <v>490883.53984737361</v>
      </c>
      <c r="E136" s="815">
        <f t="shared" si="41"/>
        <v>88685.96373886081</v>
      </c>
      <c r="F136" s="905"/>
      <c r="G136" s="883">
        <f t="shared" si="47"/>
        <v>0</v>
      </c>
      <c r="H136" s="905"/>
      <c r="I136" s="883">
        <f t="shared" si="48"/>
        <v>0</v>
      </c>
      <c r="J136" s="905"/>
      <c r="K136" s="884">
        <f t="shared" si="42"/>
        <v>579569.50358623441</v>
      </c>
      <c r="L136" s="890"/>
      <c r="M136" s="905"/>
      <c r="N136" s="815">
        <f t="shared" si="52"/>
        <v>-57212.967708683071</v>
      </c>
      <c r="O136" s="884">
        <f t="shared" si="49"/>
        <v>-57212.967708683071</v>
      </c>
      <c r="P136" s="891">
        <f>K136+O136</f>
        <v>522356.53587755136</v>
      </c>
      <c r="Q136" s="892">
        <f t="shared" si="51"/>
        <v>-8096174.6757570375</v>
      </c>
      <c r="R136" s="893">
        <f t="shared" si="53"/>
        <v>-7573818.1398794865</v>
      </c>
      <c r="S136" s="894">
        <f t="shared" si="55"/>
        <v>7573818.1398794865</v>
      </c>
      <c r="T136" s="894">
        <f t="shared" si="45"/>
        <v>53521.648188481711</v>
      </c>
      <c r="AP136" s="878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 thickTop="1" thickBot="1">
      <c r="B137" s="913">
        <f t="shared" si="54"/>
        <v>35</v>
      </c>
      <c r="C137" s="905"/>
      <c r="D137" s="815">
        <f t="shared" si="46"/>
        <v>490883.53984737361</v>
      </c>
      <c r="E137" s="815">
        <f t="shared" si="41"/>
        <v>88685.96373886081</v>
      </c>
      <c r="F137" s="905"/>
      <c r="G137" s="883">
        <f t="shared" si="47"/>
        <v>0</v>
      </c>
      <c r="H137" s="905"/>
      <c r="I137" s="883">
        <f t="shared" si="48"/>
        <v>0</v>
      </c>
      <c r="J137" s="905"/>
      <c r="K137" s="884">
        <f t="shared" si="42"/>
        <v>579569.50358623441</v>
      </c>
      <c r="L137" s="890"/>
      <c r="M137" s="905"/>
      <c r="N137" s="815">
        <f t="shared" si="52"/>
        <v>-53521.648188481711</v>
      </c>
      <c r="O137" s="884">
        <f t="shared" si="49"/>
        <v>-53521.648188481711</v>
      </c>
      <c r="P137" s="891">
        <f t="shared" si="50"/>
        <v>526047.85539775272</v>
      </c>
      <c r="Q137" s="892">
        <f t="shared" si="51"/>
        <v>-7573818.1398794865</v>
      </c>
      <c r="R137" s="893">
        <f t="shared" si="53"/>
        <v>-7047770.284481734</v>
      </c>
      <c r="S137" s="894">
        <f t="shared" si="55"/>
        <v>7047770.284481734</v>
      </c>
      <c r="T137" s="894">
        <f t="shared" si="45"/>
        <v>49804.243343670918</v>
      </c>
      <c r="AP137" s="878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 thickTop="1" thickBot="1">
      <c r="B138" s="913">
        <f t="shared" si="54"/>
        <v>36</v>
      </c>
      <c r="C138" s="905"/>
      <c r="D138" s="815">
        <f t="shared" si="46"/>
        <v>490883.53984737361</v>
      </c>
      <c r="E138" s="815">
        <f t="shared" si="41"/>
        <v>88685.96373886081</v>
      </c>
      <c r="F138" s="905"/>
      <c r="G138" s="883">
        <f t="shared" si="47"/>
        <v>0</v>
      </c>
      <c r="H138" s="905"/>
      <c r="I138" s="883">
        <f t="shared" si="48"/>
        <v>0</v>
      </c>
      <c r="J138" s="905"/>
      <c r="K138" s="884">
        <f t="shared" si="42"/>
        <v>579569.50358623441</v>
      </c>
      <c r="L138" s="890"/>
      <c r="M138" s="905"/>
      <c r="N138" s="815">
        <f>T137*-1</f>
        <v>-49804.243343670918</v>
      </c>
      <c r="O138" s="884">
        <f t="shared" si="49"/>
        <v>-49804.243343670918</v>
      </c>
      <c r="P138" s="891">
        <f>K138+O138</f>
        <v>529765.26024256344</v>
      </c>
      <c r="Q138" s="892">
        <f t="shared" si="51"/>
        <v>-7047770.284481734</v>
      </c>
      <c r="R138" s="893">
        <f t="shared" si="53"/>
        <v>-6518005.0242391704</v>
      </c>
      <c r="S138" s="894">
        <f t="shared" si="55"/>
        <v>6518005.0242391704</v>
      </c>
      <c r="T138" s="894">
        <f t="shared" si="45"/>
        <v>46060.568837956809</v>
      </c>
      <c r="AP138" s="878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 thickTop="1" thickBot="1">
      <c r="B139" s="913">
        <f t="shared" si="54"/>
        <v>37</v>
      </c>
      <c r="C139" s="905"/>
      <c r="D139" s="815">
        <f t="shared" si="46"/>
        <v>490883.53984737361</v>
      </c>
      <c r="E139" s="815">
        <f t="shared" si="41"/>
        <v>88685.96373886081</v>
      </c>
      <c r="F139" s="905"/>
      <c r="G139" s="883">
        <f t="shared" si="47"/>
        <v>0</v>
      </c>
      <c r="H139" s="905"/>
      <c r="I139" s="883">
        <f t="shared" si="48"/>
        <v>0</v>
      </c>
      <c r="J139" s="905"/>
      <c r="K139" s="884">
        <f t="shared" si="42"/>
        <v>579569.50358623441</v>
      </c>
      <c r="L139" s="890"/>
      <c r="M139" s="905"/>
      <c r="N139" s="815">
        <f t="shared" si="52"/>
        <v>-46060.568837956809</v>
      </c>
      <c r="O139" s="884">
        <f t="shared" si="49"/>
        <v>-46060.568837956809</v>
      </c>
      <c r="P139" s="891">
        <f>K139+O139</f>
        <v>533508.93474827765</v>
      </c>
      <c r="Q139" s="892">
        <f t="shared" si="51"/>
        <v>-6518005.0242391704</v>
      </c>
      <c r="R139" s="893">
        <f t="shared" si="53"/>
        <v>-5984496.0894908924</v>
      </c>
      <c r="S139" s="894">
        <f t="shared" si="55"/>
        <v>5984496.0894908924</v>
      </c>
      <c r="T139" s="894">
        <f t="shared" si="45"/>
        <v>42290.439032402304</v>
      </c>
      <c r="AP139" s="878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 thickTop="1" thickBot="1">
      <c r="B140" s="913">
        <f t="shared" si="54"/>
        <v>38</v>
      </c>
      <c r="C140" s="905"/>
      <c r="D140" s="815">
        <f t="shared" si="46"/>
        <v>490883.53984737361</v>
      </c>
      <c r="E140" s="815">
        <f t="shared" ref="E140:E167" si="56">AL63</f>
        <v>88685.96373886081</v>
      </c>
      <c r="F140" s="905"/>
      <c r="G140" s="883">
        <f t="shared" si="47"/>
        <v>0</v>
      </c>
      <c r="H140" s="905"/>
      <c r="I140" s="883">
        <f t="shared" si="48"/>
        <v>0</v>
      </c>
      <c r="J140" s="905"/>
      <c r="K140" s="884">
        <f t="shared" si="42"/>
        <v>579569.50358623441</v>
      </c>
      <c r="L140" s="890"/>
      <c r="M140" s="905"/>
      <c r="N140" s="815">
        <f t="shared" si="52"/>
        <v>-42290.439032402304</v>
      </c>
      <c r="O140" s="884">
        <f t="shared" si="49"/>
        <v>-42290.439032402304</v>
      </c>
      <c r="P140" s="891">
        <f t="shared" si="50"/>
        <v>537279.06455383205</v>
      </c>
      <c r="Q140" s="892">
        <f>R139</f>
        <v>-5984496.0894908924</v>
      </c>
      <c r="R140" s="893">
        <f t="shared" si="53"/>
        <v>-5447217.0249370607</v>
      </c>
      <c r="S140" s="894">
        <f t="shared" si="55"/>
        <v>5447217.0249370607</v>
      </c>
      <c r="T140" s="894">
        <f t="shared" ref="T140:T167" si="57">$S140*$G$14*1/12</f>
        <v>38493.666976221895</v>
      </c>
      <c r="AP140" s="878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 thickTop="1" thickBot="1">
      <c r="B141" s="913">
        <f t="shared" si="54"/>
        <v>39</v>
      </c>
      <c r="C141" s="905"/>
      <c r="D141" s="815">
        <f t="shared" si="46"/>
        <v>490883.53984737361</v>
      </c>
      <c r="E141" s="815">
        <f t="shared" si="56"/>
        <v>88685.96373886081</v>
      </c>
      <c r="F141" s="905"/>
      <c r="G141" s="883">
        <f t="shared" si="47"/>
        <v>0</v>
      </c>
      <c r="H141" s="905"/>
      <c r="I141" s="883">
        <f t="shared" si="48"/>
        <v>0</v>
      </c>
      <c r="J141" s="905"/>
      <c r="K141" s="884">
        <f t="shared" si="42"/>
        <v>579569.50358623441</v>
      </c>
      <c r="L141" s="890"/>
      <c r="M141" s="905"/>
      <c r="N141" s="815">
        <f t="shared" si="52"/>
        <v>-38493.666976221895</v>
      </c>
      <c r="O141" s="884">
        <f t="shared" si="49"/>
        <v>-38493.666976221895</v>
      </c>
      <c r="P141" s="891">
        <f t="shared" si="50"/>
        <v>541075.83661001245</v>
      </c>
      <c r="Q141" s="892">
        <f t="shared" si="51"/>
        <v>-5447217.0249370607</v>
      </c>
      <c r="R141" s="893">
        <f t="shared" si="53"/>
        <v>-4906141.188327048</v>
      </c>
      <c r="S141" s="894">
        <f t="shared" si="55"/>
        <v>4906141.188327048</v>
      </c>
      <c r="T141" s="894">
        <f t="shared" si="57"/>
        <v>34670.064397511138</v>
      </c>
      <c r="AP141" s="878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 thickTop="1" thickBot="1">
      <c r="B142" s="913">
        <f t="shared" si="54"/>
        <v>40</v>
      </c>
      <c r="C142" s="905"/>
      <c r="D142" s="815">
        <f t="shared" si="46"/>
        <v>490883.53984737361</v>
      </c>
      <c r="E142" s="815">
        <f t="shared" si="56"/>
        <v>88685.96373886081</v>
      </c>
      <c r="F142" s="905"/>
      <c r="G142" s="883">
        <f t="shared" si="47"/>
        <v>0</v>
      </c>
      <c r="H142" s="905"/>
      <c r="I142" s="883">
        <f t="shared" si="48"/>
        <v>0</v>
      </c>
      <c r="J142" s="905"/>
      <c r="K142" s="884">
        <f t="shared" si="42"/>
        <v>579569.50358623441</v>
      </c>
      <c r="L142" s="890"/>
      <c r="M142" s="905"/>
      <c r="N142" s="815">
        <f t="shared" si="52"/>
        <v>-34670.064397511138</v>
      </c>
      <c r="O142" s="884">
        <f t="shared" si="49"/>
        <v>-34670.064397511138</v>
      </c>
      <c r="P142" s="891">
        <f t="shared" si="50"/>
        <v>544899.43918872322</v>
      </c>
      <c r="Q142" s="892">
        <f t="shared" si="51"/>
        <v>-4906141.188327048</v>
      </c>
      <c r="R142" s="893">
        <f t="shared" si="53"/>
        <v>-4361241.7491383245</v>
      </c>
      <c r="S142" s="894">
        <f t="shared" si="55"/>
        <v>4361241.7491383245</v>
      </c>
      <c r="T142" s="894">
        <f t="shared" si="57"/>
        <v>30819.441693910823</v>
      </c>
      <c r="AP142" s="878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 thickTop="1" thickBot="1">
      <c r="B143" s="913">
        <f t="shared" si="54"/>
        <v>41</v>
      </c>
      <c r="C143" s="905"/>
      <c r="D143" s="815">
        <f t="shared" si="46"/>
        <v>490883.53984737361</v>
      </c>
      <c r="E143" s="815">
        <f t="shared" si="56"/>
        <v>88685.96373886081</v>
      </c>
      <c r="F143" s="905"/>
      <c r="G143" s="883">
        <f t="shared" si="47"/>
        <v>0</v>
      </c>
      <c r="H143" s="905"/>
      <c r="I143" s="883">
        <f t="shared" si="48"/>
        <v>0</v>
      </c>
      <c r="J143" s="905"/>
      <c r="K143" s="884">
        <f t="shared" si="42"/>
        <v>579569.50358623441</v>
      </c>
      <c r="L143" s="890"/>
      <c r="M143" s="905"/>
      <c r="N143" s="815">
        <f t="shared" si="52"/>
        <v>-30819.441693910823</v>
      </c>
      <c r="O143" s="884">
        <f t="shared" si="49"/>
        <v>-30819.441693910823</v>
      </c>
      <c r="P143" s="891">
        <f t="shared" si="50"/>
        <v>548750.06189232355</v>
      </c>
      <c r="Q143" s="892">
        <f t="shared" si="51"/>
        <v>-4361241.7491383245</v>
      </c>
      <c r="R143" s="893">
        <f>P143+Q143</f>
        <v>-3812491.6872460009</v>
      </c>
      <c r="S143" s="894">
        <f t="shared" si="55"/>
        <v>3812491.6872460009</v>
      </c>
      <c r="T143" s="894">
        <f t="shared" si="57"/>
        <v>26941.607923205072</v>
      </c>
      <c r="AP143" s="878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 thickTop="1" thickBot="1">
      <c r="B144" s="913">
        <f t="shared" si="54"/>
        <v>42</v>
      </c>
      <c r="C144" s="905"/>
      <c r="D144" s="815">
        <f t="shared" si="46"/>
        <v>490883.53984737361</v>
      </c>
      <c r="E144" s="815">
        <f t="shared" si="56"/>
        <v>88685.96373886081</v>
      </c>
      <c r="F144" s="905"/>
      <c r="G144" s="883">
        <f t="shared" si="47"/>
        <v>0</v>
      </c>
      <c r="H144" s="905"/>
      <c r="I144" s="883">
        <f t="shared" si="48"/>
        <v>0</v>
      </c>
      <c r="J144" s="905"/>
      <c r="K144" s="884">
        <f t="shared" si="42"/>
        <v>579569.50358623441</v>
      </c>
      <c r="L144" s="890"/>
      <c r="M144" s="905"/>
      <c r="N144" s="815">
        <f t="shared" si="52"/>
        <v>-26941.607923205072</v>
      </c>
      <c r="O144" s="884">
        <f t="shared" si="49"/>
        <v>-26941.607923205072</v>
      </c>
      <c r="P144" s="891">
        <f t="shared" si="50"/>
        <v>552627.89566302928</v>
      </c>
      <c r="Q144" s="892">
        <f>R143</f>
        <v>-3812491.6872460009</v>
      </c>
      <c r="R144" s="893">
        <f t="shared" si="53"/>
        <v>-3259863.7915829718</v>
      </c>
      <c r="S144" s="894">
        <f t="shared" si="55"/>
        <v>3259863.7915829718</v>
      </c>
      <c r="T144" s="894">
        <f t="shared" si="57"/>
        <v>23036.370793852999</v>
      </c>
      <c r="AP144" s="878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 thickTop="1" thickBot="1">
      <c r="B145" s="913">
        <f t="shared" si="54"/>
        <v>43</v>
      </c>
      <c r="C145" s="905"/>
      <c r="D145" s="815">
        <f t="shared" si="46"/>
        <v>490883.53984737361</v>
      </c>
      <c r="E145" s="815">
        <f t="shared" si="56"/>
        <v>88685.96373886081</v>
      </c>
      <c r="F145" s="905"/>
      <c r="G145" s="883">
        <f t="shared" si="47"/>
        <v>0</v>
      </c>
      <c r="H145" s="905"/>
      <c r="I145" s="883">
        <f t="shared" si="48"/>
        <v>0</v>
      </c>
      <c r="J145" s="905"/>
      <c r="K145" s="884">
        <f t="shared" si="42"/>
        <v>579569.50358623441</v>
      </c>
      <c r="L145" s="890"/>
      <c r="M145" s="905"/>
      <c r="N145" s="815">
        <f t="shared" si="52"/>
        <v>-23036.370793852999</v>
      </c>
      <c r="O145" s="884">
        <f t="shared" si="49"/>
        <v>-23036.370793852999</v>
      </c>
      <c r="P145" s="891">
        <f t="shared" si="50"/>
        <v>556533.13279238145</v>
      </c>
      <c r="Q145" s="892">
        <f t="shared" si="51"/>
        <v>-3259863.7915829718</v>
      </c>
      <c r="R145" s="893">
        <f t="shared" si="53"/>
        <v>-2703330.6587905902</v>
      </c>
      <c r="S145" s="894">
        <f t="shared" si="55"/>
        <v>2703330.6587905902</v>
      </c>
      <c r="T145" s="894">
        <f t="shared" si="57"/>
        <v>19103.536655453503</v>
      </c>
      <c r="AP145" s="878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 thickTop="1" thickBot="1">
      <c r="B146" s="913">
        <f t="shared" si="54"/>
        <v>44</v>
      </c>
      <c r="C146" s="905"/>
      <c r="D146" s="815">
        <f t="shared" si="46"/>
        <v>490883.53984737361</v>
      </c>
      <c r="E146" s="815">
        <f t="shared" si="56"/>
        <v>88685.96373886081</v>
      </c>
      <c r="F146" s="905"/>
      <c r="G146" s="883">
        <f t="shared" si="47"/>
        <v>0</v>
      </c>
      <c r="H146" s="905"/>
      <c r="I146" s="883">
        <f t="shared" si="48"/>
        <v>0</v>
      </c>
      <c r="J146" s="905"/>
      <c r="K146" s="884">
        <f t="shared" si="42"/>
        <v>579569.50358623441</v>
      </c>
      <c r="L146" s="890"/>
      <c r="M146" s="905"/>
      <c r="N146" s="815">
        <f t="shared" si="52"/>
        <v>-19103.536655453503</v>
      </c>
      <c r="O146" s="884">
        <f t="shared" si="49"/>
        <v>-19103.536655453503</v>
      </c>
      <c r="P146" s="891">
        <f>K146+O146</f>
        <v>560465.96693078091</v>
      </c>
      <c r="Q146" s="892">
        <f>R145</f>
        <v>-2703330.6587905902</v>
      </c>
      <c r="R146" s="893">
        <f>P146+Q146</f>
        <v>-2142864.6918598092</v>
      </c>
      <c r="S146" s="894">
        <f t="shared" si="55"/>
        <v>2142864.6918598092</v>
      </c>
      <c r="T146" s="894">
        <f t="shared" si="57"/>
        <v>15142.910489142652</v>
      </c>
      <c r="AP146" s="878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 thickTop="1" thickBot="1">
      <c r="B147" s="913">
        <f t="shared" si="54"/>
        <v>45</v>
      </c>
      <c r="C147" s="905"/>
      <c r="D147" s="815">
        <f t="shared" si="46"/>
        <v>490883.53984737361</v>
      </c>
      <c r="E147" s="815">
        <f t="shared" si="56"/>
        <v>88685.96373886081</v>
      </c>
      <c r="F147" s="905"/>
      <c r="G147" s="883">
        <f t="shared" si="47"/>
        <v>0</v>
      </c>
      <c r="H147" s="905"/>
      <c r="I147" s="883">
        <f t="shared" si="48"/>
        <v>0</v>
      </c>
      <c r="J147" s="905"/>
      <c r="K147" s="884">
        <f t="shared" si="42"/>
        <v>579569.50358623441</v>
      </c>
      <c r="L147" s="890"/>
      <c r="M147" s="905"/>
      <c r="N147" s="815">
        <f t="shared" si="52"/>
        <v>-15142.910489142652</v>
      </c>
      <c r="O147" s="884">
        <f t="shared" si="49"/>
        <v>-15142.910489142652</v>
      </c>
      <c r="P147" s="891">
        <f t="shared" si="50"/>
        <v>564426.59309709177</v>
      </c>
      <c r="Q147" s="892">
        <f t="shared" si="51"/>
        <v>-2142864.6918598092</v>
      </c>
      <c r="R147" s="893">
        <f t="shared" si="53"/>
        <v>-1578438.0987627176</v>
      </c>
      <c r="S147" s="894">
        <f t="shared" si="55"/>
        <v>1578438.0987627176</v>
      </c>
      <c r="T147" s="894">
        <f t="shared" si="57"/>
        <v>11154.295897923204</v>
      </c>
      <c r="AP147" s="878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 thickTop="1" thickBot="1">
      <c r="B148" s="913">
        <f t="shared" si="54"/>
        <v>46</v>
      </c>
      <c r="C148" s="905"/>
      <c r="D148" s="815">
        <f t="shared" si="46"/>
        <v>490883.53984737361</v>
      </c>
      <c r="E148" s="815">
        <f t="shared" si="56"/>
        <v>88685.96373886081</v>
      </c>
      <c r="F148" s="905"/>
      <c r="G148" s="883">
        <f t="shared" si="47"/>
        <v>0</v>
      </c>
      <c r="H148" s="905"/>
      <c r="I148" s="883">
        <f t="shared" si="48"/>
        <v>0</v>
      </c>
      <c r="J148" s="905"/>
      <c r="K148" s="884">
        <f t="shared" si="42"/>
        <v>579569.50358623441</v>
      </c>
      <c r="L148" s="890"/>
      <c r="M148" s="905"/>
      <c r="N148" s="815">
        <f t="shared" si="52"/>
        <v>-11154.295897923204</v>
      </c>
      <c r="O148" s="884">
        <f t="shared" si="49"/>
        <v>-11154.295897923204</v>
      </c>
      <c r="P148" s="891">
        <f t="shared" si="50"/>
        <v>568415.20768831123</v>
      </c>
      <c r="Q148" s="892">
        <f t="shared" si="51"/>
        <v>-1578438.0987627176</v>
      </c>
      <c r="R148" s="893">
        <f t="shared" si="53"/>
        <v>-1010022.8910744063</v>
      </c>
      <c r="S148" s="894">
        <f t="shared" si="55"/>
        <v>1010022.8910744063</v>
      </c>
      <c r="T148" s="894">
        <f t="shared" si="57"/>
        <v>7137.4950969258052</v>
      </c>
      <c r="AP148" s="878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 thickTop="1" thickBot="1">
      <c r="B149" s="913">
        <f t="shared" si="54"/>
        <v>47</v>
      </c>
      <c r="C149" s="905"/>
      <c r="D149" s="815">
        <f t="shared" si="46"/>
        <v>490883.53984737361</v>
      </c>
      <c r="E149" s="815">
        <f t="shared" si="56"/>
        <v>88685.96373886081</v>
      </c>
      <c r="F149" s="905"/>
      <c r="G149" s="883">
        <f t="shared" si="47"/>
        <v>0</v>
      </c>
      <c r="H149" s="905"/>
      <c r="I149" s="883">
        <f t="shared" si="48"/>
        <v>0</v>
      </c>
      <c r="J149" s="905"/>
      <c r="K149" s="884">
        <f t="shared" si="42"/>
        <v>579569.50358623441</v>
      </c>
      <c r="L149" s="890"/>
      <c r="M149" s="905"/>
      <c r="N149" s="815">
        <f t="shared" si="52"/>
        <v>-7137.4950969258052</v>
      </c>
      <c r="O149" s="884">
        <f t="shared" si="49"/>
        <v>-7137.4950969258052</v>
      </c>
      <c r="P149" s="891">
        <f t="shared" si="50"/>
        <v>572432.00848930865</v>
      </c>
      <c r="Q149" s="892">
        <f>R148</f>
        <v>-1010022.8910744063</v>
      </c>
      <c r="R149" s="893">
        <f t="shared" si="53"/>
        <v>-437590.88258509769</v>
      </c>
      <c r="S149" s="894">
        <f t="shared" si="55"/>
        <v>437590.88258509769</v>
      </c>
      <c r="T149" s="894">
        <f t="shared" si="57"/>
        <v>3092.3089036013571</v>
      </c>
      <c r="AP149" s="878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 thickTop="1" thickBot="1">
      <c r="B150" s="913">
        <f t="shared" si="54"/>
        <v>48</v>
      </c>
      <c r="C150" s="905"/>
      <c r="D150" s="815">
        <f t="shared" si="46"/>
        <v>351997.22774996213</v>
      </c>
      <c r="E150" s="815">
        <f t="shared" si="56"/>
        <v>88685.96373886081</v>
      </c>
      <c r="F150" s="905"/>
      <c r="G150" s="883">
        <f t="shared" si="47"/>
        <v>0</v>
      </c>
      <c r="H150" s="905"/>
      <c r="I150" s="883">
        <f t="shared" si="48"/>
        <v>0</v>
      </c>
      <c r="J150" s="905"/>
      <c r="K150" s="884">
        <f t="shared" si="42"/>
        <v>440683.19148882292</v>
      </c>
      <c r="L150" s="890"/>
      <c r="M150" s="905"/>
      <c r="N150" s="815">
        <f t="shared" si="52"/>
        <v>-3092.3089036013571</v>
      </c>
      <c r="O150" s="884">
        <f t="shared" si="49"/>
        <v>-3092.3089036013571</v>
      </c>
      <c r="P150" s="891">
        <f t="shared" si="50"/>
        <v>437590.88258522155</v>
      </c>
      <c r="Q150" s="892">
        <f t="shared" si="51"/>
        <v>-437590.88258509769</v>
      </c>
      <c r="R150" s="893">
        <f t="shared" si="53"/>
        <v>1.2386590242385864E-7</v>
      </c>
      <c r="S150" s="894">
        <f t="shared" si="55"/>
        <v>0</v>
      </c>
      <c r="T150" s="894">
        <f t="shared" si="57"/>
        <v>0</v>
      </c>
      <c r="AP150" s="878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 thickTop="1" thickBot="1">
      <c r="B151" s="913">
        <f t="shared" si="54"/>
        <v>49</v>
      </c>
      <c r="C151" s="905"/>
      <c r="D151" s="815">
        <f t="shared" si="46"/>
        <v>0</v>
      </c>
      <c r="E151" s="815">
        <f t="shared" si="56"/>
        <v>0</v>
      </c>
      <c r="F151" s="905"/>
      <c r="G151" s="883">
        <f>W74</f>
        <v>5161692.8369454592</v>
      </c>
      <c r="H151" s="905"/>
      <c r="I151" s="883">
        <f t="shared" si="48"/>
        <v>0</v>
      </c>
      <c r="J151" s="905"/>
      <c r="K151" s="884">
        <f t="shared" si="42"/>
        <v>5161692.8369454592</v>
      </c>
      <c r="L151" s="890"/>
      <c r="M151" s="905"/>
      <c r="N151" s="815">
        <f t="shared" si="52"/>
        <v>0</v>
      </c>
      <c r="O151" s="884">
        <f t="shared" si="49"/>
        <v>0</v>
      </c>
      <c r="P151" s="891">
        <f>K151+O151</f>
        <v>5161692.8369454592</v>
      </c>
      <c r="Q151" s="892">
        <f t="shared" si="51"/>
        <v>1.2386590242385864E-7</v>
      </c>
      <c r="R151" s="893">
        <f t="shared" si="53"/>
        <v>5161692.8369455831</v>
      </c>
      <c r="S151" s="894">
        <f t="shared" si="55"/>
        <v>0</v>
      </c>
      <c r="T151" s="894">
        <f t="shared" si="57"/>
        <v>0</v>
      </c>
      <c r="AP151" s="878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 thickTop="1" thickBot="1">
      <c r="B152" s="913">
        <f t="shared" si="54"/>
        <v>50</v>
      </c>
      <c r="C152" s="905"/>
      <c r="D152" s="815">
        <f t="shared" si="46"/>
        <v>0</v>
      </c>
      <c r="E152" s="815">
        <f t="shared" si="56"/>
        <v>0</v>
      </c>
      <c r="F152" s="905"/>
      <c r="G152" s="883">
        <f t="shared" si="47"/>
        <v>0</v>
      </c>
      <c r="H152" s="905"/>
      <c r="I152" s="883">
        <f t="shared" si="48"/>
        <v>0</v>
      </c>
      <c r="J152" s="905"/>
      <c r="K152" s="884">
        <f t="shared" si="42"/>
        <v>0</v>
      </c>
      <c r="L152" s="890"/>
      <c r="M152" s="905"/>
      <c r="N152" s="815">
        <f>T151*-1</f>
        <v>0</v>
      </c>
      <c r="O152" s="884">
        <f t="shared" si="49"/>
        <v>0</v>
      </c>
      <c r="P152" s="891">
        <f>K152+O152</f>
        <v>0</v>
      </c>
      <c r="Q152" s="892">
        <f>R151</f>
        <v>5161692.8369455831</v>
      </c>
      <c r="R152" s="893">
        <f t="shared" si="53"/>
        <v>5161692.8369455831</v>
      </c>
      <c r="S152" s="894">
        <f t="shared" si="55"/>
        <v>0</v>
      </c>
      <c r="T152" s="894">
        <f t="shared" si="57"/>
        <v>0</v>
      </c>
      <c r="AP152" s="878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 thickTop="1" thickBot="1">
      <c r="B153" s="913">
        <f t="shared" si="54"/>
        <v>51</v>
      </c>
      <c r="C153" s="905"/>
      <c r="D153" s="815">
        <f t="shared" si="46"/>
        <v>0</v>
      </c>
      <c r="E153" s="815">
        <f t="shared" si="56"/>
        <v>0</v>
      </c>
      <c r="F153" s="905"/>
      <c r="G153" s="883">
        <f t="shared" si="47"/>
        <v>0</v>
      </c>
      <c r="H153" s="905"/>
      <c r="I153" s="883">
        <f t="shared" si="48"/>
        <v>0</v>
      </c>
      <c r="J153" s="905"/>
      <c r="K153" s="884">
        <f t="shared" si="42"/>
        <v>0</v>
      </c>
      <c r="L153" s="890"/>
      <c r="M153" s="905"/>
      <c r="N153" s="815">
        <f t="shared" si="52"/>
        <v>0</v>
      </c>
      <c r="O153" s="884">
        <f t="shared" si="49"/>
        <v>0</v>
      </c>
      <c r="P153" s="891">
        <f t="shared" si="50"/>
        <v>0</v>
      </c>
      <c r="Q153" s="892">
        <f t="shared" si="51"/>
        <v>5161692.8369455831</v>
      </c>
      <c r="R153" s="893">
        <f t="shared" si="53"/>
        <v>5161692.8369455831</v>
      </c>
      <c r="S153" s="894">
        <f t="shared" si="55"/>
        <v>0</v>
      </c>
      <c r="T153" s="894">
        <f t="shared" si="57"/>
        <v>0</v>
      </c>
      <c r="AP153" s="878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 thickTop="1" thickBot="1">
      <c r="B154" s="913">
        <f t="shared" si="54"/>
        <v>52</v>
      </c>
      <c r="C154" s="905"/>
      <c r="D154" s="815">
        <f t="shared" si="46"/>
        <v>0</v>
      </c>
      <c r="E154" s="815">
        <f t="shared" si="56"/>
        <v>0</v>
      </c>
      <c r="F154" s="905"/>
      <c r="G154" s="883">
        <f t="shared" si="47"/>
        <v>0</v>
      </c>
      <c r="H154" s="905"/>
      <c r="I154" s="883">
        <f t="shared" si="48"/>
        <v>0</v>
      </c>
      <c r="J154" s="905"/>
      <c r="K154" s="884">
        <f t="shared" si="42"/>
        <v>0</v>
      </c>
      <c r="L154" s="890"/>
      <c r="M154" s="905"/>
      <c r="N154" s="815">
        <f t="shared" si="52"/>
        <v>0</v>
      </c>
      <c r="O154" s="884">
        <f t="shared" si="49"/>
        <v>0</v>
      </c>
      <c r="P154" s="891">
        <f t="shared" si="50"/>
        <v>0</v>
      </c>
      <c r="Q154" s="892">
        <f t="shared" si="51"/>
        <v>5161692.8369455831</v>
      </c>
      <c r="R154" s="893">
        <f t="shared" si="53"/>
        <v>5161692.8369455831</v>
      </c>
      <c r="S154" s="894">
        <f t="shared" si="55"/>
        <v>0</v>
      </c>
      <c r="T154" s="894">
        <f t="shared" si="57"/>
        <v>0</v>
      </c>
      <c r="AP154" s="878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 thickTop="1" thickBot="1">
      <c r="B155" s="913">
        <f t="shared" si="54"/>
        <v>53</v>
      </c>
      <c r="C155" s="905"/>
      <c r="D155" s="815">
        <f t="shared" si="46"/>
        <v>0</v>
      </c>
      <c r="E155" s="815">
        <f t="shared" si="56"/>
        <v>0</v>
      </c>
      <c r="F155" s="905"/>
      <c r="G155" s="883">
        <f t="shared" si="47"/>
        <v>0</v>
      </c>
      <c r="H155" s="905"/>
      <c r="I155" s="883">
        <f t="shared" si="48"/>
        <v>0</v>
      </c>
      <c r="J155" s="905"/>
      <c r="K155" s="884">
        <f t="shared" si="42"/>
        <v>0</v>
      </c>
      <c r="L155" s="890"/>
      <c r="M155" s="905"/>
      <c r="N155" s="815">
        <f t="shared" si="52"/>
        <v>0</v>
      </c>
      <c r="O155" s="884">
        <f t="shared" si="49"/>
        <v>0</v>
      </c>
      <c r="P155" s="891">
        <f t="shared" si="50"/>
        <v>0</v>
      </c>
      <c r="Q155" s="892">
        <f t="shared" si="51"/>
        <v>5161692.8369455831</v>
      </c>
      <c r="R155" s="893">
        <f t="shared" si="53"/>
        <v>5161692.8369455831</v>
      </c>
      <c r="S155" s="894">
        <f t="shared" si="55"/>
        <v>0</v>
      </c>
      <c r="T155" s="894">
        <f t="shared" si="57"/>
        <v>0</v>
      </c>
      <c r="AP155" s="878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 thickTop="1" thickBot="1">
      <c r="B156" s="913">
        <f t="shared" si="54"/>
        <v>54</v>
      </c>
      <c r="C156" s="905"/>
      <c r="D156" s="815">
        <f t="shared" si="46"/>
        <v>0</v>
      </c>
      <c r="E156" s="815">
        <f t="shared" si="56"/>
        <v>0</v>
      </c>
      <c r="F156" s="905"/>
      <c r="G156" s="883">
        <f t="shared" si="47"/>
        <v>0</v>
      </c>
      <c r="H156" s="905"/>
      <c r="I156" s="883">
        <f t="shared" si="48"/>
        <v>0</v>
      </c>
      <c r="J156" s="905"/>
      <c r="K156" s="884">
        <f t="shared" si="42"/>
        <v>0</v>
      </c>
      <c r="L156" s="890"/>
      <c r="M156" s="905"/>
      <c r="N156" s="815">
        <f t="shared" si="52"/>
        <v>0</v>
      </c>
      <c r="O156" s="884">
        <f t="shared" si="49"/>
        <v>0</v>
      </c>
      <c r="P156" s="891">
        <f t="shared" si="50"/>
        <v>0</v>
      </c>
      <c r="Q156" s="892">
        <f t="shared" si="51"/>
        <v>5161692.8369455831</v>
      </c>
      <c r="R156" s="893">
        <f t="shared" si="53"/>
        <v>5161692.8369455831</v>
      </c>
      <c r="S156" s="894">
        <f t="shared" si="55"/>
        <v>0</v>
      </c>
      <c r="T156" s="894">
        <f t="shared" si="57"/>
        <v>0</v>
      </c>
      <c r="AP156" s="878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 thickTop="1" thickBot="1">
      <c r="B157" s="913">
        <f t="shared" si="54"/>
        <v>55</v>
      </c>
      <c r="C157" s="905"/>
      <c r="D157" s="815">
        <f t="shared" si="46"/>
        <v>0</v>
      </c>
      <c r="E157" s="815">
        <f t="shared" si="56"/>
        <v>0</v>
      </c>
      <c r="F157" s="905"/>
      <c r="G157" s="883">
        <f t="shared" si="47"/>
        <v>0</v>
      </c>
      <c r="H157" s="905"/>
      <c r="I157" s="883">
        <f t="shared" si="48"/>
        <v>0</v>
      </c>
      <c r="J157" s="905"/>
      <c r="K157" s="884">
        <f t="shared" si="42"/>
        <v>0</v>
      </c>
      <c r="L157" s="890"/>
      <c r="M157" s="905"/>
      <c r="N157" s="815">
        <f t="shared" si="52"/>
        <v>0</v>
      </c>
      <c r="O157" s="884">
        <f t="shared" si="49"/>
        <v>0</v>
      </c>
      <c r="P157" s="891">
        <f t="shared" si="50"/>
        <v>0</v>
      </c>
      <c r="Q157" s="892">
        <f t="shared" si="51"/>
        <v>5161692.8369455831</v>
      </c>
      <c r="R157" s="893">
        <f t="shared" si="53"/>
        <v>5161692.8369455831</v>
      </c>
      <c r="S157" s="894">
        <f t="shared" si="55"/>
        <v>0</v>
      </c>
      <c r="T157" s="894">
        <f t="shared" si="57"/>
        <v>0</v>
      </c>
      <c r="AP157" s="878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 thickTop="1" thickBot="1">
      <c r="B158" s="913">
        <f t="shared" si="54"/>
        <v>56</v>
      </c>
      <c r="C158" s="905"/>
      <c r="D158" s="815">
        <f t="shared" ref="D158:D167" si="58">IF(AE81&gt;=0,AE81,0)</f>
        <v>0</v>
      </c>
      <c r="E158" s="815">
        <f t="shared" si="56"/>
        <v>0</v>
      </c>
      <c r="F158" s="905"/>
      <c r="G158" s="883">
        <f t="shared" si="47"/>
        <v>0</v>
      </c>
      <c r="H158" s="905"/>
      <c r="I158" s="883">
        <f t="shared" si="48"/>
        <v>0</v>
      </c>
      <c r="J158" s="905"/>
      <c r="K158" s="884">
        <f t="shared" si="42"/>
        <v>0</v>
      </c>
      <c r="L158" s="890"/>
      <c r="M158" s="905"/>
      <c r="N158" s="815">
        <f t="shared" si="52"/>
        <v>0</v>
      </c>
      <c r="O158" s="884">
        <f t="shared" si="49"/>
        <v>0</v>
      </c>
      <c r="P158" s="891">
        <f t="shared" si="50"/>
        <v>0</v>
      </c>
      <c r="Q158" s="892">
        <f t="shared" si="51"/>
        <v>5161692.8369455831</v>
      </c>
      <c r="R158" s="893">
        <f t="shared" si="53"/>
        <v>5161692.8369455831</v>
      </c>
      <c r="S158" s="894">
        <f t="shared" si="55"/>
        <v>0</v>
      </c>
      <c r="T158" s="894">
        <f t="shared" si="57"/>
        <v>0</v>
      </c>
      <c r="AP158" s="878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 thickTop="1" thickBot="1">
      <c r="B159" s="913">
        <f t="shared" si="54"/>
        <v>57</v>
      </c>
      <c r="C159" s="905"/>
      <c r="D159" s="815">
        <f t="shared" si="58"/>
        <v>0</v>
      </c>
      <c r="E159" s="815">
        <f t="shared" si="56"/>
        <v>0</v>
      </c>
      <c r="F159" s="905"/>
      <c r="G159" s="883">
        <f t="shared" si="47"/>
        <v>0</v>
      </c>
      <c r="H159" s="905"/>
      <c r="I159" s="883">
        <f t="shared" si="48"/>
        <v>0</v>
      </c>
      <c r="J159" s="905"/>
      <c r="K159" s="884">
        <f t="shared" si="42"/>
        <v>0</v>
      </c>
      <c r="L159" s="890"/>
      <c r="M159" s="905"/>
      <c r="N159" s="815">
        <f t="shared" si="52"/>
        <v>0</v>
      </c>
      <c r="O159" s="884">
        <f t="shared" si="49"/>
        <v>0</v>
      </c>
      <c r="P159" s="891">
        <f t="shared" si="50"/>
        <v>0</v>
      </c>
      <c r="Q159" s="892">
        <f t="shared" si="51"/>
        <v>5161692.8369455831</v>
      </c>
      <c r="R159" s="893">
        <f t="shared" si="53"/>
        <v>5161692.8369455831</v>
      </c>
      <c r="S159" s="894">
        <f t="shared" si="55"/>
        <v>0</v>
      </c>
      <c r="T159" s="894">
        <f t="shared" si="57"/>
        <v>0</v>
      </c>
      <c r="AP159" s="878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 thickTop="1" thickBot="1">
      <c r="B160" s="913">
        <f t="shared" si="54"/>
        <v>58</v>
      </c>
      <c r="C160" s="905"/>
      <c r="D160" s="815">
        <f t="shared" si="58"/>
        <v>0</v>
      </c>
      <c r="E160" s="815">
        <f t="shared" si="56"/>
        <v>0</v>
      </c>
      <c r="F160" s="905"/>
      <c r="G160" s="883">
        <f t="shared" si="47"/>
        <v>0</v>
      </c>
      <c r="H160" s="905"/>
      <c r="I160" s="883">
        <f t="shared" si="48"/>
        <v>0</v>
      </c>
      <c r="J160" s="905"/>
      <c r="K160" s="884">
        <f t="shared" si="42"/>
        <v>0</v>
      </c>
      <c r="L160" s="890"/>
      <c r="M160" s="905"/>
      <c r="N160" s="815">
        <f t="shared" si="52"/>
        <v>0</v>
      </c>
      <c r="O160" s="884">
        <f t="shared" si="49"/>
        <v>0</v>
      </c>
      <c r="P160" s="891">
        <f t="shared" si="50"/>
        <v>0</v>
      </c>
      <c r="Q160" s="892">
        <f t="shared" si="51"/>
        <v>5161692.8369455831</v>
      </c>
      <c r="R160" s="893">
        <f t="shared" si="53"/>
        <v>5161692.8369455831</v>
      </c>
      <c r="S160" s="894">
        <f t="shared" si="55"/>
        <v>0</v>
      </c>
      <c r="T160" s="894">
        <f t="shared" si="57"/>
        <v>0</v>
      </c>
      <c r="AP160" s="878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 thickTop="1" thickBot="1">
      <c r="B161" s="913">
        <f t="shared" si="54"/>
        <v>59</v>
      </c>
      <c r="C161" s="905"/>
      <c r="D161" s="815">
        <f t="shared" si="58"/>
        <v>0</v>
      </c>
      <c r="E161" s="815">
        <f t="shared" si="56"/>
        <v>0</v>
      </c>
      <c r="F161" s="905"/>
      <c r="G161" s="883">
        <f t="shared" si="47"/>
        <v>0</v>
      </c>
      <c r="H161" s="905"/>
      <c r="I161" s="883">
        <f t="shared" si="48"/>
        <v>0</v>
      </c>
      <c r="J161" s="905"/>
      <c r="K161" s="884">
        <f t="shared" si="42"/>
        <v>0</v>
      </c>
      <c r="L161" s="890"/>
      <c r="M161" s="905"/>
      <c r="N161" s="815">
        <f t="shared" si="52"/>
        <v>0</v>
      </c>
      <c r="O161" s="884">
        <f t="shared" si="49"/>
        <v>0</v>
      </c>
      <c r="P161" s="891">
        <f t="shared" si="50"/>
        <v>0</v>
      </c>
      <c r="Q161" s="892">
        <f t="shared" si="51"/>
        <v>5161692.8369455831</v>
      </c>
      <c r="R161" s="893">
        <f t="shared" si="53"/>
        <v>5161692.8369455831</v>
      </c>
      <c r="S161" s="894">
        <f t="shared" si="55"/>
        <v>0</v>
      </c>
      <c r="T161" s="894">
        <f t="shared" si="57"/>
        <v>0</v>
      </c>
      <c r="AP161" s="878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 thickTop="1" thickBot="1">
      <c r="B162" s="913">
        <f t="shared" si="54"/>
        <v>60</v>
      </c>
      <c r="C162" s="905"/>
      <c r="D162" s="815">
        <f t="shared" si="58"/>
        <v>0</v>
      </c>
      <c r="E162" s="815">
        <f t="shared" si="56"/>
        <v>0</v>
      </c>
      <c r="F162" s="905"/>
      <c r="G162" s="883">
        <f t="shared" si="47"/>
        <v>0</v>
      </c>
      <c r="H162" s="905"/>
      <c r="I162" s="883">
        <f t="shared" si="48"/>
        <v>0</v>
      </c>
      <c r="J162" s="905"/>
      <c r="K162" s="884">
        <f t="shared" si="42"/>
        <v>0</v>
      </c>
      <c r="L162" s="890"/>
      <c r="M162" s="905"/>
      <c r="N162" s="815">
        <f t="shared" si="52"/>
        <v>0</v>
      </c>
      <c r="O162" s="884">
        <f t="shared" si="49"/>
        <v>0</v>
      </c>
      <c r="P162" s="891">
        <f>K162+O162</f>
        <v>0</v>
      </c>
      <c r="Q162" s="892">
        <f t="shared" si="51"/>
        <v>5161692.8369455831</v>
      </c>
      <c r="R162" s="893">
        <f t="shared" si="53"/>
        <v>5161692.8369455831</v>
      </c>
      <c r="S162" s="894">
        <f>IF($R162&lt;0,$R162*-1,0)</f>
        <v>0</v>
      </c>
      <c r="T162" s="894">
        <f>$S162*$G$14*1/12</f>
        <v>0</v>
      </c>
      <c r="AP162" s="878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 thickTop="1" thickBot="1">
      <c r="B163" s="913">
        <f t="shared" ref="B163:B167" si="59">B86</f>
        <v>61</v>
      </c>
      <c r="C163" s="905"/>
      <c r="D163" s="815">
        <f t="shared" si="58"/>
        <v>0</v>
      </c>
      <c r="E163" s="815">
        <f t="shared" si="56"/>
        <v>0</v>
      </c>
      <c r="F163" s="905"/>
      <c r="G163" s="883">
        <f t="shared" si="47"/>
        <v>0</v>
      </c>
      <c r="H163" s="905"/>
      <c r="I163" s="883">
        <f t="shared" si="48"/>
        <v>0</v>
      </c>
      <c r="J163" s="905"/>
      <c r="K163" s="884">
        <f t="shared" ref="K163:K167" si="60">C163+E163+F163+G163+H163+I163+J163+D163</f>
        <v>0</v>
      </c>
      <c r="L163" s="890">
        <f t="shared" ref="L163:L166" si="61">U86</f>
        <v>0</v>
      </c>
      <c r="M163" s="905"/>
      <c r="N163" s="815">
        <f t="shared" si="52"/>
        <v>0</v>
      </c>
      <c r="O163" s="884">
        <f t="shared" si="49"/>
        <v>0</v>
      </c>
      <c r="P163" s="891">
        <f>K163+O163</f>
        <v>0</v>
      </c>
      <c r="Q163" s="892">
        <f>R162</f>
        <v>5161692.8369455831</v>
      </c>
      <c r="R163" s="893">
        <f>P163+Q163</f>
        <v>5161692.8369455831</v>
      </c>
      <c r="S163" s="894">
        <f t="shared" si="55"/>
        <v>0</v>
      </c>
      <c r="T163" s="894">
        <f t="shared" si="57"/>
        <v>0</v>
      </c>
      <c r="AP163" s="878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 thickTop="1" thickBot="1">
      <c r="B164" s="913">
        <f t="shared" si="59"/>
        <v>62</v>
      </c>
      <c r="C164" s="905"/>
      <c r="D164" s="815">
        <f t="shared" si="58"/>
        <v>0</v>
      </c>
      <c r="E164" s="815">
        <f t="shared" si="56"/>
        <v>0</v>
      </c>
      <c r="F164" s="905"/>
      <c r="G164" s="883">
        <f t="shared" ref="G164:G167" si="62">W87</f>
        <v>0</v>
      </c>
      <c r="H164" s="905"/>
      <c r="I164" s="883">
        <f t="shared" ref="I164:I167" si="63">Y87</f>
        <v>0</v>
      </c>
      <c r="J164" s="905"/>
      <c r="K164" s="884">
        <f t="shared" si="60"/>
        <v>0</v>
      </c>
      <c r="L164" s="890">
        <f t="shared" si="61"/>
        <v>0</v>
      </c>
      <c r="M164" s="905"/>
      <c r="N164" s="815">
        <f t="shared" si="52"/>
        <v>0</v>
      </c>
      <c r="O164" s="884">
        <f>L164+M164+N164</f>
        <v>0</v>
      </c>
      <c r="P164" s="891">
        <f t="shared" ref="P164:P167" si="64">K164+O164</f>
        <v>0</v>
      </c>
      <c r="Q164" s="892">
        <f t="shared" si="51"/>
        <v>5161692.8369455831</v>
      </c>
      <c r="R164" s="893">
        <f t="shared" si="53"/>
        <v>5161692.8369455831</v>
      </c>
      <c r="S164" s="894">
        <f t="shared" si="55"/>
        <v>0</v>
      </c>
      <c r="T164" s="894">
        <f t="shared" si="57"/>
        <v>0</v>
      </c>
      <c r="AP164" s="878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 thickTop="1" thickBot="1">
      <c r="B165" s="913">
        <f t="shared" si="59"/>
        <v>63</v>
      </c>
      <c r="C165" s="905"/>
      <c r="D165" s="815">
        <f t="shared" si="58"/>
        <v>0</v>
      </c>
      <c r="E165" s="815">
        <f t="shared" si="56"/>
        <v>0</v>
      </c>
      <c r="F165" s="905"/>
      <c r="G165" s="883">
        <f t="shared" si="62"/>
        <v>0</v>
      </c>
      <c r="H165" s="905"/>
      <c r="I165" s="883">
        <f t="shared" si="63"/>
        <v>0</v>
      </c>
      <c r="J165" s="905"/>
      <c r="K165" s="884">
        <f t="shared" si="60"/>
        <v>0</v>
      </c>
      <c r="L165" s="890">
        <f t="shared" si="61"/>
        <v>0</v>
      </c>
      <c r="M165" s="905"/>
      <c r="N165" s="815">
        <f t="shared" si="52"/>
        <v>0</v>
      </c>
      <c r="O165" s="884">
        <f>L165+M165+N165</f>
        <v>0</v>
      </c>
      <c r="P165" s="891">
        <f t="shared" si="64"/>
        <v>0</v>
      </c>
      <c r="Q165" s="892">
        <f>R164</f>
        <v>5161692.8369455831</v>
      </c>
      <c r="R165" s="893">
        <f>P165+Q165</f>
        <v>5161692.8369455831</v>
      </c>
      <c r="S165" s="894">
        <f t="shared" si="55"/>
        <v>0</v>
      </c>
      <c r="T165" s="894">
        <f t="shared" si="57"/>
        <v>0</v>
      </c>
      <c r="AP165" s="878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 thickTop="1" thickBot="1">
      <c r="B166" s="913">
        <f t="shared" si="59"/>
        <v>64</v>
      </c>
      <c r="C166" s="905"/>
      <c r="D166" s="815">
        <f t="shared" si="58"/>
        <v>0</v>
      </c>
      <c r="E166" s="815">
        <f t="shared" si="56"/>
        <v>0</v>
      </c>
      <c r="F166" s="905"/>
      <c r="G166" s="883">
        <f t="shared" si="62"/>
        <v>0</v>
      </c>
      <c r="H166" s="905"/>
      <c r="I166" s="883">
        <f t="shared" si="63"/>
        <v>0</v>
      </c>
      <c r="J166" s="905"/>
      <c r="K166" s="884">
        <f t="shared" si="60"/>
        <v>0</v>
      </c>
      <c r="L166" s="890">
        <f t="shared" si="61"/>
        <v>0</v>
      </c>
      <c r="M166" s="905"/>
      <c r="N166" s="815">
        <f>T165*-1</f>
        <v>0</v>
      </c>
      <c r="O166" s="884">
        <f>L166+M166+N166</f>
        <v>0</v>
      </c>
      <c r="P166" s="891">
        <f t="shared" si="64"/>
        <v>0</v>
      </c>
      <c r="Q166" s="892">
        <f>R165</f>
        <v>5161692.8369455831</v>
      </c>
      <c r="R166" s="893">
        <f>P166+Q166</f>
        <v>5161692.8369455831</v>
      </c>
      <c r="S166" s="894">
        <f t="shared" si="55"/>
        <v>0</v>
      </c>
      <c r="T166" s="894">
        <f t="shared" si="57"/>
        <v>0</v>
      </c>
      <c r="AP166" s="878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Top="1" thickBot="1">
      <c r="B167" s="914">
        <f t="shared" si="59"/>
        <v>65</v>
      </c>
      <c r="C167" s="915"/>
      <c r="D167" s="815">
        <f t="shared" si="58"/>
        <v>0</v>
      </c>
      <c r="E167" s="916">
        <f t="shared" si="56"/>
        <v>0</v>
      </c>
      <c r="F167" s="915"/>
      <c r="G167" s="883">
        <f t="shared" si="62"/>
        <v>0</v>
      </c>
      <c r="H167" s="915"/>
      <c r="I167" s="883">
        <f t="shared" si="63"/>
        <v>0</v>
      </c>
      <c r="J167" s="915"/>
      <c r="K167" s="917">
        <f t="shared" si="60"/>
        <v>0</v>
      </c>
      <c r="L167" s="895">
        <f t="shared" ref="L167" si="65">U90</f>
        <v>0</v>
      </c>
      <c r="M167" s="906"/>
      <c r="N167" s="896">
        <f>T166*-1</f>
        <v>0</v>
      </c>
      <c r="O167" s="897">
        <f>L167+M167+N167</f>
        <v>0</v>
      </c>
      <c r="P167" s="891">
        <f t="shared" si="64"/>
        <v>0</v>
      </c>
      <c r="Q167" s="899">
        <f>R166</f>
        <v>5161692.8369455831</v>
      </c>
      <c r="R167" s="900">
        <f>P167+Q167</f>
        <v>5161692.8369455831</v>
      </c>
      <c r="S167" s="901">
        <f t="shared" si="55"/>
        <v>0</v>
      </c>
      <c r="T167" s="894">
        <f t="shared" si="57"/>
        <v>0</v>
      </c>
      <c r="AP167" s="878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09"/>
      <c r="D168" s="902">
        <f>SUM(D99:D167)</f>
        <v>23423523.600576535</v>
      </c>
      <c r="E168" s="902">
        <f t="shared" ref="E168:N168" si="66">SUM(E99:E167)</f>
        <v>4256926.2594653238</v>
      </c>
      <c r="F168" s="903"/>
      <c r="G168" s="902">
        <f t="shared" si="66"/>
        <v>5161692.8369454592</v>
      </c>
      <c r="H168" s="903"/>
      <c r="I168" s="902">
        <f t="shared" si="66"/>
        <v>0</v>
      </c>
      <c r="J168" s="903"/>
      <c r="K168" s="910">
        <f t="shared" si="66"/>
        <v>32842142.696987271</v>
      </c>
      <c r="L168" s="848">
        <f t="shared" si="66"/>
        <v>-23423523.600576535</v>
      </c>
      <c r="M168" s="907"/>
      <c r="N168" s="849">
        <f t="shared" si="66"/>
        <v>-4256926.2594651924</v>
      </c>
      <c r="O168" s="850">
        <f>SUM(O99:O167)</f>
        <v>-27680449.860041726</v>
      </c>
      <c r="P168" s="848">
        <f>SUM(P99:P167)</f>
        <v>5161692.8369455831</v>
      </c>
      <c r="Q168" s="849"/>
      <c r="R168" s="850"/>
      <c r="S168" s="851">
        <f>SUM(S99:S167)</f>
        <v>602395225.39601767</v>
      </c>
      <c r="T168" s="851">
        <f>SUM(T99:T167)</f>
        <v>4256926.2594651924</v>
      </c>
      <c r="U168" s="641"/>
      <c r="V168" s="641"/>
      <c r="AP168" s="878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878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878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AB5:AK5"/>
    <mergeCell ref="Q6:S6"/>
    <mergeCell ref="V6:X6"/>
    <mergeCell ref="AB6:AD6"/>
    <mergeCell ref="AG6:AJ6"/>
    <mergeCell ref="Q5:U5"/>
    <mergeCell ref="V5:AA5"/>
    <mergeCell ref="Z6:AA6"/>
    <mergeCell ref="B4:G4"/>
    <mergeCell ref="E5:G5"/>
    <mergeCell ref="H5:J5"/>
    <mergeCell ref="K5:M5"/>
    <mergeCell ref="N5:P5"/>
    <mergeCell ref="B5:D5"/>
    <mergeCell ref="H4:AK4"/>
    <mergeCell ref="AB17:AB20"/>
    <mergeCell ref="AC17:AC20"/>
    <mergeCell ref="R18:R20"/>
    <mergeCell ref="S18:S20"/>
    <mergeCell ref="T18:T20"/>
    <mergeCell ref="V18:W18"/>
    <mergeCell ref="Z19:Z20"/>
    <mergeCell ref="AA17:AA20"/>
    <mergeCell ref="AD17:AD20"/>
    <mergeCell ref="X18:Z18"/>
    <mergeCell ref="V19:V20"/>
    <mergeCell ref="W19:W20"/>
    <mergeCell ref="X19:X20"/>
    <mergeCell ref="Y19:Y20"/>
    <mergeCell ref="U17:U20"/>
    <mergeCell ref="V17:Z17"/>
    <mergeCell ref="AI18:AI20"/>
    <mergeCell ref="AJ18:AJ20"/>
    <mergeCell ref="AK18:AK20"/>
    <mergeCell ref="AL18:AL20"/>
    <mergeCell ref="AM18:AM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N17:AQ17"/>
    <mergeCell ref="AR17:AR20"/>
    <mergeCell ref="AS17:AS20"/>
    <mergeCell ref="AT17:AT20"/>
    <mergeCell ref="AN18:AN20"/>
    <mergeCell ref="AO18:AO20"/>
    <mergeCell ref="AP18:AP20"/>
    <mergeCell ref="E17:T17"/>
    <mergeCell ref="Q19:Q20"/>
    <mergeCell ref="C95:K95"/>
    <mergeCell ref="L95:O95"/>
    <mergeCell ref="P95:R95"/>
    <mergeCell ref="E19:E20"/>
    <mergeCell ref="F19:F20"/>
    <mergeCell ref="G19:G20"/>
    <mergeCell ref="H19:H20"/>
    <mergeCell ref="I19:I20"/>
    <mergeCell ref="J19:J20"/>
    <mergeCell ref="K19:K20"/>
    <mergeCell ref="B8:D8"/>
    <mergeCell ref="B7:D7"/>
    <mergeCell ref="B6:D6"/>
    <mergeCell ref="E6:G6"/>
    <mergeCell ref="B9:D9"/>
    <mergeCell ref="E9:G9"/>
    <mergeCell ref="B15:F15"/>
    <mergeCell ref="B14:F14"/>
    <mergeCell ref="B13:F13"/>
    <mergeCell ref="B12:F12"/>
    <mergeCell ref="B11:F11"/>
    <mergeCell ref="B10:F10"/>
    <mergeCell ref="H8:I8"/>
    <mergeCell ref="H7:I7"/>
    <mergeCell ref="H6:I6"/>
    <mergeCell ref="K15:L15"/>
    <mergeCell ref="K14:L14"/>
    <mergeCell ref="K13:L13"/>
    <mergeCell ref="K12:L12"/>
    <mergeCell ref="K11:L11"/>
    <mergeCell ref="K10:L10"/>
    <mergeCell ref="K9:L9"/>
    <mergeCell ref="K8:L8"/>
    <mergeCell ref="K7:L7"/>
    <mergeCell ref="K6:L6"/>
    <mergeCell ref="H13:I13"/>
    <mergeCell ref="H12:I12"/>
    <mergeCell ref="H11:I11"/>
    <mergeCell ref="H10:I10"/>
    <mergeCell ref="H9:I9"/>
    <mergeCell ref="H15:I15"/>
    <mergeCell ref="H14:I14"/>
    <mergeCell ref="T12:U12"/>
    <mergeCell ref="T15:U15"/>
    <mergeCell ref="Q15:S15"/>
    <mergeCell ref="V11:X11"/>
    <mergeCell ref="V10:W10"/>
    <mergeCell ref="N8:O8"/>
    <mergeCell ref="N7:O7"/>
    <mergeCell ref="N6:O6"/>
    <mergeCell ref="Q12:S12"/>
    <mergeCell ref="Q11:S11"/>
    <mergeCell ref="Q10:S10"/>
    <mergeCell ref="Q9:S9"/>
    <mergeCell ref="Q8:S8"/>
    <mergeCell ref="Q7:S7"/>
    <mergeCell ref="N15:O15"/>
    <mergeCell ref="N14:O14"/>
    <mergeCell ref="N13:O13"/>
    <mergeCell ref="N12:O12"/>
    <mergeCell ref="N9:O9"/>
    <mergeCell ref="N11:O11"/>
    <mergeCell ref="N10:O10"/>
    <mergeCell ref="Q13:S14"/>
    <mergeCell ref="Z11:AA11"/>
    <mergeCell ref="Z12:AA12"/>
    <mergeCell ref="Z13:AA13"/>
    <mergeCell ref="Z14:AA14"/>
    <mergeCell ref="Z15:AA15"/>
    <mergeCell ref="V9:X9"/>
    <mergeCell ref="V8:X8"/>
    <mergeCell ref="V7:X7"/>
    <mergeCell ref="V15:X15"/>
    <mergeCell ref="V14:X14"/>
    <mergeCell ref="V13:X13"/>
    <mergeCell ref="V12:X12"/>
    <mergeCell ref="AB10:AD10"/>
    <mergeCell ref="AB9:AD9"/>
    <mergeCell ref="AB8:AD8"/>
    <mergeCell ref="AB7:AD7"/>
    <mergeCell ref="AG12:AJ12"/>
    <mergeCell ref="AG11:AJ11"/>
    <mergeCell ref="AG10:AJ10"/>
    <mergeCell ref="AG9:AJ9"/>
    <mergeCell ref="AG8:AJ8"/>
    <mergeCell ref="AG7:AJ7"/>
    <mergeCell ref="AB12:AD12"/>
    <mergeCell ref="AB11:AD11"/>
    <mergeCell ref="B95:B97"/>
    <mergeCell ref="AG13:AJ15"/>
    <mergeCell ref="D97:E97"/>
    <mergeCell ref="M96:M97"/>
    <mergeCell ref="K96:K97"/>
    <mergeCell ref="J96:J97"/>
    <mergeCell ref="T95:T97"/>
    <mergeCell ref="S95:S97"/>
    <mergeCell ref="O96:O97"/>
    <mergeCell ref="P96:P97"/>
    <mergeCell ref="AB15:AD15"/>
    <mergeCell ref="AB14:AD14"/>
    <mergeCell ref="AB13:AD13"/>
    <mergeCell ref="AH17:AH20"/>
    <mergeCell ref="AI17:AM17"/>
    <mergeCell ref="R96:R97"/>
    <mergeCell ref="C96:E96"/>
    <mergeCell ref="F96:G96"/>
    <mergeCell ref="H96:I96"/>
    <mergeCell ref="L96:L97"/>
    <mergeCell ref="N96:N97"/>
    <mergeCell ref="Q96:Q97"/>
    <mergeCell ref="L19:L20"/>
    <mergeCell ref="P19:P20"/>
  </mergeCells>
  <phoneticPr fontId="69"/>
  <pageMargins left="0.70866141732283472" right="0.70866141732283472" top="0.74803149606299213" bottom="0.74803149606299213" header="0.31496062992125984" footer="0.31496062992125984"/>
  <pageSetup paperSize="8" scale="28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A114" zoomScale="85" zoomScaleNormal="85" workbookViewId="0">
      <selection activeCell="A150" sqref="A150:XFD150"/>
    </sheetView>
  </sheetViews>
  <sheetFormatPr defaultColWidth="9.140625" defaultRowHeight="10.5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675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373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723" t="s">
        <v>61</v>
      </c>
      <c r="C4" s="1723"/>
      <c r="D4" s="1723"/>
      <c r="E4" s="1723"/>
      <c r="F4" s="1723"/>
      <c r="G4" s="1723"/>
      <c r="H4" s="1723" t="s">
        <v>62</v>
      </c>
      <c r="I4" s="1723"/>
      <c r="J4" s="1723"/>
      <c r="K4" s="1723"/>
      <c r="L4" s="1723"/>
      <c r="M4" s="1723"/>
      <c r="N4" s="1723"/>
      <c r="O4" s="1723"/>
      <c r="P4" s="1723"/>
      <c r="Q4" s="1723"/>
      <c r="R4" s="1723"/>
      <c r="S4" s="1723"/>
      <c r="T4" s="1723"/>
      <c r="U4" s="1723"/>
      <c r="V4" s="1723"/>
      <c r="W4" s="1723"/>
      <c r="X4" s="1723"/>
      <c r="Y4" s="1723"/>
      <c r="Z4" s="1723"/>
      <c r="AA4" s="1723"/>
      <c r="AB4" s="1723"/>
      <c r="AC4" s="1723"/>
      <c r="AD4" s="1723"/>
      <c r="AE4" s="1723"/>
      <c r="AF4" s="1723"/>
      <c r="AG4" s="1723"/>
      <c r="AH4" s="1723"/>
      <c r="AI4" s="1723"/>
      <c r="AJ4" s="1723"/>
      <c r="AK4" s="1723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592" t="s">
        <v>63</v>
      </c>
      <c r="C5" s="1592"/>
      <c r="D5" s="1592"/>
      <c r="E5" s="1592"/>
      <c r="F5" s="1592"/>
      <c r="G5" s="1592"/>
      <c r="H5" s="1722" t="s">
        <v>65</v>
      </c>
      <c r="I5" s="1722"/>
      <c r="J5" s="1722"/>
      <c r="K5" s="1722" t="s">
        <v>66</v>
      </c>
      <c r="L5" s="1722"/>
      <c r="M5" s="1722"/>
      <c r="N5" s="1722" t="s">
        <v>67</v>
      </c>
      <c r="O5" s="1722"/>
      <c r="P5" s="1722"/>
      <c r="Q5" s="1722" t="s">
        <v>68</v>
      </c>
      <c r="R5" s="1722"/>
      <c r="S5" s="1722"/>
      <c r="T5" s="1722"/>
      <c r="U5" s="1722"/>
      <c r="V5" s="1722" t="s">
        <v>69</v>
      </c>
      <c r="W5" s="1722"/>
      <c r="X5" s="1722"/>
      <c r="Y5" s="1722"/>
      <c r="Z5" s="1722"/>
      <c r="AA5" s="1722"/>
      <c r="AB5" s="1722" t="s">
        <v>70</v>
      </c>
      <c r="AC5" s="1722"/>
      <c r="AD5" s="1722"/>
      <c r="AE5" s="1722"/>
      <c r="AF5" s="1722"/>
      <c r="AG5" s="1722"/>
      <c r="AH5" s="1722"/>
      <c r="AI5" s="1722"/>
      <c r="AJ5" s="1722"/>
      <c r="AK5" s="1722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669" t="s">
        <v>71</v>
      </c>
      <c r="C6" s="1669"/>
      <c r="D6" s="1669"/>
      <c r="E6" s="1669"/>
      <c r="F6" s="1669"/>
      <c r="G6" s="1669"/>
      <c r="H6" s="1594" t="s">
        <v>72</v>
      </c>
      <c r="I6" s="1594"/>
      <c r="J6" s="866">
        <f>'①Tidak termasuk VAT TAX'!J6</f>
        <v>4908835.3984737359</v>
      </c>
      <c r="K6" s="1592" t="s">
        <v>73</v>
      </c>
      <c r="L6" s="1592"/>
      <c r="M6" s="867">
        <f>'①Tidak termasuk VAT TAX'!M6</f>
        <v>234235236</v>
      </c>
      <c r="N6" s="1594" t="s">
        <v>74</v>
      </c>
      <c r="O6" s="1594"/>
      <c r="P6" s="868">
        <f>'①Tidak termasuk VAT TAX'!P6</f>
        <v>0</v>
      </c>
      <c r="Q6" s="1586" t="s">
        <v>75</v>
      </c>
      <c r="R6" s="1586"/>
      <c r="S6" s="1586"/>
      <c r="T6" s="875" t="s">
        <v>76</v>
      </c>
      <c r="U6" s="875" t="s">
        <v>77</v>
      </c>
      <c r="V6" s="1587" t="s">
        <v>75</v>
      </c>
      <c r="W6" s="1587"/>
      <c r="X6" s="1587"/>
      <c r="Y6" s="875" t="s">
        <v>76</v>
      </c>
      <c r="Z6" s="1587" t="s">
        <v>77</v>
      </c>
      <c r="AA6" s="1587"/>
      <c r="AB6" s="1587" t="s">
        <v>78</v>
      </c>
      <c r="AC6" s="1587"/>
      <c r="AD6" s="1587"/>
      <c r="AE6" s="875" t="s">
        <v>79</v>
      </c>
      <c r="AF6" s="875" t="s">
        <v>80</v>
      </c>
      <c r="AG6" s="1587" t="s">
        <v>81</v>
      </c>
      <c r="AH6" s="1587"/>
      <c r="AI6" s="1587"/>
      <c r="AJ6" s="1587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666" t="s">
        <v>82</v>
      </c>
      <c r="C7" s="1667"/>
      <c r="D7" s="1668"/>
      <c r="E7" s="863">
        <v>1</v>
      </c>
      <c r="F7" s="864">
        <v>1</v>
      </c>
      <c r="G7" s="865">
        <v>2018</v>
      </c>
      <c r="H7" s="1594" t="s">
        <v>83</v>
      </c>
      <c r="I7" s="1594"/>
      <c r="J7" s="866">
        <f>'①Tidak termasuk VAT TAX'!J7</f>
        <v>48</v>
      </c>
      <c r="K7" s="1592" t="s">
        <v>84</v>
      </c>
      <c r="L7" s="1592"/>
      <c r="M7" s="867">
        <f>'①Tidak termasuk VAT TAX'!M7</f>
        <v>-2500000</v>
      </c>
      <c r="N7" s="1594" t="s">
        <v>85</v>
      </c>
      <c r="O7" s="1594"/>
      <c r="P7" s="868">
        <f>'①Tidak termasuk VAT TAX'!P7</f>
        <v>0</v>
      </c>
      <c r="Q7" s="1600" t="s">
        <v>86</v>
      </c>
      <c r="R7" s="1600"/>
      <c r="S7" s="1600"/>
      <c r="T7" s="862">
        <f>'①Tidak termasuk VAT TAX'!T7</f>
        <v>2500</v>
      </c>
      <c r="U7" s="862">
        <f>'①Tidak termasuk VAT TAX'!U7</f>
        <v>120000</v>
      </c>
      <c r="V7" s="1587" t="s">
        <v>87</v>
      </c>
      <c r="W7" s="1587"/>
      <c r="X7" s="1587"/>
      <c r="Y7" s="862"/>
      <c r="Z7" s="862">
        <f>'①Tidak termasuk VAT TAX'!AF7</f>
        <v>0</v>
      </c>
      <c r="AA7" s="862"/>
      <c r="AB7" s="1594" t="s">
        <v>88</v>
      </c>
      <c r="AC7" s="1594"/>
      <c r="AD7" s="1594"/>
      <c r="AE7" s="869">
        <v>0</v>
      </c>
      <c r="AF7" s="862">
        <f>AE7*M8</f>
        <v>0</v>
      </c>
      <c r="AG7" s="1594" t="s">
        <v>89</v>
      </c>
      <c r="AH7" s="1594"/>
      <c r="AI7" s="1594"/>
      <c r="AJ7" s="1594"/>
      <c r="AK7" s="862"/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666" t="s">
        <v>90</v>
      </c>
      <c r="C8" s="1667"/>
      <c r="D8" s="1668"/>
      <c r="E8" s="863">
        <v>1</v>
      </c>
      <c r="F8" s="864">
        <v>1</v>
      </c>
      <c r="G8" s="870">
        <f>G7</f>
        <v>2018</v>
      </c>
      <c r="H8" s="1592" t="s">
        <v>92</v>
      </c>
      <c r="I8" s="1592"/>
      <c r="J8" s="866" t="str">
        <f>'①Tidak termasuk VAT TAX'!J8</f>
        <v>City</v>
      </c>
      <c r="K8" s="1592" t="s">
        <v>94</v>
      </c>
      <c r="L8" s="1592"/>
      <c r="M8" s="867">
        <f>'①Tidak termasuk VAT TAX'!M8</f>
        <v>231735236</v>
      </c>
      <c r="N8" s="1594" t="s">
        <v>95</v>
      </c>
      <c r="O8" s="1594"/>
      <c r="P8" s="868">
        <f>'①Tidak termasuk VAT TAX'!P8</f>
        <v>0</v>
      </c>
      <c r="Q8" s="1600" t="s">
        <v>96</v>
      </c>
      <c r="R8" s="1600"/>
      <c r="S8" s="1600"/>
      <c r="T8" s="862">
        <f>'①Tidak termasuk VAT TAX'!T8</f>
        <v>0</v>
      </c>
      <c r="U8" s="862">
        <f>'①Tidak termasuk VAT TAX'!U8</f>
        <v>0</v>
      </c>
      <c r="V8" s="1587" t="s">
        <v>97</v>
      </c>
      <c r="W8" s="1587"/>
      <c r="X8" s="1587"/>
      <c r="Y8" s="862"/>
      <c r="Z8" s="862"/>
      <c r="AA8" s="862"/>
      <c r="AB8" s="1594" t="s">
        <v>98</v>
      </c>
      <c r="AC8" s="1594"/>
      <c r="AD8" s="1594"/>
      <c r="AE8" s="869">
        <v>0</v>
      </c>
      <c r="AF8" s="862">
        <f>AE8*P6</f>
        <v>0</v>
      </c>
      <c r="AG8" s="1594" t="s">
        <v>99</v>
      </c>
      <c r="AH8" s="1594"/>
      <c r="AI8" s="1594"/>
      <c r="AJ8" s="1594"/>
      <c r="AK8" s="862"/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670"/>
      <c r="C9" s="1671"/>
      <c r="D9" s="1672"/>
      <c r="E9" s="1670"/>
      <c r="F9" s="1671"/>
      <c r="G9" s="1672"/>
      <c r="H9" s="1592" t="s">
        <v>100</v>
      </c>
      <c r="I9" s="1592"/>
      <c r="J9" s="866" t="str">
        <f>'①Tidak termasuk VAT TAX'!J9</f>
        <v>Jabotabek</v>
      </c>
      <c r="K9" s="1592" t="s">
        <v>102</v>
      </c>
      <c r="L9" s="1592"/>
      <c r="M9" s="867">
        <f>'①Tidak termasuk VAT TAX'!M9</f>
        <v>23423523.600576535</v>
      </c>
      <c r="N9" s="1594"/>
      <c r="O9" s="1594"/>
      <c r="P9" s="868">
        <f>'①Tidak termasuk VAT TAX'!P9</f>
        <v>0</v>
      </c>
      <c r="Q9" s="1601" t="s">
        <v>103</v>
      </c>
      <c r="R9" s="1601"/>
      <c r="S9" s="1601"/>
      <c r="T9" s="862">
        <f>'①Tidak termasuk VAT TAX'!T9</f>
        <v>0</v>
      </c>
      <c r="U9" s="862">
        <f>'①Tidak termasuk VAT TAX'!U9</f>
        <v>0</v>
      </c>
      <c r="V9" s="1587" t="s">
        <v>104</v>
      </c>
      <c r="W9" s="1587"/>
      <c r="X9" s="1587"/>
      <c r="Y9" s="862"/>
      <c r="Z9" s="862"/>
      <c r="AA9" s="862"/>
      <c r="AB9" s="1594" t="s">
        <v>105</v>
      </c>
      <c r="AC9" s="1594"/>
      <c r="AD9" s="1594"/>
      <c r="AE9" s="869">
        <v>0</v>
      </c>
      <c r="AF9" s="862">
        <f>AE9*P7</f>
        <v>0</v>
      </c>
      <c r="AG9" s="1594" t="s">
        <v>106</v>
      </c>
      <c r="AH9" s="1594"/>
      <c r="AI9" s="1594"/>
      <c r="AJ9" s="1594"/>
      <c r="AK9" s="862"/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594" t="s">
        <v>107</v>
      </c>
      <c r="C10" s="1594"/>
      <c r="D10" s="1594"/>
      <c r="E10" s="1594"/>
      <c r="F10" s="1594"/>
      <c r="G10" s="857">
        <f>G14+5%</f>
        <v>0.1348</v>
      </c>
      <c r="H10" s="1592" t="s">
        <v>108</v>
      </c>
      <c r="I10" s="1592"/>
      <c r="J10" s="866">
        <f>'①Tidak termasuk VAT TAX'!J10</f>
        <v>15</v>
      </c>
      <c r="K10" s="1592" t="s">
        <v>109</v>
      </c>
      <c r="L10" s="1592"/>
      <c r="M10" s="867">
        <f>'①Tidak termasuk VAT TAX'!M10</f>
        <v>0</v>
      </c>
      <c r="N10" s="1594" t="s">
        <v>110</v>
      </c>
      <c r="O10" s="1594"/>
      <c r="P10" s="868">
        <f>'①Tidak termasuk VAT TAX'!P10</f>
        <v>0</v>
      </c>
      <c r="Q10" s="1601" t="s">
        <v>111</v>
      </c>
      <c r="R10" s="1601"/>
      <c r="S10" s="1601"/>
      <c r="T10" s="862">
        <f>'①Tidak termasuk VAT TAX'!T10</f>
        <v>0</v>
      </c>
      <c r="U10" s="862">
        <f>'①Tidak termasuk VAT TAX'!U10</f>
        <v>0</v>
      </c>
      <c r="V10" s="1587" t="s">
        <v>112</v>
      </c>
      <c r="W10" s="1587"/>
      <c r="X10" s="876">
        <v>4.8611111111111112E-2</v>
      </c>
      <c r="Y10" s="862"/>
      <c r="Z10" s="862"/>
      <c r="AA10" s="862"/>
      <c r="AB10" s="1594" t="s">
        <v>113</v>
      </c>
      <c r="AC10" s="1594"/>
      <c r="AD10" s="1594"/>
      <c r="AE10" s="862"/>
      <c r="AF10" s="862">
        <v>3</v>
      </c>
      <c r="AG10" s="1594" t="s">
        <v>114</v>
      </c>
      <c r="AH10" s="1594"/>
      <c r="AI10" s="1594"/>
      <c r="AJ10" s="1594"/>
      <c r="AK10" s="862">
        <v>1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594" t="s">
        <v>115</v>
      </c>
      <c r="C11" s="1594"/>
      <c r="D11" s="1594"/>
      <c r="E11" s="1594"/>
      <c r="F11" s="1594"/>
      <c r="G11" s="871"/>
      <c r="H11" s="1592"/>
      <c r="I11" s="1592"/>
      <c r="J11" s="852"/>
      <c r="K11" s="1597" t="s">
        <v>116</v>
      </c>
      <c r="L11" s="1597"/>
      <c r="M11" s="867">
        <f>'①Tidak termasuk VAT TAX'!M11</f>
        <v>0</v>
      </c>
      <c r="N11" s="1594" t="s">
        <v>117</v>
      </c>
      <c r="O11" s="1594"/>
      <c r="P11" s="868">
        <f>'①Tidak termasuk VAT TAX'!P11</f>
        <v>0</v>
      </c>
      <c r="Q11" s="1601" t="s">
        <v>118</v>
      </c>
      <c r="R11" s="1601"/>
      <c r="S11" s="1601"/>
      <c r="T11" s="862">
        <f>'①Tidak termasuk VAT TAX'!T11</f>
        <v>0</v>
      </c>
      <c r="U11" s="862">
        <f>'①Tidak termasuk VAT TAX'!U11</f>
        <v>0</v>
      </c>
      <c r="V11" s="1587" t="s">
        <v>119</v>
      </c>
      <c r="W11" s="1587"/>
      <c r="X11" s="1587"/>
      <c r="Y11" s="862"/>
      <c r="Z11" s="1665"/>
      <c r="AA11" s="1665"/>
      <c r="AB11" s="1594" t="s">
        <v>120</v>
      </c>
      <c r="AC11" s="1594"/>
      <c r="AD11" s="1594"/>
      <c r="AE11" s="862"/>
      <c r="AF11" s="862">
        <v>3</v>
      </c>
      <c r="AG11" s="1594" t="s">
        <v>121</v>
      </c>
      <c r="AH11" s="1594"/>
      <c r="AI11" s="1594"/>
      <c r="AJ11" s="1594"/>
      <c r="AK11" s="862">
        <v>1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594" t="s">
        <v>122</v>
      </c>
      <c r="C12" s="1594"/>
      <c r="D12" s="1594"/>
      <c r="E12" s="1594"/>
      <c r="F12" s="1594"/>
      <c r="G12" s="871"/>
      <c r="H12" s="1596" t="s">
        <v>123</v>
      </c>
      <c r="I12" s="1596"/>
      <c r="J12" s="853"/>
      <c r="K12" s="1592" t="s">
        <v>124</v>
      </c>
      <c r="L12" s="1592"/>
      <c r="M12" s="867">
        <f>'①Tidak termasuk VAT TAX'!M12</f>
        <v>0</v>
      </c>
      <c r="N12" s="1594" t="s">
        <v>125</v>
      </c>
      <c r="O12" s="1594"/>
      <c r="P12" s="868">
        <f>'①Tidak termasuk VAT TAX'!P12</f>
        <v>0</v>
      </c>
      <c r="Q12" s="1602"/>
      <c r="R12" s="1602"/>
      <c r="S12" s="1602"/>
      <c r="T12" s="1646"/>
      <c r="U12" s="1646"/>
      <c r="V12" s="1587"/>
      <c r="W12" s="1587"/>
      <c r="X12" s="1587"/>
      <c r="Y12" s="862"/>
      <c r="Z12" s="1665"/>
      <c r="AA12" s="1665"/>
      <c r="AB12" s="1594" t="s">
        <v>126</v>
      </c>
      <c r="AC12" s="1594"/>
      <c r="AD12" s="1594"/>
      <c r="AE12" s="862"/>
      <c r="AF12" s="862">
        <v>3</v>
      </c>
      <c r="AG12" s="1594" t="s">
        <v>127</v>
      </c>
      <c r="AH12" s="1594"/>
      <c r="AI12" s="1594"/>
      <c r="AJ12" s="1594"/>
      <c r="AK12" s="862">
        <v>1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594" t="s">
        <v>128</v>
      </c>
      <c r="C13" s="1594"/>
      <c r="D13" s="1594"/>
      <c r="E13" s="1594"/>
      <c r="F13" s="1594"/>
      <c r="G13" s="877">
        <f>'①Tidak termasuk VAT TAX'!G13</f>
        <v>0.12759999999999999</v>
      </c>
      <c r="H13" s="1592"/>
      <c r="I13" s="1592"/>
      <c r="J13" s="854"/>
      <c r="K13" s="1598" t="s">
        <v>129</v>
      </c>
      <c r="L13" s="1598"/>
      <c r="M13" s="867">
        <f>'①Tidak termasuk VAT TAX'!M13</f>
        <v>0</v>
      </c>
      <c r="N13" s="1594" t="s">
        <v>130</v>
      </c>
      <c r="O13" s="1594"/>
      <c r="P13" s="868">
        <f>'①Tidak termasuk VAT TAX'!P13</f>
        <v>0</v>
      </c>
      <c r="Q13" s="1569" t="s">
        <v>131</v>
      </c>
      <c r="R13" s="1569"/>
      <c r="S13" s="1569"/>
      <c r="T13" s="872"/>
      <c r="U13" s="873"/>
      <c r="V13" s="1587"/>
      <c r="W13" s="1587"/>
      <c r="X13" s="1587"/>
      <c r="Y13" s="862"/>
      <c r="Z13" s="1665"/>
      <c r="AA13" s="1665"/>
      <c r="AB13" s="1594"/>
      <c r="AC13" s="1594"/>
      <c r="AD13" s="1594"/>
      <c r="AE13" s="862"/>
      <c r="AF13" s="862"/>
      <c r="AG13" s="1594"/>
      <c r="AH13" s="1594"/>
      <c r="AI13" s="1594"/>
      <c r="AJ13" s="1594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594" t="s">
        <v>132</v>
      </c>
      <c r="C14" s="1594"/>
      <c r="D14" s="1594"/>
      <c r="E14" s="1594"/>
      <c r="F14" s="1594"/>
      <c r="G14" s="877">
        <f>'①Tidak termasuk VAT TAX'!G14</f>
        <v>8.48E-2</v>
      </c>
      <c r="H14" s="1592"/>
      <c r="I14" s="1592"/>
      <c r="J14" s="855"/>
      <c r="K14" s="1597" t="s">
        <v>133</v>
      </c>
      <c r="L14" s="1597"/>
      <c r="M14" s="867">
        <f>'①Tidak termasuk VAT TAX'!M14</f>
        <v>56778621.2064</v>
      </c>
      <c r="N14" s="1594" t="s">
        <v>134</v>
      </c>
      <c r="O14" s="1594"/>
      <c r="P14" s="868">
        <f>'①Tidak termasuk VAT TAX'!P14</f>
        <v>0</v>
      </c>
      <c r="Q14" s="1569"/>
      <c r="R14" s="1569"/>
      <c r="S14" s="1569"/>
      <c r="T14" s="874"/>
      <c r="U14" s="873">
        <v>1</v>
      </c>
      <c r="V14" s="1587"/>
      <c r="W14" s="1587"/>
      <c r="X14" s="1587"/>
      <c r="Y14" s="862"/>
      <c r="Z14" s="1665"/>
      <c r="AA14" s="1665"/>
      <c r="AB14" s="1594"/>
      <c r="AC14" s="1594"/>
      <c r="AD14" s="1594"/>
      <c r="AE14" s="862"/>
      <c r="AF14" s="862"/>
      <c r="AG14" s="1594"/>
      <c r="AH14" s="1594"/>
      <c r="AI14" s="1594"/>
      <c r="AJ14" s="1594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594" t="s">
        <v>135</v>
      </c>
      <c r="C15" s="1594"/>
      <c r="D15" s="1594"/>
      <c r="E15" s="1594"/>
      <c r="F15" s="1594"/>
      <c r="G15" s="857">
        <f>G13-G14</f>
        <v>4.2799999999999991E-2</v>
      </c>
      <c r="H15" s="1592"/>
      <c r="I15" s="1592"/>
      <c r="J15" s="855"/>
      <c r="K15" s="1592" t="s">
        <v>136</v>
      </c>
      <c r="L15" s="1592"/>
      <c r="M15" s="867">
        <f>'①Tidak termasuk VAT TAX'!M15</f>
        <v>5161692.8369454592</v>
      </c>
      <c r="N15" s="1594"/>
      <c r="O15" s="1594"/>
      <c r="P15" s="858"/>
      <c r="Q15" s="1586"/>
      <c r="R15" s="1586"/>
      <c r="S15" s="1586"/>
      <c r="T15" s="1587"/>
      <c r="U15" s="1587"/>
      <c r="V15" s="1587"/>
      <c r="W15" s="1587"/>
      <c r="X15" s="1587"/>
      <c r="Y15" s="862"/>
      <c r="Z15" s="1665"/>
      <c r="AA15" s="1665"/>
      <c r="AB15" s="1594"/>
      <c r="AC15" s="1594"/>
      <c r="AD15" s="1594"/>
      <c r="AE15" s="862"/>
      <c r="AF15" s="862"/>
      <c r="AG15" s="1594"/>
      <c r="AH15" s="1594"/>
      <c r="AI15" s="1594"/>
      <c r="AJ15" s="1594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U16" s="920">
        <f>-Calculation!F27</f>
        <v>-4997521.3622125965</v>
      </c>
      <c r="AH16" s="674">
        <f>-AM26</f>
        <v>0</v>
      </c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59" t="s">
        <v>140</v>
      </c>
      <c r="F17" s="1660"/>
      <c r="G17" s="1660"/>
      <c r="H17" s="1660"/>
      <c r="I17" s="1660"/>
      <c r="J17" s="1660"/>
      <c r="K17" s="1660"/>
      <c r="L17" s="1660"/>
      <c r="M17" s="1660"/>
      <c r="N17" s="1660"/>
      <c r="O17" s="1660"/>
      <c r="P17" s="1660"/>
      <c r="Q17" s="1660"/>
      <c r="R17" s="1660"/>
      <c r="S17" s="1660"/>
      <c r="T17" s="1702"/>
      <c r="U17" s="1717" t="s">
        <v>296</v>
      </c>
      <c r="V17" s="1720" t="s">
        <v>142</v>
      </c>
      <c r="W17" s="1721"/>
      <c r="X17" s="1721"/>
      <c r="Y17" s="1721"/>
      <c r="Z17" s="1721"/>
      <c r="AA17" s="1712" t="s">
        <v>288</v>
      </c>
      <c r="AB17" s="1703" t="s">
        <v>297</v>
      </c>
      <c r="AC17" s="1578" t="s">
        <v>298</v>
      </c>
      <c r="AD17" s="1714" t="s">
        <v>290</v>
      </c>
      <c r="AE17" s="859"/>
      <c r="AF17" s="859"/>
      <c r="AG17" s="1691" t="s">
        <v>293</v>
      </c>
      <c r="AH17" s="1656" t="s">
        <v>293</v>
      </c>
      <c r="AI17" s="1659" t="s">
        <v>146</v>
      </c>
      <c r="AJ17" s="1660"/>
      <c r="AK17" s="1660"/>
      <c r="AL17" s="1660"/>
      <c r="AM17" s="1661"/>
      <c r="AN17" s="1659" t="s">
        <v>147</v>
      </c>
      <c r="AO17" s="1660"/>
      <c r="AP17" s="1660"/>
      <c r="AQ17" s="1661"/>
      <c r="AR17" s="1694" t="s">
        <v>148</v>
      </c>
      <c r="AS17" s="1694" t="s">
        <v>149</v>
      </c>
      <c r="AT17" s="1694" t="s">
        <v>150</v>
      </c>
      <c r="AU17" s="1535" t="s">
        <v>151</v>
      </c>
    </row>
    <row r="18" spans="1:91" s="680" customFormat="1" ht="18" customHeight="1">
      <c r="B18" s="684"/>
      <c r="C18" s="685"/>
      <c r="D18" s="686"/>
      <c r="E18" s="1538" t="s">
        <v>279</v>
      </c>
      <c r="F18" s="1539"/>
      <c r="G18" s="1539" t="s">
        <v>154</v>
      </c>
      <c r="H18" s="1539"/>
      <c r="I18" s="1539" t="s">
        <v>280</v>
      </c>
      <c r="J18" s="1539"/>
      <c r="K18" s="1539" t="s">
        <v>277</v>
      </c>
      <c r="L18" s="1539"/>
      <c r="M18" s="1687" t="s">
        <v>157</v>
      </c>
      <c r="N18" s="1687" t="s">
        <v>158</v>
      </c>
      <c r="O18" s="1687" t="s">
        <v>159</v>
      </c>
      <c r="P18" s="1539" t="s">
        <v>160</v>
      </c>
      <c r="Q18" s="1690"/>
      <c r="R18" s="1706" t="s">
        <v>161</v>
      </c>
      <c r="S18" s="1706" t="s">
        <v>162</v>
      </c>
      <c r="T18" s="1709" t="s">
        <v>163</v>
      </c>
      <c r="U18" s="1718"/>
      <c r="V18" s="1583" t="s">
        <v>164</v>
      </c>
      <c r="W18" s="1547"/>
      <c r="X18" s="1547" t="s">
        <v>165</v>
      </c>
      <c r="Y18" s="1547"/>
      <c r="Z18" s="1547"/>
      <c r="AA18" s="1610"/>
      <c r="AB18" s="1704"/>
      <c r="AC18" s="1579"/>
      <c r="AD18" s="1715"/>
      <c r="AE18" s="860"/>
      <c r="AF18" s="860"/>
      <c r="AG18" s="1692"/>
      <c r="AH18" s="1657"/>
      <c r="AI18" s="1675" t="s">
        <v>294</v>
      </c>
      <c r="AJ18" s="1678" t="s">
        <v>167</v>
      </c>
      <c r="AK18" s="1678" t="s">
        <v>168</v>
      </c>
      <c r="AL18" s="1681" t="s">
        <v>169</v>
      </c>
      <c r="AM18" s="1684" t="s">
        <v>170</v>
      </c>
      <c r="AN18" s="1697" t="s">
        <v>171</v>
      </c>
      <c r="AO18" s="1700" t="s">
        <v>172</v>
      </c>
      <c r="AP18" s="1678" t="s">
        <v>173</v>
      </c>
      <c r="AQ18" s="687" t="s">
        <v>174</v>
      </c>
      <c r="AR18" s="1695"/>
      <c r="AS18" s="1695"/>
      <c r="AT18" s="1695"/>
      <c r="AU18" s="1536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673" t="s">
        <v>276</v>
      </c>
      <c r="F19" s="1609" t="s">
        <v>182</v>
      </c>
      <c r="G19" s="1663" t="s">
        <v>181</v>
      </c>
      <c r="H19" s="1609" t="s">
        <v>182</v>
      </c>
      <c r="I19" s="1663" t="s">
        <v>276</v>
      </c>
      <c r="J19" s="1609" t="s">
        <v>182</v>
      </c>
      <c r="K19" s="1663" t="s">
        <v>183</v>
      </c>
      <c r="L19" s="1609" t="s">
        <v>182</v>
      </c>
      <c r="M19" s="1688"/>
      <c r="N19" s="1688"/>
      <c r="O19" s="1688"/>
      <c r="P19" s="1663" t="s">
        <v>183</v>
      </c>
      <c r="Q19" s="1609" t="s">
        <v>182</v>
      </c>
      <c r="R19" s="1707"/>
      <c r="S19" s="1707"/>
      <c r="T19" s="1710"/>
      <c r="U19" s="1718"/>
      <c r="V19" s="1583" t="s">
        <v>184</v>
      </c>
      <c r="W19" s="1547" t="s">
        <v>169</v>
      </c>
      <c r="X19" s="1547" t="s">
        <v>185</v>
      </c>
      <c r="Y19" s="1539" t="s">
        <v>169</v>
      </c>
      <c r="Z19" s="1547" t="s">
        <v>285</v>
      </c>
      <c r="AA19" s="1610"/>
      <c r="AB19" s="1704"/>
      <c r="AC19" s="1579"/>
      <c r="AD19" s="1715"/>
      <c r="AE19" s="860" t="s">
        <v>291</v>
      </c>
      <c r="AF19" s="860" t="s">
        <v>292</v>
      </c>
      <c r="AG19" s="1692"/>
      <c r="AH19" s="1657"/>
      <c r="AI19" s="1676"/>
      <c r="AJ19" s="1679"/>
      <c r="AK19" s="1679"/>
      <c r="AL19" s="1682"/>
      <c r="AM19" s="1685"/>
      <c r="AN19" s="1698"/>
      <c r="AO19" s="1700"/>
      <c r="AP19" s="1679"/>
      <c r="AQ19" s="690"/>
      <c r="AR19" s="1695"/>
      <c r="AS19" s="1695"/>
      <c r="AT19" s="1695"/>
      <c r="AU19" s="1536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674"/>
      <c r="F20" s="1662"/>
      <c r="G20" s="1664"/>
      <c r="H20" s="1662"/>
      <c r="I20" s="1664"/>
      <c r="J20" s="1662"/>
      <c r="K20" s="1664"/>
      <c r="L20" s="1662"/>
      <c r="M20" s="1689"/>
      <c r="N20" s="1689"/>
      <c r="O20" s="1689"/>
      <c r="P20" s="1664"/>
      <c r="Q20" s="1662"/>
      <c r="R20" s="1708"/>
      <c r="S20" s="1708"/>
      <c r="T20" s="1711"/>
      <c r="U20" s="1719"/>
      <c r="V20" s="1649"/>
      <c r="W20" s="1548"/>
      <c r="X20" s="1548"/>
      <c r="Y20" s="1549"/>
      <c r="Z20" s="1549"/>
      <c r="AA20" s="1713"/>
      <c r="AB20" s="1705"/>
      <c r="AC20" s="1580"/>
      <c r="AD20" s="1716"/>
      <c r="AE20" s="861"/>
      <c r="AF20" s="861"/>
      <c r="AG20" s="1693"/>
      <c r="AH20" s="1658"/>
      <c r="AI20" s="1677"/>
      <c r="AJ20" s="1680"/>
      <c r="AK20" s="1680"/>
      <c r="AL20" s="1683"/>
      <c r="AM20" s="1686"/>
      <c r="AN20" s="1699"/>
      <c r="AO20" s="1701"/>
      <c r="AP20" s="1680"/>
      <c r="AQ20" s="694"/>
      <c r="AR20" s="1696"/>
      <c r="AS20" s="1696"/>
      <c r="AT20" s="1696"/>
      <c r="AU20" s="1537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698"/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703">
        <v>-3</v>
      </c>
      <c r="B22" s="704" t="str">
        <f>IF(E22+G22+I22&lt;0,0,"  ")</f>
        <v xml:space="preserve">  </v>
      </c>
      <c r="C22" s="705">
        <f>IF($C23=1,12,$C23-1)</f>
        <v>10</v>
      </c>
      <c r="D22" s="706">
        <f>IF($C25=1,$D$25-1,"             ")</f>
        <v>2017</v>
      </c>
      <c r="E22" s="707"/>
      <c r="F22" s="708"/>
      <c r="G22" s="709"/>
      <c r="H22" s="708"/>
      <c r="I22" s="709"/>
      <c r="J22" s="708"/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/>
      <c r="V22" s="711"/>
      <c r="W22" s="712"/>
      <c r="X22" s="713"/>
      <c r="Y22" s="712"/>
      <c r="Z22" s="714">
        <f>'①Tidak termasuk VAT TAX'!AJ22*10%</f>
        <v>0</v>
      </c>
      <c r="AA22" s="713"/>
      <c r="AB22" s="715"/>
      <c r="AC22" s="716">
        <f t="shared" ref="AC22:AC85" si="0">U22+AB22</f>
        <v>0</v>
      </c>
      <c r="AD22" s="717">
        <f>E22+G22+I22+K22+M22+N22+O22+P22+R22+S22+T22+V22+X22+AA22</f>
        <v>0</v>
      </c>
      <c r="AE22" s="717"/>
      <c r="AF22" s="717"/>
      <c r="AG22" s="717"/>
      <c r="AH22" s="718"/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703">
        <v>-2</v>
      </c>
      <c r="B23" s="727" t="str">
        <f>IF(B22=0,1,IF(E23+G23+I23&lt;0,0,"  "))</f>
        <v xml:space="preserve">  </v>
      </c>
      <c r="C23" s="728">
        <f>IF($C24=1,12,$C24-1)</f>
        <v>11</v>
      </c>
      <c r="D23" s="729"/>
      <c r="E23" s="730"/>
      <c r="F23" s="731"/>
      <c r="G23" s="732"/>
      <c r="H23" s="731"/>
      <c r="I23" s="732"/>
      <c r="J23" s="731"/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/>
      <c r="V23" s="734"/>
      <c r="W23" s="727"/>
      <c r="X23" s="735"/>
      <c r="Y23" s="727"/>
      <c r="Z23" s="736">
        <f>'①Tidak termasuk VAT TAX'!AJ23*10%</f>
        <v>0</v>
      </c>
      <c r="AA23" s="735"/>
      <c r="AB23" s="737"/>
      <c r="AC23" s="738">
        <f t="shared" si="0"/>
        <v>0</v>
      </c>
      <c r="AD23" s="739">
        <f>E23+G23+I23+K23+M23+N23+O23+P23+R23+S23+T23+V23+X23+AA23</f>
        <v>0</v>
      </c>
      <c r="AE23" s="739"/>
      <c r="AF23" s="739"/>
      <c r="AG23" s="739">
        <f>IF(AC23&lt;0,PV($G$14/12,$B23,0,$AC23*-1,0),0)</f>
        <v>0</v>
      </c>
      <c r="AH23" s="740"/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703">
        <v>-1</v>
      </c>
      <c r="B24" s="727" t="str">
        <f>IF(B22=0,2,IF(B23=0,1,IF(E24+G24+I24&lt;0,0,"  ")))</f>
        <v xml:space="preserve">  </v>
      </c>
      <c r="C24" s="728">
        <f>IF($C25=1,12,$C25-1)</f>
        <v>12</v>
      </c>
      <c r="D24" s="729"/>
      <c r="E24" s="730"/>
      <c r="F24" s="731"/>
      <c r="G24" s="732"/>
      <c r="H24" s="731"/>
      <c r="I24" s="732"/>
      <c r="J24" s="731"/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/>
      <c r="V24" s="734"/>
      <c r="W24" s="727"/>
      <c r="X24" s="735"/>
      <c r="Y24" s="727"/>
      <c r="Z24" s="736">
        <f>'①Tidak termasuk VAT TAX'!AJ24*10%</f>
        <v>0</v>
      </c>
      <c r="AA24" s="735"/>
      <c r="AB24" s="737"/>
      <c r="AC24" s="738">
        <f>U24+AB24</f>
        <v>0</v>
      </c>
      <c r="AD24" s="739">
        <f>E24+G24+I24+K24+M24+N24+O24+P24+R24+S24+T24+V24+X24+AA24</f>
        <v>0</v>
      </c>
      <c r="AE24" s="739"/>
      <c r="AF24" s="739"/>
      <c r="AG24" s="739">
        <f>IF(AC24&lt;0,PV($G$14/12,$B24,0,$AC24*-1,0),0)</f>
        <v>0</v>
      </c>
      <c r="AH24" s="740"/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/>
      <c r="G25" s="753"/>
      <c r="H25" s="752"/>
      <c r="I25" s="753"/>
      <c r="J25" s="752"/>
      <c r="K25" s="753"/>
      <c r="L25" s="752"/>
      <c r="M25" s="753"/>
      <c r="N25" s="753"/>
      <c r="O25" s="753"/>
      <c r="P25" s="753"/>
      <c r="Q25" s="752"/>
      <c r="R25" s="753"/>
      <c r="S25" s="753"/>
      <c r="T25" s="753"/>
      <c r="U25" s="754"/>
      <c r="V25" s="751"/>
      <c r="W25" s="752"/>
      <c r="X25" s="753"/>
      <c r="Y25" s="752"/>
      <c r="Z25" s="736"/>
      <c r="AA25" s="753"/>
      <c r="AB25" s="754"/>
      <c r="AC25" s="738">
        <f>U25+AB25</f>
        <v>0</v>
      </c>
      <c r="AD25" s="739">
        <f>AC24+AC25</f>
        <v>0</v>
      </c>
      <c r="AE25" s="739"/>
      <c r="AF25" s="739"/>
      <c r="AG25" s="739">
        <f>PV($G$14/12,$B25,0,$AC25*-1,1)</f>
        <v>0</v>
      </c>
      <c r="AH25" s="740">
        <f>AG25</f>
        <v>0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">IF($C25=12,1,$C25+1)</f>
        <v>2</v>
      </c>
      <c r="D26" s="729" t="str">
        <f t="shared" ref="D26:D37" si="2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/>
      <c r="R26" s="753"/>
      <c r="S26" s="753"/>
      <c r="T26" s="753"/>
      <c r="U26" s="754"/>
      <c r="V26" s="751"/>
      <c r="W26" s="752"/>
      <c r="X26" s="753"/>
      <c r="Y26" s="752"/>
      <c r="Z26" s="736"/>
      <c r="AA26" s="761"/>
      <c r="AB26" s="754">
        <f>IF(B26&lt;=$J$7,-$U$16*0.02,)</f>
        <v>99950.427244251929</v>
      </c>
      <c r="AC26" s="738">
        <f>U26+AB26</f>
        <v>99950.427244251929</v>
      </c>
      <c r="AD26" s="739">
        <f>AC25+AC26</f>
        <v>99950.427244251929</v>
      </c>
      <c r="AE26" s="739">
        <f>IF(AD26&gt;=0,AC26,-AD25)</f>
        <v>99950.427244251929</v>
      </c>
      <c r="AF26" s="739">
        <f>AE26</f>
        <v>99950.427244251929</v>
      </c>
      <c r="AG26" s="739">
        <f>PV($G$14/12,$B26,0,$AE26*-1,0)</f>
        <v>99249.067169586837</v>
      </c>
      <c r="AH26" s="740">
        <f>AG26</f>
        <v>99249.067169586837</v>
      </c>
      <c r="AI26" s="738">
        <f>-PMT($G$14/12,$J$7,$AH$91,,0)</f>
        <v>703.00054730491809</v>
      </c>
      <c r="AJ26" s="762"/>
      <c r="AK26" s="763"/>
      <c r="AL26" s="752">
        <f>-AI26</f>
        <v>-703.00054730491809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3">B26+1</f>
        <v>2</v>
      </c>
      <c r="C27" s="728">
        <f t="shared" si="1"/>
        <v>3</v>
      </c>
      <c r="D27" s="729" t="str">
        <f t="shared" si="2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/>
      <c r="R27" s="753"/>
      <c r="S27" s="753"/>
      <c r="T27" s="753"/>
      <c r="U27" s="754"/>
      <c r="V27" s="751"/>
      <c r="W27" s="752"/>
      <c r="X27" s="753"/>
      <c r="Y27" s="752"/>
      <c r="Z27" s="736"/>
      <c r="AA27" s="753"/>
      <c r="AB27" s="754">
        <f t="shared" ref="AB27:AB90" si="4">IF(B27&lt;=$J$7,-$U$16*0.02,)</f>
        <v>99950.427244251929</v>
      </c>
      <c r="AC27" s="738">
        <f>U27+AB27</f>
        <v>99950.427244251929</v>
      </c>
      <c r="AD27" s="739">
        <f>AD26+AC27</f>
        <v>199900.85448850386</v>
      </c>
      <c r="AE27" s="739">
        <f t="shared" ref="AE27:AE90" si="5">IF(AD27&gt;=0,AC27,-AD26)</f>
        <v>99950.427244251929</v>
      </c>
      <c r="AF27" s="739">
        <f t="shared" ref="AF27:AF90" si="6">AE27</f>
        <v>99950.427244251929</v>
      </c>
      <c r="AG27" s="739">
        <f t="shared" ref="AG27:AG29" si="7">PV($G$14/12,$B27,0,$AE27*-1,0)</f>
        <v>98552.628594187889</v>
      </c>
      <c r="AH27" s="740">
        <f>AG27</f>
        <v>98552.628594187889</v>
      </c>
      <c r="AI27" s="738">
        <f>IF(AU27&lt;=$J$7,AI26,0)</f>
        <v>703.00054730491809</v>
      </c>
      <c r="AJ27" s="762"/>
      <c r="AK27" s="763"/>
      <c r="AL27" s="752">
        <f>-AI27</f>
        <v>-703.00054730491809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3"/>
        <v>3</v>
      </c>
      <c r="C28" s="728">
        <f t="shared" si="1"/>
        <v>4</v>
      </c>
      <c r="D28" s="729" t="str">
        <f t="shared" si="2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/>
      <c r="R28" s="753"/>
      <c r="S28" s="753"/>
      <c r="T28" s="753"/>
      <c r="U28" s="754">
        <f>IF(B28&lt;=$J$7,$U$16*0.02*3,)</f>
        <v>-299851.28173275577</v>
      </c>
      <c r="V28" s="751"/>
      <c r="W28" s="752"/>
      <c r="X28" s="753"/>
      <c r="Y28" s="752"/>
      <c r="Z28" s="736"/>
      <c r="AA28" s="753"/>
      <c r="AB28" s="754">
        <f t="shared" si="4"/>
        <v>99950.427244251929</v>
      </c>
      <c r="AC28" s="738">
        <f>U28+AB28</f>
        <v>-199900.85448850383</v>
      </c>
      <c r="AD28" s="739">
        <f>AD27+AC28</f>
        <v>0</v>
      </c>
      <c r="AE28" s="739">
        <f t="shared" si="5"/>
        <v>-199900.85448850383</v>
      </c>
      <c r="AF28" s="739">
        <f>AE28</f>
        <v>-199900.85448850383</v>
      </c>
      <c r="AG28" s="739">
        <f t="shared" si="7"/>
        <v>-195722.1539670089</v>
      </c>
      <c r="AH28" s="740">
        <f t="shared" ref="AH28:AH90" si="8">AG28</f>
        <v>-195722.1539670089</v>
      </c>
      <c r="AI28" s="738">
        <f>IF(AU28&lt;=$J$7,AI27,0)</f>
        <v>703.00054730491809</v>
      </c>
      <c r="AJ28" s="762"/>
      <c r="AK28" s="763"/>
      <c r="AL28" s="752">
        <f t="shared" ref="AL28:AL90" si="9">-AI28</f>
        <v>-703.00054730491809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3"/>
        <v>4</v>
      </c>
      <c r="C29" s="728">
        <f t="shared" si="1"/>
        <v>5</v>
      </c>
      <c r="D29" s="729" t="str">
        <f t="shared" si="2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/>
      <c r="R29" s="753"/>
      <c r="S29" s="753"/>
      <c r="T29" s="753"/>
      <c r="U29" s="754"/>
      <c r="V29" s="751"/>
      <c r="W29" s="752"/>
      <c r="X29" s="753"/>
      <c r="Y29" s="752"/>
      <c r="Z29" s="736"/>
      <c r="AA29" s="753"/>
      <c r="AB29" s="754">
        <f t="shared" si="4"/>
        <v>99950.427244251929</v>
      </c>
      <c r="AC29" s="738">
        <f t="shared" si="0"/>
        <v>99950.427244251929</v>
      </c>
      <c r="AD29" s="739">
        <f>AD28+AC29</f>
        <v>99950.427244251929</v>
      </c>
      <c r="AE29" s="739">
        <f t="shared" si="5"/>
        <v>99950.427244251929</v>
      </c>
      <c r="AF29" s="739">
        <f t="shared" si="6"/>
        <v>99950.427244251929</v>
      </c>
      <c r="AG29" s="739">
        <f t="shared" si="7"/>
        <v>97174.378045317513</v>
      </c>
      <c r="AH29" s="740">
        <f t="shared" si="8"/>
        <v>97174.378045317513</v>
      </c>
      <c r="AI29" s="738">
        <f>IF(AU29&lt;=$J$7,AI28,0)</f>
        <v>703.00054730491809</v>
      </c>
      <c r="AJ29" s="762"/>
      <c r="AK29" s="763"/>
      <c r="AL29" s="752">
        <f t="shared" si="9"/>
        <v>-703.00054730491809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10">AU28+1</f>
        <v>4</v>
      </c>
    </row>
    <row r="30" spans="1:91" s="675" customFormat="1" ht="15.75" customHeight="1">
      <c r="B30" s="727">
        <f t="shared" si="3"/>
        <v>5</v>
      </c>
      <c r="C30" s="728">
        <f t="shared" si="1"/>
        <v>6</v>
      </c>
      <c r="D30" s="729" t="str">
        <f t="shared" si="2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/>
      <c r="R30" s="753"/>
      <c r="S30" s="753"/>
      <c r="T30" s="753"/>
      <c r="U30" s="754"/>
      <c r="V30" s="751"/>
      <c r="W30" s="752"/>
      <c r="X30" s="753"/>
      <c r="Y30" s="752"/>
      <c r="Z30" s="736"/>
      <c r="AA30" s="753"/>
      <c r="AB30" s="754">
        <f t="shared" si="4"/>
        <v>99950.427244251929</v>
      </c>
      <c r="AC30" s="738">
        <f t="shared" si="0"/>
        <v>99950.427244251929</v>
      </c>
      <c r="AD30" s="739">
        <f>AD29+AC30</f>
        <v>199900.85448850386</v>
      </c>
      <c r="AE30" s="739">
        <f t="shared" si="5"/>
        <v>99950.427244251929</v>
      </c>
      <c r="AF30" s="739">
        <f t="shared" si="6"/>
        <v>99950.427244251929</v>
      </c>
      <c r="AG30" s="739">
        <f t="shared" ref="AG30:AG90" si="11">PV($G$14/12,$B30,0,$AE30*-1,0)</f>
        <v>96492.497728039365</v>
      </c>
      <c r="AH30" s="740">
        <f t="shared" si="8"/>
        <v>96492.497728039365</v>
      </c>
      <c r="AI30" s="738">
        <f t="shared" ref="AI30:AI90" si="12">IF(AU30&lt;=$J$7,AI29,0)</f>
        <v>703.00054730491809</v>
      </c>
      <c r="AJ30" s="762"/>
      <c r="AK30" s="763"/>
      <c r="AL30" s="752">
        <f t="shared" si="9"/>
        <v>-703.00054730491809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10"/>
        <v>5</v>
      </c>
    </row>
    <row r="31" spans="1:91" s="675" customFormat="1" ht="15.75" customHeight="1">
      <c r="B31" s="727">
        <f t="shared" si="3"/>
        <v>6</v>
      </c>
      <c r="C31" s="728">
        <f t="shared" si="1"/>
        <v>7</v>
      </c>
      <c r="D31" s="729" t="str">
        <f t="shared" si="2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/>
      <c r="R31" s="753"/>
      <c r="S31" s="753"/>
      <c r="T31" s="753"/>
      <c r="U31" s="754">
        <f>IF(B31&lt;=$J$7,$U$16*0.02*3,)</f>
        <v>-299851.28173275577</v>
      </c>
      <c r="V31" s="751"/>
      <c r="W31" s="752"/>
      <c r="X31" s="753"/>
      <c r="Y31" s="752"/>
      <c r="Z31" s="736"/>
      <c r="AA31" s="753"/>
      <c r="AB31" s="754">
        <f t="shared" si="4"/>
        <v>99950.427244251929</v>
      </c>
      <c r="AC31" s="738">
        <f t="shared" si="0"/>
        <v>-199900.85448850383</v>
      </c>
      <c r="AD31" s="739">
        <f t="shared" ref="AD31:AD84" si="13">AD30+AC31</f>
        <v>0</v>
      </c>
      <c r="AE31" s="739">
        <f t="shared" si="5"/>
        <v>-199900.85448850383</v>
      </c>
      <c r="AF31" s="739">
        <f t="shared" si="6"/>
        <v>-199900.85448850383</v>
      </c>
      <c r="AG31" s="739">
        <f t="shared" si="11"/>
        <v>-191630.80443804976</v>
      </c>
      <c r="AH31" s="740">
        <f t="shared" si="8"/>
        <v>-191630.80443804976</v>
      </c>
      <c r="AI31" s="738">
        <f t="shared" si="12"/>
        <v>703.00054730491809</v>
      </c>
      <c r="AJ31" s="762"/>
      <c r="AK31" s="763"/>
      <c r="AL31" s="752">
        <f t="shared" si="9"/>
        <v>-703.00054730491809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10"/>
        <v>6</v>
      </c>
    </row>
    <row r="32" spans="1:91" s="675" customFormat="1" ht="15.75" customHeight="1">
      <c r="B32" s="727">
        <f t="shared" si="3"/>
        <v>7</v>
      </c>
      <c r="C32" s="728">
        <f t="shared" si="1"/>
        <v>8</v>
      </c>
      <c r="D32" s="729" t="str">
        <f t="shared" si="2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/>
      <c r="R32" s="753"/>
      <c r="S32" s="753"/>
      <c r="T32" s="753"/>
      <c r="U32" s="754"/>
      <c r="V32" s="751"/>
      <c r="W32" s="752"/>
      <c r="X32" s="753"/>
      <c r="Y32" s="752"/>
      <c r="Z32" s="736"/>
      <c r="AA32" s="753"/>
      <c r="AB32" s="754">
        <f t="shared" si="4"/>
        <v>99950.427244251929</v>
      </c>
      <c r="AC32" s="738">
        <f t="shared" si="0"/>
        <v>99950.427244251929</v>
      </c>
      <c r="AD32" s="739">
        <f>AD31+AC32</f>
        <v>99950.427244251929</v>
      </c>
      <c r="AE32" s="739">
        <f t="shared" si="5"/>
        <v>99950.427244251929</v>
      </c>
      <c r="AF32" s="739">
        <f t="shared" si="6"/>
        <v>99950.427244251929</v>
      </c>
      <c r="AG32" s="739">
        <f t="shared" si="11"/>
        <v>95143.057942895102</v>
      </c>
      <c r="AH32" s="740">
        <f t="shared" si="8"/>
        <v>95143.057942895102</v>
      </c>
      <c r="AI32" s="738">
        <f t="shared" si="12"/>
        <v>703.00054730491809</v>
      </c>
      <c r="AJ32" s="762"/>
      <c r="AK32" s="763"/>
      <c r="AL32" s="752">
        <f t="shared" si="9"/>
        <v>-703.00054730491809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10"/>
        <v>7</v>
      </c>
    </row>
    <row r="33" spans="2:47" s="675" customFormat="1" ht="15.75" customHeight="1">
      <c r="B33" s="727">
        <f t="shared" si="3"/>
        <v>8</v>
      </c>
      <c r="C33" s="728">
        <f t="shared" si="1"/>
        <v>9</v>
      </c>
      <c r="D33" s="729" t="str">
        <f t="shared" si="2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/>
      <c r="R33" s="753"/>
      <c r="S33" s="753"/>
      <c r="T33" s="753"/>
      <c r="U33" s="754"/>
      <c r="V33" s="751"/>
      <c r="W33" s="752"/>
      <c r="X33" s="753"/>
      <c r="Y33" s="752"/>
      <c r="Z33" s="736"/>
      <c r="AA33" s="753"/>
      <c r="AB33" s="754">
        <f t="shared" si="4"/>
        <v>99950.427244251929</v>
      </c>
      <c r="AC33" s="738">
        <f t="shared" si="0"/>
        <v>99950.427244251929</v>
      </c>
      <c r="AD33" s="739">
        <f t="shared" si="13"/>
        <v>199900.85448850386</v>
      </c>
      <c r="AE33" s="739">
        <f t="shared" si="5"/>
        <v>99950.427244251929</v>
      </c>
      <c r="AF33" s="739">
        <f t="shared" si="6"/>
        <v>99950.427244251929</v>
      </c>
      <c r="AG33" s="739">
        <f t="shared" si="11"/>
        <v>94475.431559871984</v>
      </c>
      <c r="AH33" s="740">
        <f t="shared" si="8"/>
        <v>94475.431559871984</v>
      </c>
      <c r="AI33" s="738">
        <f t="shared" si="12"/>
        <v>703.00054730491809</v>
      </c>
      <c r="AJ33" s="762"/>
      <c r="AK33" s="763"/>
      <c r="AL33" s="752">
        <f t="shared" si="9"/>
        <v>-703.00054730491809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10"/>
        <v>8</v>
      </c>
    </row>
    <row r="34" spans="2:47" s="675" customFormat="1" ht="15.75" customHeight="1">
      <c r="B34" s="727">
        <f t="shared" si="3"/>
        <v>9</v>
      </c>
      <c r="C34" s="728">
        <f t="shared" si="1"/>
        <v>10</v>
      </c>
      <c r="D34" s="729" t="str">
        <f t="shared" si="2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/>
      <c r="R34" s="753"/>
      <c r="S34" s="753"/>
      <c r="T34" s="753"/>
      <c r="U34" s="754">
        <f>IF(B34&lt;=$J$7,$U$16*0.02*3,)</f>
        <v>-299851.28173275577</v>
      </c>
      <c r="V34" s="751"/>
      <c r="W34" s="752"/>
      <c r="X34" s="753"/>
      <c r="Y34" s="752"/>
      <c r="Z34" s="736"/>
      <c r="AA34" s="753"/>
      <c r="AB34" s="754">
        <f t="shared" si="4"/>
        <v>99950.427244251929</v>
      </c>
      <c r="AC34" s="738">
        <f t="shared" si="0"/>
        <v>-199900.85448850383</v>
      </c>
      <c r="AD34" s="739">
        <f t="shared" si="13"/>
        <v>0</v>
      </c>
      <c r="AE34" s="739">
        <f t="shared" si="5"/>
        <v>-199900.85448850383</v>
      </c>
      <c r="AF34" s="739">
        <f t="shared" si="6"/>
        <v>-199900.85448850383</v>
      </c>
      <c r="AG34" s="739">
        <f t="shared" si="11"/>
        <v>-187624.97992825095</v>
      </c>
      <c r="AH34" s="740">
        <f t="shared" si="8"/>
        <v>-187624.97992825095</v>
      </c>
      <c r="AI34" s="738">
        <f t="shared" si="12"/>
        <v>703.00054730491809</v>
      </c>
      <c r="AJ34" s="762"/>
      <c r="AK34" s="763"/>
      <c r="AL34" s="752">
        <f t="shared" si="9"/>
        <v>-703.00054730491809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10"/>
        <v>9</v>
      </c>
    </row>
    <row r="35" spans="2:47" s="675" customFormat="1" ht="15.75" customHeight="1">
      <c r="B35" s="727">
        <f t="shared" si="3"/>
        <v>10</v>
      </c>
      <c r="C35" s="728">
        <f t="shared" si="1"/>
        <v>11</v>
      </c>
      <c r="D35" s="729" t="str">
        <f t="shared" si="2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/>
      <c r="R35" s="753"/>
      <c r="S35" s="753"/>
      <c r="T35" s="753"/>
      <c r="U35" s="754"/>
      <c r="V35" s="751"/>
      <c r="W35" s="752"/>
      <c r="X35" s="753"/>
      <c r="Y35" s="752"/>
      <c r="Z35" s="736"/>
      <c r="AA35" s="753"/>
      <c r="AB35" s="754">
        <f t="shared" si="4"/>
        <v>99950.427244251929</v>
      </c>
      <c r="AC35" s="738">
        <f t="shared" si="0"/>
        <v>99950.427244251929</v>
      </c>
      <c r="AD35" s="739">
        <f t="shared" si="13"/>
        <v>99950.427244251929</v>
      </c>
      <c r="AE35" s="739">
        <f t="shared" si="5"/>
        <v>99950.427244251929</v>
      </c>
      <c r="AF35" s="739">
        <f t="shared" si="6"/>
        <v>99950.427244251929</v>
      </c>
      <c r="AG35" s="739">
        <f t="shared" si="11"/>
        <v>93154.200282131729</v>
      </c>
      <c r="AH35" s="740">
        <f t="shared" si="8"/>
        <v>93154.200282131729</v>
      </c>
      <c r="AI35" s="738">
        <f t="shared" si="12"/>
        <v>703.00054730491809</v>
      </c>
      <c r="AJ35" s="762"/>
      <c r="AK35" s="763"/>
      <c r="AL35" s="752">
        <f t="shared" si="9"/>
        <v>-703.00054730491809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10"/>
        <v>10</v>
      </c>
    </row>
    <row r="36" spans="2:47" s="675" customFormat="1" ht="15.75" customHeight="1">
      <c r="B36" s="727">
        <f t="shared" si="3"/>
        <v>11</v>
      </c>
      <c r="C36" s="728">
        <f t="shared" si="1"/>
        <v>12</v>
      </c>
      <c r="D36" s="729" t="str">
        <f t="shared" si="2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/>
      <c r="R36" s="753"/>
      <c r="S36" s="753"/>
      <c r="T36" s="753"/>
      <c r="U36" s="754"/>
      <c r="V36" s="751"/>
      <c r="W36" s="752"/>
      <c r="X36" s="753"/>
      <c r="Y36" s="752"/>
      <c r="Z36" s="736"/>
      <c r="AA36" s="753"/>
      <c r="AB36" s="754">
        <f t="shared" si="4"/>
        <v>99950.427244251929</v>
      </c>
      <c r="AC36" s="738">
        <f>U36+AB36</f>
        <v>99950.427244251929</v>
      </c>
      <c r="AD36" s="739">
        <f t="shared" si="13"/>
        <v>199900.85448850386</v>
      </c>
      <c r="AE36" s="739">
        <f t="shared" si="5"/>
        <v>99950.427244251929</v>
      </c>
      <c r="AF36" s="739">
        <f t="shared" si="6"/>
        <v>99950.427244251929</v>
      </c>
      <c r="AG36" s="739">
        <f t="shared" si="11"/>
        <v>92500.529871043036</v>
      </c>
      <c r="AH36" s="740">
        <f t="shared" si="8"/>
        <v>92500.529871043036</v>
      </c>
      <c r="AI36" s="738">
        <f t="shared" si="12"/>
        <v>703.00054730491809</v>
      </c>
      <c r="AJ36" s="762"/>
      <c r="AK36" s="763"/>
      <c r="AL36" s="752">
        <f t="shared" si="9"/>
        <v>-703.00054730491809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10"/>
        <v>11</v>
      </c>
    </row>
    <row r="37" spans="2:47" s="675" customFormat="1" ht="15.75" customHeight="1">
      <c r="B37" s="727">
        <f t="shared" si="3"/>
        <v>12</v>
      </c>
      <c r="C37" s="728">
        <f t="shared" si="1"/>
        <v>1</v>
      </c>
      <c r="D37" s="729">
        <f t="shared" si="2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/>
      <c r="R37" s="753"/>
      <c r="S37" s="753"/>
      <c r="T37" s="753"/>
      <c r="U37" s="754">
        <f>IF(B37&lt;=$J$7,$U$16*0.02*3,)</f>
        <v>-299851.28173275577</v>
      </c>
      <c r="V37" s="751"/>
      <c r="W37" s="752"/>
      <c r="X37" s="753"/>
      <c r="Y37" s="752"/>
      <c r="Z37" s="736"/>
      <c r="AA37" s="753"/>
      <c r="AB37" s="754">
        <f t="shared" si="4"/>
        <v>99950.427244251929</v>
      </c>
      <c r="AC37" s="738">
        <f t="shared" si="0"/>
        <v>-199900.85448850383</v>
      </c>
      <c r="AD37" s="739">
        <f t="shared" si="13"/>
        <v>0</v>
      </c>
      <c r="AE37" s="739">
        <f t="shared" si="5"/>
        <v>-199900.85448850383</v>
      </c>
      <c r="AF37" s="739">
        <f t="shared" si="6"/>
        <v>-199900.85448850383</v>
      </c>
      <c r="AG37" s="739">
        <f t="shared" si="11"/>
        <v>-183702.89263413809</v>
      </c>
      <c r="AH37" s="740">
        <f t="shared" si="8"/>
        <v>-183702.89263413809</v>
      </c>
      <c r="AI37" s="738">
        <f t="shared" si="12"/>
        <v>703.00054730491809</v>
      </c>
      <c r="AJ37" s="762"/>
      <c r="AK37" s="763"/>
      <c r="AL37" s="752">
        <f t="shared" si="9"/>
        <v>-703.00054730491809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10"/>
        <v>12</v>
      </c>
    </row>
    <row r="38" spans="2:47" s="675" customFormat="1" ht="16.5" customHeight="1">
      <c r="B38" s="727">
        <f t="shared" si="3"/>
        <v>13</v>
      </c>
      <c r="C38" s="728">
        <f t="shared" si="1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/>
      <c r="R38" s="753"/>
      <c r="S38" s="753"/>
      <c r="T38" s="753"/>
      <c r="U38" s="754"/>
      <c r="V38" s="751"/>
      <c r="W38" s="752"/>
      <c r="X38" s="753"/>
      <c r="Y38" s="752"/>
      <c r="Z38" s="736"/>
      <c r="AA38" s="753"/>
      <c r="AB38" s="754">
        <f t="shared" si="4"/>
        <v>99950.427244251929</v>
      </c>
      <c r="AC38" s="738">
        <f t="shared" si="0"/>
        <v>99950.427244251929</v>
      </c>
      <c r="AD38" s="739">
        <f t="shared" si="13"/>
        <v>99950.427244251929</v>
      </c>
      <c r="AE38" s="739">
        <f t="shared" si="5"/>
        <v>99950.427244251929</v>
      </c>
      <c r="AF38" s="739">
        <f t="shared" si="6"/>
        <v>99950.427244251929</v>
      </c>
      <c r="AG38" s="739">
        <f t="shared" si="11"/>
        <v>91206.917433869705</v>
      </c>
      <c r="AH38" s="740">
        <f t="shared" si="8"/>
        <v>91206.917433869705</v>
      </c>
      <c r="AI38" s="738">
        <f t="shared" si="12"/>
        <v>703.00054730491809</v>
      </c>
      <c r="AJ38" s="762"/>
      <c r="AK38" s="763"/>
      <c r="AL38" s="752">
        <f t="shared" si="9"/>
        <v>-703.00054730491809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10"/>
        <v>13</v>
      </c>
    </row>
    <row r="39" spans="2:47" s="675" customFormat="1" ht="15.75" customHeight="1">
      <c r="B39" s="727">
        <f t="shared" si="3"/>
        <v>14</v>
      </c>
      <c r="C39" s="728">
        <f t="shared" si="1"/>
        <v>3</v>
      </c>
      <c r="D39" s="729" t="str">
        <f t="shared" ref="D39:D49" si="14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/>
      <c r="R39" s="753"/>
      <c r="S39" s="753"/>
      <c r="T39" s="753"/>
      <c r="U39" s="754"/>
      <c r="V39" s="751"/>
      <c r="W39" s="752"/>
      <c r="X39" s="753"/>
      <c r="Y39" s="752"/>
      <c r="Z39" s="736"/>
      <c r="AA39" s="753"/>
      <c r="AB39" s="754">
        <f t="shared" si="4"/>
        <v>99950.427244251929</v>
      </c>
      <c r="AC39" s="738">
        <f t="shared" si="0"/>
        <v>99950.427244251929</v>
      </c>
      <c r="AD39" s="739">
        <f t="shared" si="13"/>
        <v>199900.85448850386</v>
      </c>
      <c r="AE39" s="739">
        <f t="shared" si="5"/>
        <v>99950.427244251929</v>
      </c>
      <c r="AF39" s="739">
        <f t="shared" si="6"/>
        <v>99950.427244251929</v>
      </c>
      <c r="AG39" s="739">
        <f t="shared" si="11"/>
        <v>90566.911260958892</v>
      </c>
      <c r="AH39" s="740">
        <f t="shared" si="8"/>
        <v>90566.911260958892</v>
      </c>
      <c r="AI39" s="738">
        <f t="shared" si="12"/>
        <v>703.00054730491809</v>
      </c>
      <c r="AJ39" s="762"/>
      <c r="AK39" s="763"/>
      <c r="AL39" s="752">
        <f t="shared" si="9"/>
        <v>-703.00054730491809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10"/>
        <v>14</v>
      </c>
    </row>
    <row r="40" spans="2:47" s="675" customFormat="1" ht="15.75" customHeight="1">
      <c r="B40" s="727">
        <f t="shared" si="3"/>
        <v>15</v>
      </c>
      <c r="C40" s="728">
        <f t="shared" si="1"/>
        <v>4</v>
      </c>
      <c r="D40" s="729" t="str">
        <f t="shared" si="14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/>
      <c r="R40" s="753"/>
      <c r="S40" s="753"/>
      <c r="T40" s="753"/>
      <c r="U40" s="754">
        <f>IF(B40&lt;=$J$7,$U$16*0.02*3,)</f>
        <v>-299851.28173275577</v>
      </c>
      <c r="V40" s="751"/>
      <c r="W40" s="752"/>
      <c r="X40" s="753"/>
      <c r="Y40" s="752"/>
      <c r="Z40" s="736"/>
      <c r="AA40" s="753"/>
      <c r="AB40" s="754">
        <f t="shared" si="4"/>
        <v>99950.427244251929</v>
      </c>
      <c r="AC40" s="738">
        <f t="shared" si="0"/>
        <v>-199900.85448850383</v>
      </c>
      <c r="AD40" s="739">
        <f t="shared" si="13"/>
        <v>0</v>
      </c>
      <c r="AE40" s="739">
        <f t="shared" si="5"/>
        <v>-199900.85448850383</v>
      </c>
      <c r="AF40" s="739">
        <f t="shared" si="6"/>
        <v>-199900.85448850383</v>
      </c>
      <c r="AG40" s="739">
        <f t="shared" si="11"/>
        <v>-179862.79212423979</v>
      </c>
      <c r="AH40" s="740">
        <f t="shared" si="8"/>
        <v>-179862.79212423979</v>
      </c>
      <c r="AI40" s="738">
        <f t="shared" si="12"/>
        <v>703.00054730491809</v>
      </c>
      <c r="AJ40" s="762"/>
      <c r="AK40" s="763"/>
      <c r="AL40" s="752">
        <f t="shared" si="9"/>
        <v>-703.00054730491809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10"/>
        <v>15</v>
      </c>
    </row>
    <row r="41" spans="2:47" s="675" customFormat="1" ht="15.75" customHeight="1">
      <c r="B41" s="727">
        <f t="shared" si="3"/>
        <v>16</v>
      </c>
      <c r="C41" s="728">
        <f t="shared" si="1"/>
        <v>5</v>
      </c>
      <c r="D41" s="729" t="str">
        <f t="shared" si="14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/>
      <c r="R41" s="753"/>
      <c r="S41" s="753"/>
      <c r="T41" s="753"/>
      <c r="U41" s="754"/>
      <c r="V41" s="751"/>
      <c r="W41" s="752"/>
      <c r="X41" s="753"/>
      <c r="Y41" s="752"/>
      <c r="Z41" s="736"/>
      <c r="AA41" s="753"/>
      <c r="AB41" s="754">
        <f t="shared" si="4"/>
        <v>99950.427244251929</v>
      </c>
      <c r="AC41" s="738">
        <f t="shared" si="0"/>
        <v>99950.427244251929</v>
      </c>
      <c r="AD41" s="739">
        <f t="shared" si="13"/>
        <v>99950.427244251929</v>
      </c>
      <c r="AE41" s="739">
        <f t="shared" si="5"/>
        <v>99950.427244251929</v>
      </c>
      <c r="AF41" s="739">
        <f t="shared" si="6"/>
        <v>99950.427244251929</v>
      </c>
      <c r="AG41" s="739">
        <f t="shared" si="11"/>
        <v>89300.340323831479</v>
      </c>
      <c r="AH41" s="740">
        <f t="shared" si="8"/>
        <v>89300.340323831479</v>
      </c>
      <c r="AI41" s="738">
        <f t="shared" si="12"/>
        <v>703.00054730491809</v>
      </c>
      <c r="AJ41" s="762"/>
      <c r="AK41" s="763"/>
      <c r="AL41" s="752">
        <f t="shared" si="9"/>
        <v>-703.00054730491809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10"/>
        <v>16</v>
      </c>
    </row>
    <row r="42" spans="2:47" s="675" customFormat="1" ht="15.75" customHeight="1">
      <c r="B42" s="727">
        <f t="shared" si="3"/>
        <v>17</v>
      </c>
      <c r="C42" s="728">
        <f t="shared" si="1"/>
        <v>6</v>
      </c>
      <c r="D42" s="729" t="str">
        <f t="shared" si="14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/>
      <c r="R42" s="753"/>
      <c r="S42" s="753"/>
      <c r="T42" s="753"/>
      <c r="U42" s="754"/>
      <c r="V42" s="751"/>
      <c r="W42" s="752"/>
      <c r="X42" s="753"/>
      <c r="Y42" s="752"/>
      <c r="Z42" s="736"/>
      <c r="AA42" s="753"/>
      <c r="AB42" s="754">
        <f t="shared" si="4"/>
        <v>99950.427244251929</v>
      </c>
      <c r="AC42" s="738">
        <f t="shared" si="0"/>
        <v>99950.427244251929</v>
      </c>
      <c r="AD42" s="739">
        <f t="shared" si="13"/>
        <v>199900.85448850386</v>
      </c>
      <c r="AE42" s="739">
        <f t="shared" si="5"/>
        <v>99950.427244251929</v>
      </c>
      <c r="AF42" s="739">
        <f t="shared" si="6"/>
        <v>99950.427244251929</v>
      </c>
      <c r="AG42" s="739">
        <f t="shared" si="11"/>
        <v>88673.712753705273</v>
      </c>
      <c r="AH42" s="740">
        <f t="shared" si="8"/>
        <v>88673.712753705273</v>
      </c>
      <c r="AI42" s="738">
        <f t="shared" si="12"/>
        <v>703.00054730491809</v>
      </c>
      <c r="AJ42" s="762"/>
      <c r="AK42" s="763"/>
      <c r="AL42" s="752">
        <f t="shared" si="9"/>
        <v>-703.00054730491809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10"/>
        <v>17</v>
      </c>
    </row>
    <row r="43" spans="2:47" s="675" customFormat="1" ht="15.75" customHeight="1">
      <c r="B43" s="727">
        <f t="shared" si="3"/>
        <v>18</v>
      </c>
      <c r="C43" s="728">
        <f t="shared" si="1"/>
        <v>7</v>
      </c>
      <c r="D43" s="729" t="str">
        <f t="shared" si="14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/>
      <c r="R43" s="753"/>
      <c r="S43" s="753"/>
      <c r="T43" s="753"/>
      <c r="U43" s="754">
        <f>IF(B43&lt;=$J$7,$U$16*0.02*3,)</f>
        <v>-299851.28173275577</v>
      </c>
      <c r="V43" s="751"/>
      <c r="W43" s="752"/>
      <c r="X43" s="753"/>
      <c r="Y43" s="752"/>
      <c r="Z43" s="736"/>
      <c r="AA43" s="753"/>
      <c r="AB43" s="754">
        <f t="shared" si="4"/>
        <v>99950.427244251929</v>
      </c>
      <c r="AC43" s="738">
        <f t="shared" si="0"/>
        <v>-199900.85448850383</v>
      </c>
      <c r="AD43" s="739">
        <f t="shared" si="13"/>
        <v>0</v>
      </c>
      <c r="AE43" s="739">
        <f t="shared" si="5"/>
        <v>-199900.85448850383</v>
      </c>
      <c r="AF43" s="739">
        <f t="shared" si="6"/>
        <v>-199900.85448850383</v>
      </c>
      <c r="AG43" s="739">
        <f t="shared" si="11"/>
        <v>-176102.96455786822</v>
      </c>
      <c r="AH43" s="740">
        <f t="shared" si="8"/>
        <v>-176102.96455786822</v>
      </c>
      <c r="AI43" s="738">
        <f t="shared" si="12"/>
        <v>703.00054730491809</v>
      </c>
      <c r="AJ43" s="762"/>
      <c r="AK43" s="763"/>
      <c r="AL43" s="752">
        <f t="shared" si="9"/>
        <v>-703.00054730491809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10"/>
        <v>18</v>
      </c>
    </row>
    <row r="44" spans="2:47" s="675" customFormat="1" ht="15.75" customHeight="1">
      <c r="B44" s="727">
        <f t="shared" si="3"/>
        <v>19</v>
      </c>
      <c r="C44" s="728">
        <f t="shared" si="1"/>
        <v>8</v>
      </c>
      <c r="D44" s="729" t="str">
        <f t="shared" si="14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/>
      <c r="R44" s="753"/>
      <c r="S44" s="753"/>
      <c r="T44" s="753"/>
      <c r="U44" s="754"/>
      <c r="V44" s="751"/>
      <c r="W44" s="752"/>
      <c r="X44" s="753"/>
      <c r="Y44" s="752"/>
      <c r="Z44" s="736"/>
      <c r="AA44" s="753"/>
      <c r="AB44" s="754">
        <f t="shared" si="4"/>
        <v>99950.427244251929</v>
      </c>
      <c r="AC44" s="738">
        <f t="shared" si="0"/>
        <v>99950.427244251929</v>
      </c>
      <c r="AD44" s="739">
        <f t="shared" si="13"/>
        <v>99950.427244251929</v>
      </c>
      <c r="AE44" s="739">
        <f t="shared" si="5"/>
        <v>99950.427244251929</v>
      </c>
      <c r="AF44" s="739">
        <f t="shared" si="6"/>
        <v>99950.427244251929</v>
      </c>
      <c r="AG44" s="739">
        <f t="shared" si="11"/>
        <v>87433.618044751231</v>
      </c>
      <c r="AH44" s="740">
        <f t="shared" si="8"/>
        <v>87433.618044751231</v>
      </c>
      <c r="AI44" s="738">
        <f t="shared" si="12"/>
        <v>703.00054730491809</v>
      </c>
      <c r="AJ44" s="762"/>
      <c r="AK44" s="763"/>
      <c r="AL44" s="752">
        <f t="shared" si="9"/>
        <v>-703.00054730491809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10"/>
        <v>19</v>
      </c>
    </row>
    <row r="45" spans="2:47" s="675" customFormat="1" ht="15.75" customHeight="1">
      <c r="B45" s="727">
        <f t="shared" si="3"/>
        <v>20</v>
      </c>
      <c r="C45" s="728">
        <f t="shared" si="1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/>
      <c r="R45" s="753"/>
      <c r="S45" s="753"/>
      <c r="T45" s="753"/>
      <c r="U45" s="754"/>
      <c r="V45" s="751"/>
      <c r="W45" s="752"/>
      <c r="X45" s="753"/>
      <c r="Y45" s="752"/>
      <c r="Z45" s="736"/>
      <c r="AA45" s="753"/>
      <c r="AB45" s="754">
        <f t="shared" si="4"/>
        <v>99950.427244251929</v>
      </c>
      <c r="AC45" s="738">
        <f t="shared" si="0"/>
        <v>99950.427244251929</v>
      </c>
      <c r="AD45" s="739">
        <f t="shared" si="13"/>
        <v>199900.85448850386</v>
      </c>
      <c r="AE45" s="739">
        <f t="shared" si="5"/>
        <v>99950.427244251929</v>
      </c>
      <c r="AF45" s="739">
        <f t="shared" si="6"/>
        <v>99950.427244251929</v>
      </c>
      <c r="AG45" s="739">
        <f t="shared" si="11"/>
        <v>86820.089412900023</v>
      </c>
      <c r="AH45" s="740">
        <f t="shared" si="8"/>
        <v>86820.089412900023</v>
      </c>
      <c r="AI45" s="738">
        <f t="shared" si="12"/>
        <v>703.00054730491809</v>
      </c>
      <c r="AJ45" s="762"/>
      <c r="AK45" s="763"/>
      <c r="AL45" s="752">
        <f t="shared" si="9"/>
        <v>-703.00054730491809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10"/>
        <v>20</v>
      </c>
    </row>
    <row r="46" spans="2:47" s="675" customFormat="1" ht="15.75" customHeight="1">
      <c r="B46" s="727">
        <f t="shared" si="3"/>
        <v>21</v>
      </c>
      <c r="C46" s="728">
        <f t="shared" si="1"/>
        <v>10</v>
      </c>
      <c r="D46" s="729" t="str">
        <f t="shared" si="14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/>
      <c r="R46" s="753"/>
      <c r="S46" s="753"/>
      <c r="T46" s="753"/>
      <c r="U46" s="754">
        <f>IF(B46&lt;=$J$7,$U$16*0.02*3,)</f>
        <v>-299851.28173275577</v>
      </c>
      <c r="V46" s="751"/>
      <c r="W46" s="752"/>
      <c r="X46" s="753"/>
      <c r="Y46" s="752"/>
      <c r="Z46" s="736"/>
      <c r="AA46" s="753"/>
      <c r="AB46" s="754">
        <f t="shared" si="4"/>
        <v>99950.427244251929</v>
      </c>
      <c r="AC46" s="738">
        <f t="shared" si="0"/>
        <v>-199900.85448850383</v>
      </c>
      <c r="AD46" s="739">
        <f t="shared" si="13"/>
        <v>0</v>
      </c>
      <c r="AE46" s="739">
        <f t="shared" si="5"/>
        <v>-199900.85448850383</v>
      </c>
      <c r="AF46" s="739">
        <f t="shared" si="6"/>
        <v>-199900.85448850383</v>
      </c>
      <c r="AG46" s="739">
        <f t="shared" si="11"/>
        <v>-172421.73192023041</v>
      </c>
      <c r="AH46" s="740">
        <f t="shared" si="8"/>
        <v>-172421.73192023041</v>
      </c>
      <c r="AI46" s="738">
        <f t="shared" si="12"/>
        <v>703.00054730491809</v>
      </c>
      <c r="AJ46" s="762"/>
      <c r="AK46" s="763"/>
      <c r="AL46" s="752">
        <f t="shared" si="9"/>
        <v>-703.00054730491809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10"/>
        <v>21</v>
      </c>
    </row>
    <row r="47" spans="2:47" s="675" customFormat="1" ht="15.75" customHeight="1">
      <c r="B47" s="727">
        <f t="shared" si="3"/>
        <v>22</v>
      </c>
      <c r="C47" s="728">
        <f t="shared" si="1"/>
        <v>11</v>
      </c>
      <c r="D47" s="729" t="str">
        <f t="shared" si="14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/>
      <c r="R47" s="753"/>
      <c r="S47" s="753"/>
      <c r="T47" s="753"/>
      <c r="U47" s="754"/>
      <c r="V47" s="751"/>
      <c r="W47" s="752"/>
      <c r="X47" s="753"/>
      <c r="Y47" s="752"/>
      <c r="Z47" s="736"/>
      <c r="AA47" s="753"/>
      <c r="AB47" s="754">
        <f t="shared" si="4"/>
        <v>99950.427244251929</v>
      </c>
      <c r="AC47" s="738">
        <f t="shared" si="0"/>
        <v>99950.427244251929</v>
      </c>
      <c r="AD47" s="739">
        <f t="shared" si="13"/>
        <v>99950.427244251929</v>
      </c>
      <c r="AE47" s="739">
        <f t="shared" si="5"/>
        <v>99950.427244251929</v>
      </c>
      <c r="AF47" s="739">
        <f t="shared" si="6"/>
        <v>99950.427244251929</v>
      </c>
      <c r="AG47" s="739">
        <f t="shared" si="11"/>
        <v>85605.917476613788</v>
      </c>
      <c r="AH47" s="740">
        <f t="shared" si="8"/>
        <v>85605.917476613788</v>
      </c>
      <c r="AI47" s="738">
        <f t="shared" si="12"/>
        <v>703.00054730491809</v>
      </c>
      <c r="AJ47" s="762"/>
      <c r="AK47" s="763"/>
      <c r="AL47" s="752">
        <f t="shared" si="9"/>
        <v>-703.00054730491809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10"/>
        <v>22</v>
      </c>
    </row>
    <row r="48" spans="2:47" s="675" customFormat="1" ht="15.75" customHeight="1">
      <c r="B48" s="727">
        <f t="shared" si="3"/>
        <v>23</v>
      </c>
      <c r="C48" s="728">
        <f t="shared" si="1"/>
        <v>12</v>
      </c>
      <c r="D48" s="729" t="str">
        <f t="shared" si="14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/>
      <c r="R48" s="753"/>
      <c r="S48" s="753"/>
      <c r="T48" s="753"/>
      <c r="U48" s="754"/>
      <c r="V48" s="751"/>
      <c r="W48" s="752"/>
      <c r="X48" s="753"/>
      <c r="Y48" s="752"/>
      <c r="Z48" s="736"/>
      <c r="AA48" s="753"/>
      <c r="AB48" s="754">
        <f t="shared" si="4"/>
        <v>99950.427244251929</v>
      </c>
      <c r="AC48" s="738">
        <f t="shared" si="0"/>
        <v>99950.427244251929</v>
      </c>
      <c r="AD48" s="739">
        <f t="shared" si="13"/>
        <v>199900.85448850386</v>
      </c>
      <c r="AE48" s="739">
        <f t="shared" si="5"/>
        <v>99950.427244251929</v>
      </c>
      <c r="AF48" s="739">
        <f t="shared" si="6"/>
        <v>99950.427244251929</v>
      </c>
      <c r="AG48" s="739">
        <f t="shared" si="11"/>
        <v>85005.213964597307</v>
      </c>
      <c r="AH48" s="740">
        <f t="shared" si="8"/>
        <v>85005.213964597307</v>
      </c>
      <c r="AI48" s="738">
        <f t="shared" si="12"/>
        <v>703.00054730491809</v>
      </c>
      <c r="AJ48" s="762"/>
      <c r="AK48" s="763"/>
      <c r="AL48" s="752">
        <f t="shared" si="9"/>
        <v>-703.00054730491809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10"/>
        <v>23</v>
      </c>
    </row>
    <row r="49" spans="2:47" s="675" customFormat="1" ht="15.75" customHeight="1">
      <c r="B49" s="727">
        <f t="shared" si="3"/>
        <v>24</v>
      </c>
      <c r="C49" s="728">
        <f t="shared" si="1"/>
        <v>1</v>
      </c>
      <c r="D49" s="729">
        <f t="shared" si="14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/>
      <c r="R49" s="753"/>
      <c r="S49" s="753"/>
      <c r="T49" s="753"/>
      <c r="U49" s="754">
        <f>IF(B49&lt;=$J$7,$U$16*0.02*3,)</f>
        <v>-299851.28173275577</v>
      </c>
      <c r="V49" s="751"/>
      <c r="W49" s="752"/>
      <c r="X49" s="753"/>
      <c r="Y49" s="752"/>
      <c r="Z49" s="736"/>
      <c r="AA49" s="753"/>
      <c r="AB49" s="754">
        <f t="shared" si="4"/>
        <v>99950.427244251929</v>
      </c>
      <c r="AC49" s="738">
        <f t="shared" si="0"/>
        <v>-199900.85448850383</v>
      </c>
      <c r="AD49" s="739">
        <f t="shared" si="13"/>
        <v>0</v>
      </c>
      <c r="AE49" s="739">
        <f t="shared" si="5"/>
        <v>-199900.85448850383</v>
      </c>
      <c r="AF49" s="739">
        <f t="shared" si="6"/>
        <v>-199900.85448850383</v>
      </c>
      <c r="AG49" s="739">
        <f t="shared" si="11"/>
        <v>-168817.45127352825</v>
      </c>
      <c r="AH49" s="740">
        <f t="shared" si="8"/>
        <v>-168817.45127352825</v>
      </c>
      <c r="AI49" s="738">
        <f t="shared" si="12"/>
        <v>703.00054730491809</v>
      </c>
      <c r="AJ49" s="762"/>
      <c r="AK49" s="763"/>
      <c r="AL49" s="752">
        <f t="shared" si="9"/>
        <v>-703.00054730491809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10"/>
        <v>24</v>
      </c>
    </row>
    <row r="50" spans="2:47" s="675" customFormat="1" ht="15.75" customHeight="1">
      <c r="B50" s="727">
        <f t="shared" si="3"/>
        <v>25</v>
      </c>
      <c r="C50" s="728">
        <f t="shared" si="1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/>
      <c r="R50" s="753"/>
      <c r="S50" s="753"/>
      <c r="T50" s="753"/>
      <c r="U50" s="754"/>
      <c r="V50" s="751"/>
      <c r="W50" s="752"/>
      <c r="X50" s="753"/>
      <c r="Y50" s="752"/>
      <c r="Z50" s="736"/>
      <c r="AA50" s="753"/>
      <c r="AB50" s="754">
        <f t="shared" si="4"/>
        <v>99950.427244251929</v>
      </c>
      <c r="AC50" s="738">
        <f t="shared" si="0"/>
        <v>99950.427244251929</v>
      </c>
      <c r="AD50" s="739">
        <f t="shared" si="13"/>
        <v>99950.427244251929</v>
      </c>
      <c r="AE50" s="739">
        <f t="shared" si="5"/>
        <v>99950.427244251929</v>
      </c>
      <c r="AF50" s="739">
        <f t="shared" si="6"/>
        <v>99950.427244251929</v>
      </c>
      <c r="AG50" s="739">
        <f t="shared" si="11"/>
        <v>83816.422914832656</v>
      </c>
      <c r="AH50" s="740">
        <f t="shared" si="8"/>
        <v>83816.422914832656</v>
      </c>
      <c r="AI50" s="738">
        <f t="shared" si="12"/>
        <v>703.00054730491809</v>
      </c>
      <c r="AJ50" s="762"/>
      <c r="AK50" s="763"/>
      <c r="AL50" s="752">
        <f t="shared" si="9"/>
        <v>-703.00054730491809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10"/>
        <v>25</v>
      </c>
    </row>
    <row r="51" spans="2:47" s="675" customFormat="1" ht="15.75" customHeight="1">
      <c r="B51" s="727">
        <f t="shared" si="3"/>
        <v>26</v>
      </c>
      <c r="C51" s="728">
        <f t="shared" si="1"/>
        <v>3</v>
      </c>
      <c r="D51" s="729" t="str">
        <f t="shared" ref="D51:D61" si="15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/>
      <c r="R51" s="753"/>
      <c r="S51" s="753"/>
      <c r="T51" s="753"/>
      <c r="U51" s="754"/>
      <c r="V51" s="751"/>
      <c r="W51" s="752"/>
      <c r="X51" s="753"/>
      <c r="Y51" s="752"/>
      <c r="Z51" s="736"/>
      <c r="AA51" s="753"/>
      <c r="AB51" s="754">
        <f t="shared" si="4"/>
        <v>99950.427244251929</v>
      </c>
      <c r="AC51" s="738">
        <f t="shared" si="0"/>
        <v>99950.427244251929</v>
      </c>
      <c r="AD51" s="739">
        <f t="shared" si="13"/>
        <v>199900.85448850386</v>
      </c>
      <c r="AE51" s="739">
        <f t="shared" si="5"/>
        <v>99950.427244251929</v>
      </c>
      <c r="AF51" s="739">
        <f t="shared" si="6"/>
        <v>99950.427244251929</v>
      </c>
      <c r="AG51" s="739">
        <f t="shared" si="11"/>
        <v>83228.276428074241</v>
      </c>
      <c r="AH51" s="740">
        <f t="shared" si="8"/>
        <v>83228.276428074241</v>
      </c>
      <c r="AI51" s="738">
        <f t="shared" si="12"/>
        <v>703.00054730491809</v>
      </c>
      <c r="AJ51" s="762"/>
      <c r="AK51" s="763"/>
      <c r="AL51" s="752">
        <f t="shared" si="9"/>
        <v>-703.00054730491809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10"/>
        <v>26</v>
      </c>
    </row>
    <row r="52" spans="2:47" s="675" customFormat="1" ht="15.75" customHeight="1">
      <c r="B52" s="727">
        <f t="shared" si="3"/>
        <v>27</v>
      </c>
      <c r="C52" s="728">
        <f t="shared" si="1"/>
        <v>4</v>
      </c>
      <c r="D52" s="729" t="str">
        <f t="shared" si="15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/>
      <c r="R52" s="753"/>
      <c r="S52" s="753"/>
      <c r="T52" s="753"/>
      <c r="U52" s="754">
        <f>IF(B52&lt;=$J$7,$U$16*0.02*3,)</f>
        <v>-299851.28173275577</v>
      </c>
      <c r="V52" s="751"/>
      <c r="W52" s="752"/>
      <c r="X52" s="753"/>
      <c r="Y52" s="752"/>
      <c r="Z52" s="736"/>
      <c r="AA52" s="753"/>
      <c r="AB52" s="754">
        <f t="shared" si="4"/>
        <v>99950.427244251929</v>
      </c>
      <c r="AC52" s="738">
        <f t="shared" si="0"/>
        <v>-199900.85448850383</v>
      </c>
      <c r="AD52" s="739">
        <f t="shared" si="13"/>
        <v>0</v>
      </c>
      <c r="AE52" s="739">
        <f t="shared" si="5"/>
        <v>-199900.85448850383</v>
      </c>
      <c r="AF52" s="739">
        <f t="shared" si="6"/>
        <v>-199900.85448850383</v>
      </c>
      <c r="AG52" s="739">
        <f t="shared" si="11"/>
        <v>-165288.51402371423</v>
      </c>
      <c r="AH52" s="740">
        <f t="shared" si="8"/>
        <v>-165288.51402371423</v>
      </c>
      <c r="AI52" s="738">
        <f t="shared" si="12"/>
        <v>703.00054730491809</v>
      </c>
      <c r="AJ52" s="762"/>
      <c r="AK52" s="763"/>
      <c r="AL52" s="752">
        <f t="shared" si="9"/>
        <v>-703.00054730491809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10"/>
        <v>27</v>
      </c>
    </row>
    <row r="53" spans="2:47" s="675" customFormat="1" ht="15.75" customHeight="1">
      <c r="B53" s="727">
        <f t="shared" si="3"/>
        <v>28</v>
      </c>
      <c r="C53" s="728">
        <f t="shared" si="1"/>
        <v>5</v>
      </c>
      <c r="D53" s="729" t="str">
        <f t="shared" si="15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/>
      <c r="R53" s="753"/>
      <c r="S53" s="753"/>
      <c r="T53" s="753"/>
      <c r="U53" s="754"/>
      <c r="V53" s="751"/>
      <c r="W53" s="752"/>
      <c r="X53" s="753"/>
      <c r="Y53" s="752"/>
      <c r="Z53" s="736"/>
      <c r="AA53" s="753"/>
      <c r="AB53" s="754">
        <f t="shared" si="4"/>
        <v>99950.427244251929</v>
      </c>
      <c r="AC53" s="738">
        <f t="shared" si="0"/>
        <v>99950.427244251929</v>
      </c>
      <c r="AD53" s="739">
        <f t="shared" si="13"/>
        <v>99950.427244251929</v>
      </c>
      <c r="AE53" s="739">
        <f t="shared" si="5"/>
        <v>99950.427244251929</v>
      </c>
      <c r="AF53" s="739">
        <f t="shared" si="6"/>
        <v>99950.427244251929</v>
      </c>
      <c r="AG53" s="739">
        <f t="shared" si="11"/>
        <v>82064.335706199956</v>
      </c>
      <c r="AH53" s="740">
        <f t="shared" si="8"/>
        <v>82064.335706199956</v>
      </c>
      <c r="AI53" s="738">
        <f t="shared" si="12"/>
        <v>703.00054730491809</v>
      </c>
      <c r="AJ53" s="762"/>
      <c r="AK53" s="763"/>
      <c r="AL53" s="752">
        <f t="shared" si="9"/>
        <v>-703.00054730491809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10"/>
        <v>28</v>
      </c>
    </row>
    <row r="54" spans="2:47" s="675" customFormat="1" ht="15.75" customHeight="1">
      <c r="B54" s="727">
        <f t="shared" si="3"/>
        <v>29</v>
      </c>
      <c r="C54" s="728">
        <f t="shared" si="1"/>
        <v>6</v>
      </c>
      <c r="D54" s="729" t="str">
        <f t="shared" si="15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/>
      <c r="R54" s="753"/>
      <c r="S54" s="753"/>
      <c r="T54" s="753"/>
      <c r="U54" s="754"/>
      <c r="V54" s="751"/>
      <c r="W54" s="752"/>
      <c r="X54" s="753"/>
      <c r="Y54" s="752"/>
      <c r="Z54" s="736"/>
      <c r="AA54" s="753"/>
      <c r="AB54" s="754">
        <f t="shared" si="4"/>
        <v>99950.427244251929</v>
      </c>
      <c r="AC54" s="738">
        <f t="shared" si="0"/>
        <v>99950.427244251929</v>
      </c>
      <c r="AD54" s="739">
        <f t="shared" si="13"/>
        <v>199900.85448850386</v>
      </c>
      <c r="AE54" s="739">
        <f t="shared" si="5"/>
        <v>99950.427244251929</v>
      </c>
      <c r="AF54" s="739">
        <f t="shared" si="6"/>
        <v>99950.427244251929</v>
      </c>
      <c r="AG54" s="739">
        <f t="shared" si="11"/>
        <v>81488.483754335975</v>
      </c>
      <c r="AH54" s="740">
        <f t="shared" si="8"/>
        <v>81488.483754335975</v>
      </c>
      <c r="AI54" s="738">
        <f t="shared" si="12"/>
        <v>703.00054730491809</v>
      </c>
      <c r="AJ54" s="762"/>
      <c r="AK54" s="763"/>
      <c r="AL54" s="752">
        <f t="shared" si="9"/>
        <v>-703.00054730491809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10"/>
        <v>29</v>
      </c>
    </row>
    <row r="55" spans="2:47" s="675" customFormat="1" ht="15.75" customHeight="1">
      <c r="B55" s="727">
        <f t="shared" si="3"/>
        <v>30</v>
      </c>
      <c r="C55" s="728">
        <f t="shared" si="1"/>
        <v>7</v>
      </c>
      <c r="D55" s="729" t="str">
        <f t="shared" si="15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/>
      <c r="R55" s="753"/>
      <c r="S55" s="753"/>
      <c r="T55" s="753"/>
      <c r="U55" s="754">
        <f>IF(B55&lt;=$J$7,$U$16*0.02*3,)</f>
        <v>-299851.28173275577</v>
      </c>
      <c r="V55" s="751"/>
      <c r="W55" s="752"/>
      <c r="X55" s="753"/>
      <c r="Y55" s="752"/>
      <c r="Z55" s="736"/>
      <c r="AA55" s="753"/>
      <c r="AB55" s="754">
        <f t="shared" si="4"/>
        <v>99950.427244251929</v>
      </c>
      <c r="AC55" s="738">
        <f t="shared" si="0"/>
        <v>-199900.85448850383</v>
      </c>
      <c r="AD55" s="739">
        <f t="shared" si="13"/>
        <v>0</v>
      </c>
      <c r="AE55" s="739">
        <f t="shared" si="5"/>
        <v>-199900.85448850383</v>
      </c>
      <c r="AF55" s="739">
        <f t="shared" si="6"/>
        <v>-199900.85448850383</v>
      </c>
      <c r="AG55" s="739">
        <f t="shared" si="11"/>
        <v>-161833.34520257366</v>
      </c>
      <c r="AH55" s="740">
        <f t="shared" si="8"/>
        <v>-161833.34520257366</v>
      </c>
      <c r="AI55" s="738">
        <f t="shared" si="12"/>
        <v>703.00054730491809</v>
      </c>
      <c r="AJ55" s="762"/>
      <c r="AK55" s="763"/>
      <c r="AL55" s="752">
        <f t="shared" si="9"/>
        <v>-703.00054730491809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10"/>
        <v>30</v>
      </c>
    </row>
    <row r="56" spans="2:47" s="675" customFormat="1" ht="15.75" customHeight="1">
      <c r="B56" s="727">
        <f t="shared" si="3"/>
        <v>31</v>
      </c>
      <c r="C56" s="728">
        <f t="shared" si="1"/>
        <v>8</v>
      </c>
      <c r="D56" s="729" t="str">
        <f t="shared" si="15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/>
      <c r="R56" s="753"/>
      <c r="S56" s="753"/>
      <c r="T56" s="753"/>
      <c r="U56" s="754"/>
      <c r="V56" s="751"/>
      <c r="W56" s="752"/>
      <c r="X56" s="753"/>
      <c r="Y56" s="752"/>
      <c r="Z56" s="736"/>
      <c r="AA56" s="753"/>
      <c r="AB56" s="754">
        <f t="shared" si="4"/>
        <v>99950.427244251929</v>
      </c>
      <c r="AC56" s="738">
        <f t="shared" si="0"/>
        <v>99950.427244251929</v>
      </c>
      <c r="AD56" s="739">
        <f t="shared" si="13"/>
        <v>99950.427244251929</v>
      </c>
      <c r="AE56" s="739">
        <f t="shared" si="5"/>
        <v>99950.427244251929</v>
      </c>
      <c r="AF56" s="739">
        <f t="shared" si="6"/>
        <v>99950.427244251929</v>
      </c>
      <c r="AG56" s="739">
        <f t="shared" si="11"/>
        <v>80348.873892446878</v>
      </c>
      <c r="AH56" s="740">
        <f t="shared" si="8"/>
        <v>80348.873892446878</v>
      </c>
      <c r="AI56" s="738">
        <f t="shared" si="12"/>
        <v>703.00054730491809</v>
      </c>
      <c r="AJ56" s="762"/>
      <c r="AK56" s="763"/>
      <c r="AL56" s="752">
        <f t="shared" si="9"/>
        <v>-703.00054730491809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10"/>
        <v>31</v>
      </c>
    </row>
    <row r="57" spans="2:47" s="675" customFormat="1" ht="15.75" customHeight="1">
      <c r="B57" s="727">
        <f t="shared" si="3"/>
        <v>32</v>
      </c>
      <c r="C57" s="728">
        <f t="shared" si="1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/>
      <c r="R57" s="753"/>
      <c r="S57" s="753"/>
      <c r="T57" s="753"/>
      <c r="U57" s="754"/>
      <c r="V57" s="751"/>
      <c r="W57" s="752"/>
      <c r="X57" s="753"/>
      <c r="Y57" s="752"/>
      <c r="Z57" s="736"/>
      <c r="AA57" s="753"/>
      <c r="AB57" s="754">
        <f t="shared" si="4"/>
        <v>99950.427244251929</v>
      </c>
      <c r="AC57" s="738">
        <f t="shared" si="0"/>
        <v>99950.427244251929</v>
      </c>
      <c r="AD57" s="739">
        <f t="shared" si="13"/>
        <v>199900.85448850386</v>
      </c>
      <c r="AE57" s="739">
        <f t="shared" si="5"/>
        <v>99950.427244251929</v>
      </c>
      <c r="AF57" s="739">
        <f t="shared" si="6"/>
        <v>99950.427244251929</v>
      </c>
      <c r="AG57" s="739">
        <f t="shared" si="11"/>
        <v>79785.059472176828</v>
      </c>
      <c r="AH57" s="740">
        <f t="shared" si="8"/>
        <v>79785.059472176828</v>
      </c>
      <c r="AI57" s="738">
        <f t="shared" si="12"/>
        <v>703.00054730491809</v>
      </c>
      <c r="AJ57" s="762"/>
      <c r="AK57" s="763"/>
      <c r="AL57" s="752">
        <f t="shared" si="9"/>
        <v>-703.00054730491809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10"/>
        <v>32</v>
      </c>
    </row>
    <row r="58" spans="2:47" s="675" customFormat="1" ht="15.75" customHeight="1">
      <c r="B58" s="727">
        <f t="shared" si="3"/>
        <v>33</v>
      </c>
      <c r="C58" s="728">
        <f t="shared" si="1"/>
        <v>10</v>
      </c>
      <c r="D58" s="729" t="str">
        <f t="shared" si="15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/>
      <c r="R58" s="753"/>
      <c r="S58" s="753"/>
      <c r="T58" s="753"/>
      <c r="U58" s="754">
        <f>IF(B58&lt;=$J$7,$U$16*0.02*3,)</f>
        <v>-299851.28173275577</v>
      </c>
      <c r="V58" s="751"/>
      <c r="W58" s="752"/>
      <c r="X58" s="753"/>
      <c r="Y58" s="752"/>
      <c r="Z58" s="736"/>
      <c r="AA58" s="753"/>
      <c r="AB58" s="754">
        <f t="shared" si="4"/>
        <v>99950.427244251929</v>
      </c>
      <c r="AC58" s="738">
        <f t="shared" si="0"/>
        <v>-199900.85448850383</v>
      </c>
      <c r="AD58" s="739">
        <f t="shared" si="13"/>
        <v>0</v>
      </c>
      <c r="AE58" s="739">
        <f t="shared" si="5"/>
        <v>-199900.85448850383</v>
      </c>
      <c r="AF58" s="739">
        <f t="shared" si="6"/>
        <v>-199900.85448850383</v>
      </c>
      <c r="AG58" s="739">
        <f t="shared" si="11"/>
        <v>-158450.40276481558</v>
      </c>
      <c r="AH58" s="740">
        <f t="shared" si="8"/>
        <v>-158450.40276481558</v>
      </c>
      <c r="AI58" s="738">
        <f t="shared" si="12"/>
        <v>703.00054730491809</v>
      </c>
      <c r="AJ58" s="762"/>
      <c r="AK58" s="763"/>
      <c r="AL58" s="752">
        <f t="shared" si="9"/>
        <v>-703.00054730491809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10"/>
        <v>33</v>
      </c>
    </row>
    <row r="59" spans="2:47" s="675" customFormat="1" ht="15.75" customHeight="1">
      <c r="B59" s="727">
        <f t="shared" si="3"/>
        <v>34</v>
      </c>
      <c r="C59" s="728">
        <f t="shared" si="1"/>
        <v>11</v>
      </c>
      <c r="D59" s="729" t="str">
        <f t="shared" si="15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/>
      <c r="R59" s="753"/>
      <c r="S59" s="753"/>
      <c r="T59" s="753"/>
      <c r="U59" s="754"/>
      <c r="V59" s="751"/>
      <c r="W59" s="752"/>
      <c r="X59" s="753"/>
      <c r="Y59" s="752"/>
      <c r="Z59" s="736"/>
      <c r="AA59" s="753"/>
      <c r="AB59" s="754">
        <f t="shared" si="4"/>
        <v>99950.427244251929</v>
      </c>
      <c r="AC59" s="738">
        <f t="shared" si="0"/>
        <v>99950.427244251929</v>
      </c>
      <c r="AD59" s="739">
        <f t="shared" si="13"/>
        <v>99950.427244251929</v>
      </c>
      <c r="AE59" s="739">
        <f t="shared" si="5"/>
        <v>99950.427244251929</v>
      </c>
      <c r="AF59" s="739">
        <f t="shared" si="6"/>
        <v>99950.427244251929</v>
      </c>
      <c r="AG59" s="739">
        <f t="shared" si="11"/>
        <v>78669.271861254922</v>
      </c>
      <c r="AH59" s="740">
        <f t="shared" si="8"/>
        <v>78669.271861254922</v>
      </c>
      <c r="AI59" s="738">
        <f t="shared" si="12"/>
        <v>703.00054730491809</v>
      </c>
      <c r="AJ59" s="762"/>
      <c r="AK59" s="763"/>
      <c r="AL59" s="752">
        <f t="shared" si="9"/>
        <v>-703.00054730491809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10"/>
        <v>34</v>
      </c>
    </row>
    <row r="60" spans="2:47" s="675" customFormat="1" ht="15.75" customHeight="1">
      <c r="B60" s="727">
        <f t="shared" si="3"/>
        <v>35</v>
      </c>
      <c r="C60" s="728">
        <f t="shared" si="1"/>
        <v>12</v>
      </c>
      <c r="D60" s="729" t="str">
        <f t="shared" si="15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/>
      <c r="R60" s="753"/>
      <c r="S60" s="753"/>
      <c r="T60" s="753"/>
      <c r="U60" s="754"/>
      <c r="V60" s="751"/>
      <c r="W60" s="752"/>
      <c r="X60" s="753"/>
      <c r="Y60" s="752"/>
      <c r="Z60" s="736"/>
      <c r="AA60" s="753"/>
      <c r="AB60" s="754">
        <f t="shared" si="4"/>
        <v>99950.427244251929</v>
      </c>
      <c r="AC60" s="738">
        <f>U60+AB60</f>
        <v>99950.427244251929</v>
      </c>
      <c r="AD60" s="739">
        <f t="shared" si="13"/>
        <v>199900.85448850386</v>
      </c>
      <c r="AE60" s="739">
        <f t="shared" si="5"/>
        <v>99950.427244251929</v>
      </c>
      <c r="AF60" s="739">
        <f t="shared" si="6"/>
        <v>99950.427244251929</v>
      </c>
      <c r="AG60" s="739">
        <f t="shared" si="11"/>
        <v>78117.243341640642</v>
      </c>
      <c r="AH60" s="740">
        <f t="shared" si="8"/>
        <v>78117.243341640642</v>
      </c>
      <c r="AI60" s="738">
        <f>IF(AU60&lt;=$J$7,AI59,0)</f>
        <v>703.00054730491809</v>
      </c>
      <c r="AJ60" s="762"/>
      <c r="AK60" s="763"/>
      <c r="AL60" s="752">
        <f t="shared" si="9"/>
        <v>-703.00054730491809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10"/>
        <v>35</v>
      </c>
    </row>
    <row r="61" spans="2:47" s="675" customFormat="1" ht="15.75" customHeight="1">
      <c r="B61" s="727">
        <f t="shared" si="3"/>
        <v>36</v>
      </c>
      <c r="C61" s="728">
        <f t="shared" si="1"/>
        <v>1</v>
      </c>
      <c r="D61" s="729">
        <f t="shared" si="15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/>
      <c r="R61" s="753"/>
      <c r="S61" s="753"/>
      <c r="T61" s="753"/>
      <c r="U61" s="754">
        <f>IF(B61&lt;=$J$7,$U$16*0.02*3,)</f>
        <v>-299851.28173275577</v>
      </c>
      <c r="V61" s="751"/>
      <c r="W61" s="752"/>
      <c r="X61" s="753"/>
      <c r="Y61" s="752"/>
      <c r="Z61" s="736"/>
      <c r="AA61" s="753"/>
      <c r="AB61" s="754">
        <f t="shared" si="4"/>
        <v>99950.427244251929</v>
      </c>
      <c r="AC61" s="738">
        <f t="shared" si="0"/>
        <v>-199900.85448850383</v>
      </c>
      <c r="AD61" s="739">
        <f t="shared" si="13"/>
        <v>0</v>
      </c>
      <c r="AE61" s="739">
        <f t="shared" si="5"/>
        <v>-199900.85448850383</v>
      </c>
      <c r="AF61" s="739">
        <f t="shared" si="6"/>
        <v>-199900.85448850383</v>
      </c>
      <c r="AG61" s="739">
        <f t="shared" si="11"/>
        <v>-155138.17689985561</v>
      </c>
      <c r="AH61" s="740">
        <f t="shared" si="8"/>
        <v>-155138.17689985561</v>
      </c>
      <c r="AI61" s="738">
        <f t="shared" si="12"/>
        <v>703.00054730491809</v>
      </c>
      <c r="AJ61" s="762"/>
      <c r="AK61" s="763"/>
      <c r="AL61" s="752">
        <f t="shared" si="9"/>
        <v>-703.00054730491809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10"/>
        <v>36</v>
      </c>
    </row>
    <row r="62" spans="2:47" s="675" customFormat="1" ht="15.75" customHeight="1">
      <c r="B62" s="727">
        <f t="shared" si="3"/>
        <v>37</v>
      </c>
      <c r="C62" s="728">
        <f t="shared" si="1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/>
      <c r="R62" s="753"/>
      <c r="S62" s="753"/>
      <c r="T62" s="753"/>
      <c r="U62" s="754"/>
      <c r="V62" s="751"/>
      <c r="W62" s="752"/>
      <c r="X62" s="753"/>
      <c r="Y62" s="752"/>
      <c r="Z62" s="736"/>
      <c r="AA62" s="753"/>
      <c r="AB62" s="754">
        <f t="shared" si="4"/>
        <v>99950.427244251929</v>
      </c>
      <c r="AC62" s="738">
        <f>U62+AB62</f>
        <v>99950.427244251929</v>
      </c>
      <c r="AD62" s="739">
        <f t="shared" si="13"/>
        <v>99950.427244251929</v>
      </c>
      <c r="AE62" s="739">
        <f t="shared" si="5"/>
        <v>99950.427244251929</v>
      </c>
      <c r="AF62" s="739">
        <f t="shared" si="6"/>
        <v>99950.427244251929</v>
      </c>
      <c r="AG62" s="739">
        <f t="shared" si="11"/>
        <v>77024.780004562228</v>
      </c>
      <c r="AH62" s="740">
        <f t="shared" si="8"/>
        <v>77024.780004562228</v>
      </c>
      <c r="AI62" s="738">
        <f t="shared" si="12"/>
        <v>703.00054730491809</v>
      </c>
      <c r="AJ62" s="762"/>
      <c r="AK62" s="763"/>
      <c r="AL62" s="752">
        <f t="shared" si="9"/>
        <v>-703.00054730491809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10"/>
        <v>37</v>
      </c>
    </row>
    <row r="63" spans="2:47" s="675" customFormat="1" ht="15.75" customHeight="1">
      <c r="B63" s="727">
        <f t="shared" si="3"/>
        <v>38</v>
      </c>
      <c r="C63" s="728">
        <f t="shared" si="1"/>
        <v>3</v>
      </c>
      <c r="D63" s="729" t="str">
        <f t="shared" ref="D63:D73" si="16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/>
      <c r="R63" s="753"/>
      <c r="S63" s="753"/>
      <c r="T63" s="753"/>
      <c r="U63" s="754"/>
      <c r="V63" s="751"/>
      <c r="W63" s="752"/>
      <c r="X63" s="753"/>
      <c r="Y63" s="752"/>
      <c r="Z63" s="736"/>
      <c r="AA63" s="753"/>
      <c r="AB63" s="754">
        <f t="shared" si="4"/>
        <v>99950.427244251929</v>
      </c>
      <c r="AC63" s="738">
        <f t="shared" si="0"/>
        <v>99950.427244251929</v>
      </c>
      <c r="AD63" s="739">
        <f t="shared" si="13"/>
        <v>199900.85448850386</v>
      </c>
      <c r="AE63" s="739">
        <f t="shared" si="5"/>
        <v>99950.427244251929</v>
      </c>
      <c r="AF63" s="739">
        <f t="shared" si="6"/>
        <v>99950.427244251929</v>
      </c>
      <c r="AG63" s="739">
        <f t="shared" si="11"/>
        <v>76484.291014724819</v>
      </c>
      <c r="AH63" s="740">
        <f t="shared" si="8"/>
        <v>76484.291014724819</v>
      </c>
      <c r="AI63" s="738">
        <f t="shared" si="12"/>
        <v>703.00054730491809</v>
      </c>
      <c r="AJ63" s="762"/>
      <c r="AK63" s="763"/>
      <c r="AL63" s="752">
        <f t="shared" si="9"/>
        <v>-703.00054730491809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10"/>
        <v>38</v>
      </c>
    </row>
    <row r="64" spans="2:47" s="675" customFormat="1" ht="15.75" customHeight="1">
      <c r="B64" s="727">
        <f t="shared" si="3"/>
        <v>39</v>
      </c>
      <c r="C64" s="728">
        <f t="shared" si="1"/>
        <v>4</v>
      </c>
      <c r="D64" s="729" t="str">
        <f t="shared" si="16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/>
      <c r="R64" s="753"/>
      <c r="S64" s="753"/>
      <c r="T64" s="753"/>
      <c r="U64" s="754">
        <f>IF(B64&lt;=$J$7,$U$16*0.02*3,)</f>
        <v>-299851.28173275577</v>
      </c>
      <c r="V64" s="751"/>
      <c r="W64" s="752"/>
      <c r="X64" s="753"/>
      <c r="Y64" s="752"/>
      <c r="Z64" s="736"/>
      <c r="AA64" s="753"/>
      <c r="AB64" s="754">
        <f t="shared" si="4"/>
        <v>99950.427244251929</v>
      </c>
      <c r="AC64" s="738">
        <f t="shared" si="0"/>
        <v>-199900.85448850383</v>
      </c>
      <c r="AD64" s="739">
        <f t="shared" si="13"/>
        <v>0</v>
      </c>
      <c r="AE64" s="739">
        <f t="shared" si="5"/>
        <v>-199900.85448850383</v>
      </c>
      <c r="AF64" s="739">
        <f t="shared" si="6"/>
        <v>-199900.85448850383</v>
      </c>
      <c r="AG64" s="739">
        <f t="shared" si="11"/>
        <v>-151895.1893579865</v>
      </c>
      <c r="AH64" s="740">
        <f t="shared" si="8"/>
        <v>-151895.1893579865</v>
      </c>
      <c r="AI64" s="738">
        <f t="shared" si="12"/>
        <v>703.00054730491809</v>
      </c>
      <c r="AJ64" s="762"/>
      <c r="AK64" s="763"/>
      <c r="AL64" s="752">
        <f t="shared" si="9"/>
        <v>-703.00054730491809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10"/>
        <v>39</v>
      </c>
    </row>
    <row r="65" spans="2:47" s="675" customFormat="1" ht="15.75" customHeight="1">
      <c r="B65" s="727">
        <f t="shared" si="3"/>
        <v>40</v>
      </c>
      <c r="C65" s="728">
        <f t="shared" si="1"/>
        <v>5</v>
      </c>
      <c r="D65" s="729" t="str">
        <f t="shared" si="16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/>
      <c r="R65" s="753"/>
      <c r="S65" s="753"/>
      <c r="T65" s="753"/>
      <c r="U65" s="754"/>
      <c r="V65" s="751"/>
      <c r="W65" s="752"/>
      <c r="X65" s="753"/>
      <c r="Y65" s="752"/>
      <c r="Z65" s="736"/>
      <c r="AA65" s="753"/>
      <c r="AB65" s="754">
        <f t="shared" si="4"/>
        <v>99950.427244251929</v>
      </c>
      <c r="AC65" s="738">
        <f t="shared" si="0"/>
        <v>99950.427244251929</v>
      </c>
      <c r="AD65" s="739">
        <f t="shared" si="13"/>
        <v>99950.427244251929</v>
      </c>
      <c r="AE65" s="739">
        <f t="shared" si="5"/>
        <v>99950.427244251929</v>
      </c>
      <c r="AF65" s="739">
        <f t="shared" si="6"/>
        <v>99950.427244251929</v>
      </c>
      <c r="AG65" s="739">
        <f t="shared" si="11"/>
        <v>75414.664384012882</v>
      </c>
      <c r="AH65" s="740">
        <f t="shared" si="8"/>
        <v>75414.664384012882</v>
      </c>
      <c r="AI65" s="738">
        <f t="shared" si="12"/>
        <v>703.00054730491809</v>
      </c>
      <c r="AJ65" s="762"/>
      <c r="AK65" s="763"/>
      <c r="AL65" s="752">
        <f t="shared" si="9"/>
        <v>-703.00054730491809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10"/>
        <v>40</v>
      </c>
    </row>
    <row r="66" spans="2:47" s="675" customFormat="1" ht="15.75" customHeight="1">
      <c r="B66" s="727">
        <f t="shared" si="3"/>
        <v>41</v>
      </c>
      <c r="C66" s="728">
        <f t="shared" si="1"/>
        <v>6</v>
      </c>
      <c r="D66" s="729" t="str">
        <f t="shared" si="16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/>
      <c r="R66" s="753"/>
      <c r="S66" s="753"/>
      <c r="T66" s="753"/>
      <c r="U66" s="754"/>
      <c r="V66" s="751"/>
      <c r="W66" s="752"/>
      <c r="X66" s="753"/>
      <c r="Y66" s="752"/>
      <c r="Z66" s="736"/>
      <c r="AA66" s="753"/>
      <c r="AB66" s="754">
        <f t="shared" si="4"/>
        <v>99950.427244251929</v>
      </c>
      <c r="AC66" s="738">
        <f t="shared" si="0"/>
        <v>99950.427244251929</v>
      </c>
      <c r="AD66" s="739">
        <f t="shared" si="13"/>
        <v>199900.85448850386</v>
      </c>
      <c r="AE66" s="739">
        <f t="shared" si="5"/>
        <v>99950.427244251929</v>
      </c>
      <c r="AF66" s="739">
        <f t="shared" si="6"/>
        <v>99950.427244251929</v>
      </c>
      <c r="AG66" s="739">
        <f t="shared" si="11"/>
        <v>74885.473703177107</v>
      </c>
      <c r="AH66" s="740">
        <f t="shared" si="8"/>
        <v>74885.473703177107</v>
      </c>
      <c r="AI66" s="738">
        <f t="shared" si="12"/>
        <v>703.00054730491809</v>
      </c>
      <c r="AJ66" s="762"/>
      <c r="AK66" s="763"/>
      <c r="AL66" s="752">
        <f t="shared" si="9"/>
        <v>-703.00054730491809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10"/>
        <v>41</v>
      </c>
    </row>
    <row r="67" spans="2:47" s="675" customFormat="1" ht="15.75" customHeight="1">
      <c r="B67" s="727">
        <f t="shared" si="3"/>
        <v>42</v>
      </c>
      <c r="C67" s="728">
        <f t="shared" si="1"/>
        <v>7</v>
      </c>
      <c r="D67" s="729" t="str">
        <f t="shared" si="16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/>
      <c r="R67" s="753"/>
      <c r="S67" s="753"/>
      <c r="T67" s="753"/>
      <c r="U67" s="754">
        <f>IF(B67&lt;=$J$7,$U$16*0.02*3,)</f>
        <v>-299851.28173275577</v>
      </c>
      <c r="V67" s="751"/>
      <c r="W67" s="752"/>
      <c r="X67" s="753"/>
      <c r="Y67" s="752"/>
      <c r="Z67" s="736"/>
      <c r="AA67" s="753"/>
      <c r="AB67" s="754">
        <f t="shared" si="4"/>
        <v>99950.427244251929</v>
      </c>
      <c r="AC67" s="738">
        <f t="shared" si="0"/>
        <v>-199900.85448850383</v>
      </c>
      <c r="AD67" s="739">
        <f t="shared" si="13"/>
        <v>0</v>
      </c>
      <c r="AE67" s="739">
        <f t="shared" si="5"/>
        <v>-199900.85448850383</v>
      </c>
      <c r="AF67" s="739">
        <f t="shared" si="6"/>
        <v>-199900.85448850383</v>
      </c>
      <c r="AG67" s="739">
        <f t="shared" si="11"/>
        <v>-148719.99279063367</v>
      </c>
      <c r="AH67" s="740">
        <f t="shared" si="8"/>
        <v>-148719.99279063367</v>
      </c>
      <c r="AI67" s="738">
        <f t="shared" si="12"/>
        <v>703.00054730491809</v>
      </c>
      <c r="AJ67" s="762"/>
      <c r="AK67" s="763"/>
      <c r="AL67" s="752">
        <f t="shared" si="9"/>
        <v>-703.00054730491809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10"/>
        <v>42</v>
      </c>
    </row>
    <row r="68" spans="2:47" s="675" customFormat="1" ht="15.75" customHeight="1">
      <c r="B68" s="727">
        <f t="shared" si="3"/>
        <v>43</v>
      </c>
      <c r="C68" s="728">
        <f t="shared" si="1"/>
        <v>8</v>
      </c>
      <c r="D68" s="729" t="str">
        <f t="shared" si="16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/>
      <c r="R68" s="753"/>
      <c r="S68" s="753"/>
      <c r="T68" s="753"/>
      <c r="U68" s="754"/>
      <c r="V68" s="751"/>
      <c r="W68" s="752"/>
      <c r="X68" s="753"/>
      <c r="Y68" s="752"/>
      <c r="Z68" s="736"/>
      <c r="AA68" s="753"/>
      <c r="AB68" s="754">
        <f t="shared" si="4"/>
        <v>99950.427244251929</v>
      </c>
      <c r="AC68" s="738">
        <f t="shared" si="0"/>
        <v>99950.427244251929</v>
      </c>
      <c r="AD68" s="739">
        <f t="shared" si="13"/>
        <v>99950.427244251929</v>
      </c>
      <c r="AE68" s="739">
        <f t="shared" si="5"/>
        <v>99950.427244251929</v>
      </c>
      <c r="AF68" s="739">
        <f t="shared" si="6"/>
        <v>99950.427244251929</v>
      </c>
      <c r="AG68" s="739">
        <f t="shared" si="11"/>
        <v>73838.206403399498</v>
      </c>
      <c r="AH68" s="740">
        <f t="shared" si="8"/>
        <v>73838.206403399498</v>
      </c>
      <c r="AI68" s="738">
        <f t="shared" si="12"/>
        <v>703.00054730491809</v>
      </c>
      <c r="AJ68" s="762"/>
      <c r="AK68" s="763"/>
      <c r="AL68" s="752">
        <f t="shared" si="9"/>
        <v>-703.00054730491809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10"/>
        <v>43</v>
      </c>
    </row>
    <row r="69" spans="2:47" s="675" customFormat="1" ht="15.75" customHeight="1">
      <c r="B69" s="727">
        <f t="shared" si="3"/>
        <v>44</v>
      </c>
      <c r="C69" s="728">
        <f t="shared" si="1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/>
      <c r="R69" s="753"/>
      <c r="S69" s="753"/>
      <c r="T69" s="753"/>
      <c r="U69" s="754"/>
      <c r="V69" s="751"/>
      <c r="W69" s="752"/>
      <c r="X69" s="753"/>
      <c r="Y69" s="752"/>
      <c r="Z69" s="736"/>
      <c r="AA69" s="753"/>
      <c r="AB69" s="754">
        <f t="shared" si="4"/>
        <v>99950.427244251929</v>
      </c>
      <c r="AC69" s="738">
        <f t="shared" si="0"/>
        <v>99950.427244251929</v>
      </c>
      <c r="AD69" s="739">
        <f t="shared" si="13"/>
        <v>199900.85448850386</v>
      </c>
      <c r="AE69" s="739">
        <f t="shared" si="5"/>
        <v>99950.427244251929</v>
      </c>
      <c r="AF69" s="739">
        <f t="shared" si="6"/>
        <v>99950.427244251929</v>
      </c>
      <c r="AG69" s="739">
        <f t="shared" si="11"/>
        <v>73320.07785323658</v>
      </c>
      <c r="AH69" s="740">
        <f t="shared" si="8"/>
        <v>73320.07785323658</v>
      </c>
      <c r="AI69" s="738">
        <f t="shared" si="12"/>
        <v>703.00054730491809</v>
      </c>
      <c r="AJ69" s="762"/>
      <c r="AK69" s="763"/>
      <c r="AL69" s="752">
        <f t="shared" si="9"/>
        <v>-703.00054730491809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10"/>
        <v>44</v>
      </c>
    </row>
    <row r="70" spans="2:47" s="675" customFormat="1" ht="15.75" customHeight="1">
      <c r="B70" s="727">
        <f t="shared" si="3"/>
        <v>45</v>
      </c>
      <c r="C70" s="728">
        <f t="shared" si="1"/>
        <v>10</v>
      </c>
      <c r="D70" s="729" t="str">
        <f t="shared" si="16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/>
      <c r="R70" s="753"/>
      <c r="S70" s="753"/>
      <c r="T70" s="753"/>
      <c r="U70" s="754">
        <f>IF(B70&lt;=$J$7,$U$16*0.02*3,)</f>
        <v>-299851.28173275577</v>
      </c>
      <c r="V70" s="751"/>
      <c r="W70" s="752"/>
      <c r="X70" s="753"/>
      <c r="Y70" s="752"/>
      <c r="Z70" s="736"/>
      <c r="AA70" s="753"/>
      <c r="AB70" s="754">
        <f t="shared" si="4"/>
        <v>99950.427244251929</v>
      </c>
      <c r="AC70" s="738">
        <f t="shared" si="0"/>
        <v>-199900.85448850383</v>
      </c>
      <c r="AD70" s="739">
        <f t="shared" si="13"/>
        <v>0</v>
      </c>
      <c r="AE70" s="739">
        <f t="shared" si="5"/>
        <v>-199900.85448850383</v>
      </c>
      <c r="AF70" s="739">
        <f t="shared" si="6"/>
        <v>-199900.85448850383</v>
      </c>
      <c r="AG70" s="739">
        <f t="shared" si="11"/>
        <v>-145611.17010440206</v>
      </c>
      <c r="AH70" s="740">
        <f t="shared" si="8"/>
        <v>-145611.17010440206</v>
      </c>
      <c r="AI70" s="738">
        <f t="shared" si="12"/>
        <v>703.00054730491809</v>
      </c>
      <c r="AJ70" s="762"/>
      <c r="AK70" s="763"/>
      <c r="AL70" s="752">
        <f t="shared" si="9"/>
        <v>-703.00054730491809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10"/>
        <v>45</v>
      </c>
    </row>
    <row r="71" spans="2:47" s="675" customFormat="1" ht="15.75" customHeight="1">
      <c r="B71" s="727">
        <f t="shared" si="3"/>
        <v>46</v>
      </c>
      <c r="C71" s="728">
        <f t="shared" si="1"/>
        <v>11</v>
      </c>
      <c r="D71" s="729" t="str">
        <f t="shared" si="16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/>
      <c r="R71" s="753"/>
      <c r="S71" s="753"/>
      <c r="T71" s="753"/>
      <c r="U71" s="754"/>
      <c r="V71" s="751"/>
      <c r="W71" s="752"/>
      <c r="X71" s="753"/>
      <c r="Y71" s="752"/>
      <c r="Z71" s="736"/>
      <c r="AA71" s="753"/>
      <c r="AB71" s="754">
        <f t="shared" si="4"/>
        <v>99950.427244251929</v>
      </c>
      <c r="AC71" s="738">
        <f t="shared" si="0"/>
        <v>99950.427244251929</v>
      </c>
      <c r="AD71" s="739">
        <f t="shared" si="13"/>
        <v>99950.427244251929</v>
      </c>
      <c r="AE71" s="739">
        <f t="shared" si="5"/>
        <v>99950.427244251929</v>
      </c>
      <c r="AF71" s="739">
        <f t="shared" si="6"/>
        <v>99950.427244251929</v>
      </c>
      <c r="AG71" s="739">
        <f t="shared" si="11"/>
        <v>72294.702487952803</v>
      </c>
      <c r="AH71" s="740">
        <f t="shared" si="8"/>
        <v>72294.702487952803</v>
      </c>
      <c r="AI71" s="738">
        <f t="shared" si="12"/>
        <v>703.00054730491809</v>
      </c>
      <c r="AJ71" s="762"/>
      <c r="AK71" s="763"/>
      <c r="AL71" s="752">
        <f t="shared" si="9"/>
        <v>-703.00054730491809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10"/>
        <v>46</v>
      </c>
    </row>
    <row r="72" spans="2:47" s="675" customFormat="1" ht="15.75" customHeight="1">
      <c r="B72" s="727">
        <f t="shared" si="3"/>
        <v>47</v>
      </c>
      <c r="C72" s="728">
        <f t="shared" si="1"/>
        <v>12</v>
      </c>
      <c r="D72" s="729" t="str">
        <f t="shared" si="16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/>
      <c r="R72" s="753"/>
      <c r="S72" s="753"/>
      <c r="T72" s="753"/>
      <c r="U72" s="754"/>
      <c r="V72" s="751"/>
      <c r="W72" s="752"/>
      <c r="X72" s="753"/>
      <c r="Y72" s="752"/>
      <c r="Z72" s="736"/>
      <c r="AA72" s="753"/>
      <c r="AB72" s="754">
        <f t="shared" si="4"/>
        <v>99950.427244251929</v>
      </c>
      <c r="AC72" s="738">
        <f t="shared" si="0"/>
        <v>99950.427244251929</v>
      </c>
      <c r="AD72" s="739">
        <f t="shared" si="13"/>
        <v>199900.85448850386</v>
      </c>
      <c r="AE72" s="739">
        <f t="shared" si="5"/>
        <v>99950.427244251929</v>
      </c>
      <c r="AF72" s="739">
        <f t="shared" si="6"/>
        <v>99950.427244251929</v>
      </c>
      <c r="AG72" s="739">
        <f t="shared" si="11"/>
        <v>71787.404827174105</v>
      </c>
      <c r="AH72" s="740">
        <f t="shared" si="8"/>
        <v>71787.404827174105</v>
      </c>
      <c r="AI72" s="738">
        <f t="shared" si="12"/>
        <v>703.00054730491809</v>
      </c>
      <c r="AJ72" s="762"/>
      <c r="AK72" s="763"/>
      <c r="AL72" s="752">
        <f t="shared" si="9"/>
        <v>-703.00054730491809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10"/>
        <v>47</v>
      </c>
    </row>
    <row r="73" spans="2:47" s="675" customFormat="1" ht="15.75" customHeight="1">
      <c r="B73" s="727">
        <f t="shared" si="3"/>
        <v>48</v>
      </c>
      <c r="C73" s="728">
        <f t="shared" si="1"/>
        <v>1</v>
      </c>
      <c r="D73" s="729">
        <f t="shared" si="16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/>
      <c r="R73" s="753"/>
      <c r="S73" s="753"/>
      <c r="T73" s="753"/>
      <c r="U73" s="754">
        <f>IF(B73&lt;=$J$7,$U$16*0.02*3,)</f>
        <v>-299851.28173275577</v>
      </c>
      <c r="V73" s="751"/>
      <c r="W73" s="752"/>
      <c r="X73" s="753"/>
      <c r="Y73" s="752"/>
      <c r="Z73" s="736"/>
      <c r="AA73" s="753"/>
      <c r="AB73" s="754">
        <f t="shared" si="4"/>
        <v>99950.427244251929</v>
      </c>
      <c r="AC73" s="738">
        <f t="shared" si="0"/>
        <v>-199900.85448850383</v>
      </c>
      <c r="AD73" s="739">
        <f t="shared" si="13"/>
        <v>0</v>
      </c>
      <c r="AE73" s="739">
        <f t="shared" si="5"/>
        <v>-199900.85448850383</v>
      </c>
      <c r="AF73" s="739">
        <f t="shared" si="6"/>
        <v>-199900.85448850383</v>
      </c>
      <c r="AG73" s="739">
        <f t="shared" si="11"/>
        <v>-142567.33382862585</v>
      </c>
      <c r="AH73" s="740">
        <f t="shared" si="8"/>
        <v>-142567.33382862585</v>
      </c>
      <c r="AI73" s="738">
        <f t="shared" si="12"/>
        <v>703.00054730491809</v>
      </c>
      <c r="AJ73" s="762"/>
      <c r="AK73" s="763"/>
      <c r="AL73" s="752">
        <f t="shared" si="9"/>
        <v>-703.00054730491809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10"/>
        <v>48</v>
      </c>
    </row>
    <row r="74" spans="2:47" s="675" customFormat="1" ht="15.75" customHeight="1">
      <c r="B74" s="727">
        <f t="shared" si="3"/>
        <v>49</v>
      </c>
      <c r="C74" s="728">
        <f t="shared" si="1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/>
      <c r="R74" s="753"/>
      <c r="S74" s="753"/>
      <c r="T74" s="753"/>
      <c r="U74" s="754"/>
      <c r="V74" s="751"/>
      <c r="W74" s="752"/>
      <c r="X74" s="753"/>
      <c r="Y74" s="752"/>
      <c r="Z74" s="736"/>
      <c r="AA74" s="753"/>
      <c r="AB74" s="754">
        <f t="shared" si="4"/>
        <v>0</v>
      </c>
      <c r="AC74" s="738">
        <f t="shared" si="0"/>
        <v>0</v>
      </c>
      <c r="AD74" s="739">
        <f t="shared" si="13"/>
        <v>0</v>
      </c>
      <c r="AE74" s="739">
        <f t="shared" si="5"/>
        <v>0</v>
      </c>
      <c r="AF74" s="739">
        <f t="shared" si="6"/>
        <v>0</v>
      </c>
      <c r="AG74" s="739">
        <f t="shared" si="11"/>
        <v>0</v>
      </c>
      <c r="AH74" s="740">
        <f t="shared" si="8"/>
        <v>0</v>
      </c>
      <c r="AI74" s="738">
        <f t="shared" si="12"/>
        <v>0</v>
      </c>
      <c r="AJ74" s="762"/>
      <c r="AK74" s="763"/>
      <c r="AL74" s="752">
        <f t="shared" si="9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10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/>
      <c r="R75" s="753"/>
      <c r="S75" s="753"/>
      <c r="T75" s="753"/>
      <c r="U75" s="754"/>
      <c r="V75" s="751"/>
      <c r="W75" s="752"/>
      <c r="X75" s="753"/>
      <c r="Y75" s="752"/>
      <c r="Z75" s="736"/>
      <c r="AA75" s="753"/>
      <c r="AB75" s="754">
        <f t="shared" si="4"/>
        <v>0</v>
      </c>
      <c r="AC75" s="738">
        <f t="shared" si="0"/>
        <v>0</v>
      </c>
      <c r="AD75" s="739">
        <f t="shared" si="13"/>
        <v>0</v>
      </c>
      <c r="AE75" s="739">
        <f t="shared" si="5"/>
        <v>0</v>
      </c>
      <c r="AF75" s="739">
        <f t="shared" si="6"/>
        <v>0</v>
      </c>
      <c r="AG75" s="739">
        <f t="shared" si="11"/>
        <v>0</v>
      </c>
      <c r="AH75" s="740">
        <f t="shared" si="8"/>
        <v>0</v>
      </c>
      <c r="AI75" s="738">
        <f>IF(AU75&lt;=$J$7,AI74,0)</f>
        <v>0</v>
      </c>
      <c r="AJ75" s="762"/>
      <c r="AK75" s="763"/>
      <c r="AL75" s="752">
        <f t="shared" si="9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3"/>
        <v>51</v>
      </c>
      <c r="C76" s="728">
        <f t="shared" si="1"/>
        <v>4</v>
      </c>
      <c r="D76" s="729" t="str">
        <f t="shared" ref="D76:D84" si="17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/>
      <c r="R76" s="753"/>
      <c r="S76" s="753"/>
      <c r="T76" s="753"/>
      <c r="U76" s="754">
        <f>IF(B76&lt;=$J$7,$U$16*0.02*3,)</f>
        <v>0</v>
      </c>
      <c r="V76" s="751"/>
      <c r="W76" s="752"/>
      <c r="X76" s="753"/>
      <c r="Y76" s="752"/>
      <c r="Z76" s="736"/>
      <c r="AA76" s="753"/>
      <c r="AB76" s="754">
        <f t="shared" si="4"/>
        <v>0</v>
      </c>
      <c r="AC76" s="738">
        <f t="shared" si="0"/>
        <v>0</v>
      </c>
      <c r="AD76" s="739">
        <f t="shared" si="13"/>
        <v>0</v>
      </c>
      <c r="AE76" s="739">
        <f t="shared" si="5"/>
        <v>0</v>
      </c>
      <c r="AF76" s="739">
        <f t="shared" si="6"/>
        <v>0</v>
      </c>
      <c r="AG76" s="739">
        <f t="shared" si="11"/>
        <v>0</v>
      </c>
      <c r="AH76" s="740">
        <f t="shared" si="8"/>
        <v>0</v>
      </c>
      <c r="AI76" s="738">
        <f t="shared" si="12"/>
        <v>0</v>
      </c>
      <c r="AJ76" s="762"/>
      <c r="AK76" s="763"/>
      <c r="AL76" s="752">
        <f t="shared" si="9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10"/>
        <v>51</v>
      </c>
    </row>
    <row r="77" spans="2:47" s="675" customFormat="1" ht="15.75" customHeight="1">
      <c r="B77" s="727">
        <f t="shared" si="3"/>
        <v>52</v>
      </c>
      <c r="C77" s="728">
        <f t="shared" si="1"/>
        <v>5</v>
      </c>
      <c r="D77" s="729" t="str">
        <f t="shared" si="17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/>
      <c r="R77" s="753"/>
      <c r="S77" s="753"/>
      <c r="T77" s="753"/>
      <c r="U77" s="754"/>
      <c r="V77" s="751"/>
      <c r="W77" s="752"/>
      <c r="X77" s="753"/>
      <c r="Y77" s="752"/>
      <c r="Z77" s="736"/>
      <c r="AA77" s="753"/>
      <c r="AB77" s="754">
        <f t="shared" si="4"/>
        <v>0</v>
      </c>
      <c r="AC77" s="738">
        <f t="shared" si="0"/>
        <v>0</v>
      </c>
      <c r="AD77" s="739">
        <f t="shared" si="13"/>
        <v>0</v>
      </c>
      <c r="AE77" s="739">
        <f t="shared" si="5"/>
        <v>0</v>
      </c>
      <c r="AF77" s="739">
        <f t="shared" si="6"/>
        <v>0</v>
      </c>
      <c r="AG77" s="739">
        <f t="shared" si="11"/>
        <v>0</v>
      </c>
      <c r="AH77" s="740">
        <f t="shared" si="8"/>
        <v>0</v>
      </c>
      <c r="AI77" s="738">
        <f t="shared" si="12"/>
        <v>0</v>
      </c>
      <c r="AJ77" s="762"/>
      <c r="AK77" s="763"/>
      <c r="AL77" s="752">
        <f t="shared" si="9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10"/>
        <v>52</v>
      </c>
    </row>
    <row r="78" spans="2:47" s="675" customFormat="1" ht="15.75" customHeight="1">
      <c r="B78" s="727">
        <f t="shared" si="3"/>
        <v>53</v>
      </c>
      <c r="C78" s="728">
        <f t="shared" si="1"/>
        <v>6</v>
      </c>
      <c r="D78" s="729" t="str">
        <f t="shared" si="17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/>
      <c r="R78" s="753"/>
      <c r="S78" s="753"/>
      <c r="T78" s="753"/>
      <c r="U78" s="754"/>
      <c r="V78" s="751"/>
      <c r="W78" s="752"/>
      <c r="X78" s="753"/>
      <c r="Y78" s="752"/>
      <c r="Z78" s="736"/>
      <c r="AA78" s="753"/>
      <c r="AB78" s="754">
        <f t="shared" si="4"/>
        <v>0</v>
      </c>
      <c r="AC78" s="738">
        <f t="shared" si="0"/>
        <v>0</v>
      </c>
      <c r="AD78" s="739">
        <f t="shared" si="13"/>
        <v>0</v>
      </c>
      <c r="AE78" s="739">
        <f t="shared" si="5"/>
        <v>0</v>
      </c>
      <c r="AF78" s="739">
        <f t="shared" si="6"/>
        <v>0</v>
      </c>
      <c r="AG78" s="739">
        <f t="shared" si="11"/>
        <v>0</v>
      </c>
      <c r="AH78" s="740">
        <f t="shared" si="8"/>
        <v>0</v>
      </c>
      <c r="AI78" s="738">
        <f t="shared" si="12"/>
        <v>0</v>
      </c>
      <c r="AJ78" s="762"/>
      <c r="AK78" s="763"/>
      <c r="AL78" s="752">
        <f t="shared" si="9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10"/>
        <v>53</v>
      </c>
    </row>
    <row r="79" spans="2:47" s="675" customFormat="1" ht="15.75" customHeight="1">
      <c r="B79" s="727">
        <f t="shared" si="3"/>
        <v>54</v>
      </c>
      <c r="C79" s="728">
        <f t="shared" si="1"/>
        <v>7</v>
      </c>
      <c r="D79" s="729" t="str">
        <f t="shared" si="17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/>
      <c r="R79" s="753"/>
      <c r="S79" s="753"/>
      <c r="T79" s="753"/>
      <c r="U79" s="754">
        <f>IF(B79&lt;=$J$7,$U$16*0.02*3,)</f>
        <v>0</v>
      </c>
      <c r="V79" s="751"/>
      <c r="W79" s="752"/>
      <c r="X79" s="753"/>
      <c r="Y79" s="752"/>
      <c r="Z79" s="736"/>
      <c r="AA79" s="753"/>
      <c r="AB79" s="754">
        <f t="shared" si="4"/>
        <v>0</v>
      </c>
      <c r="AC79" s="738">
        <f t="shared" si="0"/>
        <v>0</v>
      </c>
      <c r="AD79" s="739">
        <f t="shared" si="13"/>
        <v>0</v>
      </c>
      <c r="AE79" s="739">
        <f t="shared" si="5"/>
        <v>0</v>
      </c>
      <c r="AF79" s="739">
        <f t="shared" si="6"/>
        <v>0</v>
      </c>
      <c r="AG79" s="739">
        <f t="shared" si="11"/>
        <v>0</v>
      </c>
      <c r="AH79" s="740">
        <f t="shared" si="8"/>
        <v>0</v>
      </c>
      <c r="AI79" s="738">
        <f t="shared" si="12"/>
        <v>0</v>
      </c>
      <c r="AJ79" s="762"/>
      <c r="AK79" s="763"/>
      <c r="AL79" s="752">
        <f t="shared" si="9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10"/>
        <v>54</v>
      </c>
    </row>
    <row r="80" spans="2:47" s="675" customFormat="1" ht="15.75" customHeight="1">
      <c r="B80" s="727">
        <f t="shared" si="3"/>
        <v>55</v>
      </c>
      <c r="C80" s="728">
        <f t="shared" si="1"/>
        <v>8</v>
      </c>
      <c r="D80" s="729" t="str">
        <f t="shared" si="17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/>
      <c r="R80" s="753"/>
      <c r="S80" s="753"/>
      <c r="T80" s="753"/>
      <c r="U80" s="754"/>
      <c r="V80" s="751"/>
      <c r="W80" s="752"/>
      <c r="X80" s="753"/>
      <c r="Y80" s="752"/>
      <c r="Z80" s="736"/>
      <c r="AA80" s="753"/>
      <c r="AB80" s="754">
        <f t="shared" si="4"/>
        <v>0</v>
      </c>
      <c r="AC80" s="738">
        <f t="shared" si="0"/>
        <v>0</v>
      </c>
      <c r="AD80" s="739">
        <f t="shared" si="13"/>
        <v>0</v>
      </c>
      <c r="AE80" s="739">
        <f t="shared" si="5"/>
        <v>0</v>
      </c>
      <c r="AF80" s="739">
        <f t="shared" si="6"/>
        <v>0</v>
      </c>
      <c r="AG80" s="739">
        <f t="shared" si="11"/>
        <v>0</v>
      </c>
      <c r="AH80" s="740">
        <f t="shared" si="8"/>
        <v>0</v>
      </c>
      <c r="AI80" s="738">
        <f t="shared" si="12"/>
        <v>0</v>
      </c>
      <c r="AJ80" s="762"/>
      <c r="AK80" s="763"/>
      <c r="AL80" s="752">
        <f t="shared" si="9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10"/>
        <v>55</v>
      </c>
    </row>
    <row r="81" spans="2:83" s="675" customFormat="1" ht="15.75" customHeight="1">
      <c r="B81" s="727">
        <f t="shared" si="3"/>
        <v>56</v>
      </c>
      <c r="C81" s="728">
        <f t="shared" si="1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/>
      <c r="R81" s="753"/>
      <c r="S81" s="753"/>
      <c r="T81" s="753"/>
      <c r="U81" s="754"/>
      <c r="V81" s="751"/>
      <c r="W81" s="752"/>
      <c r="X81" s="753"/>
      <c r="Y81" s="752"/>
      <c r="Z81" s="736"/>
      <c r="AA81" s="753"/>
      <c r="AB81" s="754">
        <f t="shared" si="4"/>
        <v>0</v>
      </c>
      <c r="AC81" s="738">
        <f t="shared" si="0"/>
        <v>0</v>
      </c>
      <c r="AD81" s="739">
        <f t="shared" si="13"/>
        <v>0</v>
      </c>
      <c r="AE81" s="739">
        <f t="shared" si="5"/>
        <v>0</v>
      </c>
      <c r="AF81" s="739">
        <f t="shared" si="6"/>
        <v>0</v>
      </c>
      <c r="AG81" s="739">
        <f t="shared" si="11"/>
        <v>0</v>
      </c>
      <c r="AH81" s="740">
        <f t="shared" si="8"/>
        <v>0</v>
      </c>
      <c r="AI81" s="738">
        <f t="shared" si="12"/>
        <v>0</v>
      </c>
      <c r="AJ81" s="762"/>
      <c r="AK81" s="763"/>
      <c r="AL81" s="752">
        <f t="shared" si="9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10"/>
        <v>56</v>
      </c>
    </row>
    <row r="82" spans="2:83" s="675" customFormat="1" ht="15.75" customHeight="1">
      <c r="B82" s="727">
        <f t="shared" si="3"/>
        <v>57</v>
      </c>
      <c r="C82" s="728">
        <f t="shared" si="1"/>
        <v>10</v>
      </c>
      <c r="D82" s="729" t="str">
        <f t="shared" si="17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/>
      <c r="R82" s="753"/>
      <c r="S82" s="753"/>
      <c r="T82" s="753"/>
      <c r="U82" s="754">
        <f>IF(B82&lt;=$J$7,$U$16*0.02*3,)</f>
        <v>0</v>
      </c>
      <c r="V82" s="751"/>
      <c r="W82" s="752"/>
      <c r="X82" s="753"/>
      <c r="Y82" s="752"/>
      <c r="Z82" s="736"/>
      <c r="AA82" s="753"/>
      <c r="AB82" s="754">
        <f t="shared" si="4"/>
        <v>0</v>
      </c>
      <c r="AC82" s="738">
        <f t="shared" si="0"/>
        <v>0</v>
      </c>
      <c r="AD82" s="739">
        <f t="shared" si="13"/>
        <v>0</v>
      </c>
      <c r="AE82" s="739">
        <f t="shared" si="5"/>
        <v>0</v>
      </c>
      <c r="AF82" s="739">
        <f t="shared" si="6"/>
        <v>0</v>
      </c>
      <c r="AG82" s="739">
        <f t="shared" si="11"/>
        <v>0</v>
      </c>
      <c r="AH82" s="740">
        <f t="shared" si="8"/>
        <v>0</v>
      </c>
      <c r="AI82" s="738">
        <f t="shared" si="12"/>
        <v>0</v>
      </c>
      <c r="AJ82" s="762"/>
      <c r="AK82" s="763"/>
      <c r="AL82" s="752">
        <f t="shared" si="9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10"/>
        <v>57</v>
      </c>
    </row>
    <row r="83" spans="2:83" s="675" customFormat="1" ht="15.75" customHeight="1">
      <c r="B83" s="727">
        <f t="shared" si="3"/>
        <v>58</v>
      </c>
      <c r="C83" s="728">
        <f t="shared" si="1"/>
        <v>11</v>
      </c>
      <c r="D83" s="729" t="str">
        <f t="shared" si="17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/>
      <c r="R83" s="753"/>
      <c r="S83" s="753"/>
      <c r="T83" s="753"/>
      <c r="U83" s="754"/>
      <c r="V83" s="751"/>
      <c r="W83" s="752"/>
      <c r="X83" s="753"/>
      <c r="Y83" s="752"/>
      <c r="Z83" s="736"/>
      <c r="AA83" s="753"/>
      <c r="AB83" s="754">
        <f t="shared" si="4"/>
        <v>0</v>
      </c>
      <c r="AC83" s="738">
        <f t="shared" si="0"/>
        <v>0</v>
      </c>
      <c r="AD83" s="739">
        <f t="shared" si="13"/>
        <v>0</v>
      </c>
      <c r="AE83" s="739">
        <f t="shared" si="5"/>
        <v>0</v>
      </c>
      <c r="AF83" s="739">
        <f t="shared" si="6"/>
        <v>0</v>
      </c>
      <c r="AG83" s="739">
        <f t="shared" si="11"/>
        <v>0</v>
      </c>
      <c r="AH83" s="740">
        <f t="shared" si="8"/>
        <v>0</v>
      </c>
      <c r="AI83" s="738">
        <f>IF(AU83&lt;=$J$7,AI82,0)</f>
        <v>0</v>
      </c>
      <c r="AJ83" s="762"/>
      <c r="AK83" s="763"/>
      <c r="AL83" s="752">
        <f t="shared" si="9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10"/>
        <v>58</v>
      </c>
    </row>
    <row r="84" spans="2:83" s="675" customFormat="1" ht="15.75" customHeight="1">
      <c r="B84" s="727">
        <f t="shared" si="3"/>
        <v>59</v>
      </c>
      <c r="C84" s="728">
        <f t="shared" si="1"/>
        <v>12</v>
      </c>
      <c r="D84" s="729" t="str">
        <f t="shared" si="17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/>
      <c r="R84" s="753"/>
      <c r="S84" s="753"/>
      <c r="T84" s="753"/>
      <c r="U84" s="754"/>
      <c r="V84" s="751"/>
      <c r="W84" s="752"/>
      <c r="X84" s="753"/>
      <c r="Y84" s="752"/>
      <c r="Z84" s="736"/>
      <c r="AA84" s="753"/>
      <c r="AB84" s="754">
        <f t="shared" si="4"/>
        <v>0</v>
      </c>
      <c r="AC84" s="738">
        <f t="shared" si="0"/>
        <v>0</v>
      </c>
      <c r="AD84" s="739">
        <f t="shared" si="13"/>
        <v>0</v>
      </c>
      <c r="AE84" s="739">
        <f t="shared" si="5"/>
        <v>0</v>
      </c>
      <c r="AF84" s="739">
        <f t="shared" si="6"/>
        <v>0</v>
      </c>
      <c r="AG84" s="739">
        <f t="shared" si="11"/>
        <v>0</v>
      </c>
      <c r="AH84" s="740">
        <f t="shared" si="8"/>
        <v>0</v>
      </c>
      <c r="AI84" s="738">
        <f>IF(AU84&lt;=$J$7,AI83,0)</f>
        <v>0</v>
      </c>
      <c r="AJ84" s="762"/>
      <c r="AK84" s="763"/>
      <c r="AL84" s="752">
        <f t="shared" si="9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10"/>
        <v>59</v>
      </c>
    </row>
    <row r="85" spans="2:83" s="675" customFormat="1" ht="15.75" customHeight="1">
      <c r="B85" s="727">
        <f t="shared" si="3"/>
        <v>60</v>
      </c>
      <c r="C85" s="728">
        <f t="shared" si="1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/>
      <c r="R85" s="753"/>
      <c r="S85" s="753"/>
      <c r="T85" s="753"/>
      <c r="U85" s="754">
        <f>IF(B85&lt;=$J$7,$U$16*0.02*3,)</f>
        <v>0</v>
      </c>
      <c r="V85" s="751"/>
      <c r="W85" s="752"/>
      <c r="X85" s="753"/>
      <c r="Y85" s="752"/>
      <c r="Z85" s="736"/>
      <c r="AA85" s="753"/>
      <c r="AB85" s="754">
        <f t="shared" si="4"/>
        <v>0</v>
      </c>
      <c r="AC85" s="738">
        <f t="shared" si="0"/>
        <v>0</v>
      </c>
      <c r="AD85" s="739">
        <f>AD84+AC85</f>
        <v>0</v>
      </c>
      <c r="AE85" s="739">
        <f t="shared" si="5"/>
        <v>0</v>
      </c>
      <c r="AF85" s="739">
        <f t="shared" si="6"/>
        <v>0</v>
      </c>
      <c r="AG85" s="739">
        <f t="shared" si="11"/>
        <v>0</v>
      </c>
      <c r="AH85" s="740">
        <f t="shared" si="8"/>
        <v>0</v>
      </c>
      <c r="AI85" s="738">
        <f>IF(AU85&lt;=$J$7,AI84,0)</f>
        <v>0</v>
      </c>
      <c r="AJ85" s="762"/>
      <c r="AK85" s="763"/>
      <c r="AL85" s="752">
        <f t="shared" si="9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10"/>
        <v>60</v>
      </c>
    </row>
    <row r="86" spans="2:83" s="675" customFormat="1" ht="15.75" customHeight="1">
      <c r="B86" s="727">
        <f t="shared" si="3"/>
        <v>61</v>
      </c>
      <c r="C86" s="728">
        <f t="shared" si="1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/>
      <c r="R86" s="753"/>
      <c r="S86" s="753"/>
      <c r="T86" s="753"/>
      <c r="U86" s="754"/>
      <c r="V86" s="751"/>
      <c r="W86" s="752"/>
      <c r="X86" s="753"/>
      <c r="Y86" s="752"/>
      <c r="Z86" s="736"/>
      <c r="AA86" s="753"/>
      <c r="AB86" s="754">
        <f t="shared" si="4"/>
        <v>0</v>
      </c>
      <c r="AC86" s="738">
        <f>U86+AB86</f>
        <v>0</v>
      </c>
      <c r="AD86" s="739"/>
      <c r="AE86" s="739">
        <f t="shared" si="5"/>
        <v>0</v>
      </c>
      <c r="AF86" s="739">
        <f t="shared" si="6"/>
        <v>0</v>
      </c>
      <c r="AG86" s="739">
        <f t="shared" si="11"/>
        <v>0</v>
      </c>
      <c r="AH86" s="740">
        <f t="shared" si="8"/>
        <v>0</v>
      </c>
      <c r="AI86" s="738">
        <f>IF(AU86&lt;=$J$7,AI85,0)</f>
        <v>0</v>
      </c>
      <c r="AJ86" s="762"/>
      <c r="AK86" s="763"/>
      <c r="AL86" s="752">
        <f t="shared" si="9"/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10"/>
        <v>61</v>
      </c>
    </row>
    <row r="87" spans="2:83" s="675" customFormat="1" ht="15.75" customHeight="1">
      <c r="B87" s="727">
        <f t="shared" si="3"/>
        <v>62</v>
      </c>
      <c r="C87" s="728">
        <f t="shared" si="1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/>
      <c r="R87" s="753"/>
      <c r="S87" s="753"/>
      <c r="T87" s="753"/>
      <c r="U87" s="754"/>
      <c r="V87" s="751"/>
      <c r="W87" s="752"/>
      <c r="X87" s="753"/>
      <c r="Y87" s="752"/>
      <c r="Z87" s="736"/>
      <c r="AA87" s="753"/>
      <c r="AB87" s="754">
        <f t="shared" si="4"/>
        <v>0</v>
      </c>
      <c r="AC87" s="738">
        <f>U87+AB87</f>
        <v>0</v>
      </c>
      <c r="AD87" s="739"/>
      <c r="AE87" s="739">
        <f t="shared" si="5"/>
        <v>0</v>
      </c>
      <c r="AF87" s="739">
        <f t="shared" si="6"/>
        <v>0</v>
      </c>
      <c r="AG87" s="739">
        <f t="shared" si="11"/>
        <v>0</v>
      </c>
      <c r="AH87" s="740">
        <f t="shared" si="8"/>
        <v>0</v>
      </c>
      <c r="AI87" s="738">
        <f t="shared" si="12"/>
        <v>0</v>
      </c>
      <c r="AJ87" s="762"/>
      <c r="AK87" s="763"/>
      <c r="AL87" s="752">
        <f t="shared" si="9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10"/>
        <v>62</v>
      </c>
    </row>
    <row r="88" spans="2:83" s="675" customFormat="1" ht="15.75" customHeight="1">
      <c r="B88" s="727">
        <f t="shared" si="3"/>
        <v>63</v>
      </c>
      <c r="C88" s="728">
        <f t="shared" si="1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/>
      <c r="R88" s="753"/>
      <c r="S88" s="753"/>
      <c r="T88" s="753"/>
      <c r="U88" s="754">
        <f>IF(B88&lt;=$J$7,$U$16*0.02*3,)</f>
        <v>0</v>
      </c>
      <c r="V88" s="751"/>
      <c r="W88" s="752"/>
      <c r="X88" s="753"/>
      <c r="Y88" s="752"/>
      <c r="Z88" s="736"/>
      <c r="AA88" s="753"/>
      <c r="AB88" s="754">
        <f t="shared" si="4"/>
        <v>0</v>
      </c>
      <c r="AC88" s="738">
        <f>U88+AB88</f>
        <v>0</v>
      </c>
      <c r="AD88" s="739"/>
      <c r="AE88" s="739">
        <f t="shared" si="5"/>
        <v>0</v>
      </c>
      <c r="AF88" s="739">
        <f t="shared" si="6"/>
        <v>0</v>
      </c>
      <c r="AG88" s="739">
        <f t="shared" si="11"/>
        <v>0</v>
      </c>
      <c r="AH88" s="740">
        <f t="shared" si="8"/>
        <v>0</v>
      </c>
      <c r="AI88" s="738">
        <f t="shared" si="12"/>
        <v>0</v>
      </c>
      <c r="AJ88" s="762"/>
      <c r="AK88" s="763"/>
      <c r="AL88" s="752">
        <f t="shared" si="9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10"/>
        <v>63</v>
      </c>
    </row>
    <row r="89" spans="2:83" s="675" customFormat="1" ht="15.75" customHeight="1">
      <c r="B89" s="727">
        <f t="shared" si="3"/>
        <v>64</v>
      </c>
      <c r="C89" s="728">
        <f t="shared" si="1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/>
      <c r="R89" s="753"/>
      <c r="S89" s="753"/>
      <c r="T89" s="753"/>
      <c r="U89" s="754"/>
      <c r="V89" s="751"/>
      <c r="W89" s="752"/>
      <c r="X89" s="753"/>
      <c r="Y89" s="752"/>
      <c r="Z89" s="736"/>
      <c r="AA89" s="753"/>
      <c r="AB89" s="754">
        <f t="shared" si="4"/>
        <v>0</v>
      </c>
      <c r="AC89" s="738">
        <f>U89+AB89</f>
        <v>0</v>
      </c>
      <c r="AD89" s="739"/>
      <c r="AE89" s="739">
        <f t="shared" si="5"/>
        <v>0</v>
      </c>
      <c r="AF89" s="739">
        <f t="shared" si="6"/>
        <v>0</v>
      </c>
      <c r="AG89" s="739">
        <f t="shared" si="11"/>
        <v>0</v>
      </c>
      <c r="AH89" s="740">
        <f t="shared" si="8"/>
        <v>0</v>
      </c>
      <c r="AI89" s="738">
        <f t="shared" si="12"/>
        <v>0</v>
      </c>
      <c r="AJ89" s="762"/>
      <c r="AK89" s="763"/>
      <c r="AL89" s="752">
        <f t="shared" si="9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10"/>
        <v>64</v>
      </c>
    </row>
    <row r="90" spans="2:83" s="675" customFormat="1" ht="15.75" customHeight="1" thickBot="1">
      <c r="B90" s="766">
        <f t="shared" si="3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70"/>
      <c r="R90" s="771"/>
      <c r="S90" s="771"/>
      <c r="T90" s="771"/>
      <c r="U90" s="754"/>
      <c r="V90" s="769"/>
      <c r="W90" s="770"/>
      <c r="X90" s="771"/>
      <c r="Y90" s="770"/>
      <c r="Z90" s="773"/>
      <c r="AA90" s="771"/>
      <c r="AB90" s="754">
        <f t="shared" si="4"/>
        <v>0</v>
      </c>
      <c r="AC90" s="774">
        <f>U90+AB90</f>
        <v>0</v>
      </c>
      <c r="AD90" s="775"/>
      <c r="AE90" s="739">
        <f t="shared" si="5"/>
        <v>0</v>
      </c>
      <c r="AF90" s="739">
        <f t="shared" si="6"/>
        <v>0</v>
      </c>
      <c r="AG90" s="739">
        <f t="shared" si="11"/>
        <v>0</v>
      </c>
      <c r="AH90" s="740">
        <f t="shared" si="8"/>
        <v>0</v>
      </c>
      <c r="AI90" s="774">
        <f t="shared" si="12"/>
        <v>0</v>
      </c>
      <c r="AJ90" s="777"/>
      <c r="AK90" s="778"/>
      <c r="AL90" s="752">
        <f t="shared" si="9"/>
        <v>0</v>
      </c>
      <c r="AM90" s="779"/>
      <c r="AN90" s="780"/>
      <c r="AO90" s="781"/>
      <c r="AP90" s="781"/>
      <c r="AQ90" s="781"/>
      <c r="AR90" s="781"/>
      <c r="AS90" s="782"/>
      <c r="AT90" s="783"/>
      <c r="AU90" s="784">
        <f t="shared" si="10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/>
      <c r="G91" s="821"/>
      <c r="H91" s="820"/>
      <c r="I91" s="821"/>
      <c r="J91" s="820"/>
      <c r="K91" s="821"/>
      <c r="L91" s="820"/>
      <c r="M91" s="821"/>
      <c r="N91" s="821"/>
      <c r="O91" s="821"/>
      <c r="P91" s="821"/>
      <c r="Q91" s="820"/>
      <c r="R91" s="821"/>
      <c r="S91" s="821"/>
      <c r="T91" s="821"/>
      <c r="U91" s="822">
        <f t="shared" ref="U91:Z91" si="18">SUM(U22:U90)</f>
        <v>-4797620.5077240923</v>
      </c>
      <c r="V91" s="823"/>
      <c r="W91" s="824">
        <f t="shared" si="18"/>
        <v>0</v>
      </c>
      <c r="X91" s="825">
        <f t="shared" si="18"/>
        <v>0</v>
      </c>
      <c r="Y91" s="824">
        <f t="shared" si="18"/>
        <v>0</v>
      </c>
      <c r="Z91" s="826">
        <f t="shared" si="18"/>
        <v>0</v>
      </c>
      <c r="AA91" s="825">
        <f>SUM(AA22:AA75)</f>
        <v>0</v>
      </c>
      <c r="AB91" s="827">
        <f t="shared" ref="AB91:AC91" si="19">SUM(AB22:AB90)</f>
        <v>4797620.5077240923</v>
      </c>
      <c r="AC91" s="828">
        <f t="shared" si="19"/>
        <v>4.6566128730773926E-10</v>
      </c>
      <c r="AD91" s="785">
        <f t="shared" ref="AD91" si="20">AD90+AC91</f>
        <v>4.6566128730773926E-10</v>
      </c>
      <c r="AE91" s="785">
        <f>SUM(AE26:AE90)</f>
        <v>4.6566128730773926E-10</v>
      </c>
      <c r="AF91" s="785">
        <f>SUM(AF26:AF90)</f>
        <v>4.6566128730773926E-10</v>
      </c>
      <c r="AG91" s="829">
        <f>SUM(AG22:AG90)</f>
        <v>28532.184097581776</v>
      </c>
      <c r="AH91" s="830">
        <f>SUM(AH22:AH90)</f>
        <v>28532.184097581776</v>
      </c>
      <c r="AI91" s="831">
        <f>SUM(AI22:AI90)</f>
        <v>33744.026270636045</v>
      </c>
      <c r="AJ91" s="832"/>
      <c r="AK91" s="786"/>
      <c r="AL91" s="787">
        <f>SUM(AL22:AL90)</f>
        <v>-33744.026270636045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-4.1909515857696533E-9</v>
      </c>
      <c r="BE92" s="846"/>
      <c r="BL92" s="790"/>
      <c r="BM92" s="790"/>
    </row>
    <row r="93" spans="2:83" ht="21.75" customHeight="1">
      <c r="U93" s="920"/>
      <c r="AH93" s="674"/>
      <c r="AI93" s="920"/>
    </row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  <c r="AG94" s="924"/>
      <c r="AI94" s="921"/>
    </row>
    <row r="95" spans="2:83" s="638" customFormat="1" ht="24.75" customHeight="1" thickTop="1">
      <c r="B95" s="1623" t="s">
        <v>175</v>
      </c>
      <c r="C95" s="1624" t="s">
        <v>176</v>
      </c>
      <c r="D95" s="1624"/>
      <c r="E95" s="1624"/>
      <c r="F95" s="1624"/>
      <c r="G95" s="1624"/>
      <c r="H95" s="1624"/>
      <c r="I95" s="1624"/>
      <c r="J95" s="1624"/>
      <c r="K95" s="1625"/>
      <c r="L95" s="1626" t="s">
        <v>177</v>
      </c>
      <c r="M95" s="1627"/>
      <c r="N95" s="1627"/>
      <c r="O95" s="1628"/>
      <c r="P95" s="1642" t="s">
        <v>178</v>
      </c>
      <c r="Q95" s="1643"/>
      <c r="R95" s="1644"/>
      <c r="S95" s="1633" t="s">
        <v>179</v>
      </c>
      <c r="T95" s="1630" t="s">
        <v>180</v>
      </c>
      <c r="AH95" s="923"/>
      <c r="AI95" s="922"/>
      <c r="AP95" s="640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645"/>
      <c r="C96" s="1646" t="s">
        <v>166</v>
      </c>
      <c r="D96" s="1646"/>
      <c r="E96" s="1646"/>
      <c r="F96" s="1646" t="s">
        <v>187</v>
      </c>
      <c r="G96" s="1646"/>
      <c r="H96" s="1646" t="s">
        <v>165</v>
      </c>
      <c r="I96" s="1646"/>
      <c r="J96" s="1654" t="s">
        <v>188</v>
      </c>
      <c r="K96" s="1620" t="s">
        <v>58</v>
      </c>
      <c r="L96" s="1640" t="s">
        <v>189</v>
      </c>
      <c r="M96" s="1654" t="s">
        <v>190</v>
      </c>
      <c r="N96" s="1638" t="s">
        <v>191</v>
      </c>
      <c r="O96" s="1620" t="s">
        <v>58</v>
      </c>
      <c r="P96" s="1640" t="s">
        <v>192</v>
      </c>
      <c r="Q96" s="1638" t="s">
        <v>193</v>
      </c>
      <c r="R96" s="1636" t="s">
        <v>194</v>
      </c>
      <c r="S96" s="1634"/>
      <c r="T96" s="1631"/>
      <c r="AH96" s="923"/>
      <c r="AI96" s="922"/>
      <c r="AP96" s="640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652"/>
      <c r="C97" s="919"/>
      <c r="D97" s="1653" t="s">
        <v>169</v>
      </c>
      <c r="E97" s="1653"/>
      <c r="F97" s="918" t="s">
        <v>196</v>
      </c>
      <c r="G97" s="879" t="s">
        <v>169</v>
      </c>
      <c r="H97" s="918" t="s">
        <v>196</v>
      </c>
      <c r="I97" s="879" t="s">
        <v>169</v>
      </c>
      <c r="J97" s="1655"/>
      <c r="K97" s="1629"/>
      <c r="L97" s="1641"/>
      <c r="M97" s="1655"/>
      <c r="N97" s="1639"/>
      <c r="O97" s="1629"/>
      <c r="P97" s="1641"/>
      <c r="Q97" s="1639"/>
      <c r="R97" s="1637"/>
      <c r="S97" s="1635"/>
      <c r="T97" s="1632"/>
      <c r="AH97" s="923"/>
      <c r="AP97" s="640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/>
      <c r="E98" s="655"/>
      <c r="F98" s="655"/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H98" s="923"/>
      <c r="AK98" s="923"/>
      <c r="AP98" s="640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>
      <c r="B99" s="911" t="str">
        <f t="shared" ref="B99:B130" si="21">B22</f>
        <v xml:space="preserve">  </v>
      </c>
      <c r="C99" s="904"/>
      <c r="D99" s="904"/>
      <c r="E99" s="883">
        <f>AL22</f>
        <v>0</v>
      </c>
      <c r="F99" s="904"/>
      <c r="G99" s="883">
        <f t="shared" ref="G99:G130" si="22">W22</f>
        <v>0</v>
      </c>
      <c r="H99" s="904"/>
      <c r="I99" s="883">
        <f t="shared" ref="I99:I130" si="23">Y22</f>
        <v>0</v>
      </c>
      <c r="J99" s="904"/>
      <c r="K99" s="885">
        <f t="shared" ref="K99:K162" si="24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2" si="25">P99+Q99</f>
        <v>0</v>
      </c>
      <c r="S99" s="889">
        <f t="shared" ref="S99" si="26">IF($R99&lt;0,$R99*-1,0)</f>
        <v>0</v>
      </c>
      <c r="T99" s="889">
        <f t="shared" ref="T99:T139" si="27">$S99*$G$14*1/12</f>
        <v>0</v>
      </c>
      <c r="AH99" s="923"/>
      <c r="AP99" s="640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>
      <c r="B100" s="912" t="str">
        <f t="shared" si="21"/>
        <v xml:space="preserve">  </v>
      </c>
      <c r="C100" s="905"/>
      <c r="D100" s="905"/>
      <c r="E100" s="815">
        <f>AL23</f>
        <v>0</v>
      </c>
      <c r="F100" s="905"/>
      <c r="G100" s="815">
        <f t="shared" si="22"/>
        <v>0</v>
      </c>
      <c r="H100" s="905"/>
      <c r="I100" s="815">
        <f t="shared" si="23"/>
        <v>0</v>
      </c>
      <c r="J100" s="905"/>
      <c r="K100" s="884">
        <f t="shared" si="24"/>
        <v>0</v>
      </c>
      <c r="L100" s="890">
        <f>-U23</f>
        <v>0</v>
      </c>
      <c r="M100" s="905"/>
      <c r="N100" s="815">
        <f>T99*-1</f>
        <v>0</v>
      </c>
      <c r="O100" s="884">
        <f t="shared" ref="O100:O163" si="28">L100+M100+N100</f>
        <v>0</v>
      </c>
      <c r="P100" s="891">
        <f>K100+O100</f>
        <v>0</v>
      </c>
      <c r="Q100" s="892">
        <f>R99</f>
        <v>0</v>
      </c>
      <c r="R100" s="893">
        <f t="shared" si="25"/>
        <v>0</v>
      </c>
      <c r="S100" s="894">
        <f>IF($R100&gt;0,$R100*-1,0)</f>
        <v>0</v>
      </c>
      <c r="T100" s="894">
        <f t="shared" si="27"/>
        <v>0</v>
      </c>
      <c r="AH100" s="923"/>
      <c r="AP100" s="640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>
      <c r="B101" s="912" t="str">
        <f t="shared" si="21"/>
        <v xml:space="preserve">  </v>
      </c>
      <c r="C101" s="905"/>
      <c r="D101" s="905"/>
      <c r="E101" s="815">
        <f t="shared" ref="E101:E102" si="29">AL24</f>
        <v>0</v>
      </c>
      <c r="F101" s="905"/>
      <c r="G101" s="815">
        <f t="shared" si="22"/>
        <v>0</v>
      </c>
      <c r="H101" s="905"/>
      <c r="I101" s="815">
        <f t="shared" si="23"/>
        <v>0</v>
      </c>
      <c r="J101" s="905"/>
      <c r="K101" s="884">
        <f t="shared" si="24"/>
        <v>0</v>
      </c>
      <c r="L101" s="890">
        <f>U24</f>
        <v>0</v>
      </c>
      <c r="M101" s="905"/>
      <c r="N101" s="815">
        <f>T100*-1</f>
        <v>0</v>
      </c>
      <c r="O101" s="884">
        <f t="shared" si="28"/>
        <v>0</v>
      </c>
      <c r="P101" s="891">
        <f t="shared" ref="P101:P162" si="30">K101+O101</f>
        <v>0</v>
      </c>
      <c r="Q101" s="892">
        <f t="shared" ref="Q101:Q164" si="31">R100</f>
        <v>0</v>
      </c>
      <c r="R101" s="893">
        <f t="shared" si="25"/>
        <v>0</v>
      </c>
      <c r="S101" s="894">
        <f t="shared" ref="S101:S102" si="32">IF($R101&gt;0,$R101*-1,0)</f>
        <v>0</v>
      </c>
      <c r="T101" s="894">
        <f t="shared" si="27"/>
        <v>0</v>
      </c>
      <c r="AH101" s="923"/>
      <c r="AP101" s="640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>
      <c r="B102" s="913">
        <f t="shared" si="21"/>
        <v>0</v>
      </c>
      <c r="C102" s="905"/>
      <c r="D102" s="905"/>
      <c r="E102" s="815">
        <f t="shared" si="29"/>
        <v>0</v>
      </c>
      <c r="F102" s="905"/>
      <c r="G102" s="815">
        <f t="shared" si="22"/>
        <v>0</v>
      </c>
      <c r="H102" s="905"/>
      <c r="I102" s="815">
        <f t="shared" si="23"/>
        <v>0</v>
      </c>
      <c r="J102" s="905"/>
      <c r="K102" s="884">
        <f t="shared" si="24"/>
        <v>0</v>
      </c>
      <c r="L102" s="890">
        <f>AC25</f>
        <v>0</v>
      </c>
      <c r="M102" s="905"/>
      <c r="N102" s="815">
        <f t="shared" ref="N102:N165" si="33">T101*-1</f>
        <v>0</v>
      </c>
      <c r="O102" s="884">
        <f t="shared" ref="O102:O108" si="34">L102+M102+N102</f>
        <v>0</v>
      </c>
      <c r="P102" s="891">
        <f>K102+O102</f>
        <v>0</v>
      </c>
      <c r="Q102" s="892">
        <f>R101</f>
        <v>0</v>
      </c>
      <c r="R102" s="893">
        <f t="shared" si="25"/>
        <v>0</v>
      </c>
      <c r="S102" s="894">
        <f t="shared" si="32"/>
        <v>0</v>
      </c>
      <c r="T102" s="894">
        <f t="shared" si="27"/>
        <v>0</v>
      </c>
      <c r="AH102" s="923"/>
      <c r="AP102" s="640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>
      <c r="B103" s="913">
        <f t="shared" si="21"/>
        <v>1</v>
      </c>
      <c r="C103" s="905"/>
      <c r="D103" s="905"/>
      <c r="E103" s="815">
        <f>AL26+AB26</f>
        <v>99247.426696947005</v>
      </c>
      <c r="F103" s="905"/>
      <c r="G103" s="815">
        <f t="shared" si="22"/>
        <v>0</v>
      </c>
      <c r="H103" s="905"/>
      <c r="I103" s="815">
        <f t="shared" si="23"/>
        <v>0</v>
      </c>
      <c r="J103" s="905"/>
      <c r="K103" s="884">
        <f>C103+E103+F103+G103+H103+I103+J103+D103</f>
        <v>99247.426696947005</v>
      </c>
      <c r="L103" s="890">
        <f t="shared" ref="L103:L134" si="35">U26</f>
        <v>0</v>
      </c>
      <c r="M103" s="905"/>
      <c r="N103" s="815">
        <f>T102*-1</f>
        <v>0</v>
      </c>
      <c r="O103" s="884">
        <f t="shared" si="34"/>
        <v>0</v>
      </c>
      <c r="P103" s="891">
        <f>K103+O103</f>
        <v>99247.426696947005</v>
      </c>
      <c r="Q103" s="892">
        <f t="shared" si="31"/>
        <v>0</v>
      </c>
      <c r="R103" s="893">
        <f>P103+Q103</f>
        <v>99247.426696947005</v>
      </c>
      <c r="S103" s="894">
        <f>IF(B103&lt;=$J$7,$R103*-1,0)</f>
        <v>-99247.426696947005</v>
      </c>
      <c r="T103" s="894">
        <f>$S103*$G$14*1/12</f>
        <v>-701.34848199175883</v>
      </c>
      <c r="AH103" s="923"/>
      <c r="AP103" s="640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>
      <c r="B104" s="913">
        <f t="shared" si="21"/>
        <v>2</v>
      </c>
      <c r="C104" s="905"/>
      <c r="D104" s="905"/>
      <c r="E104" s="815">
        <f t="shared" ref="E104:E167" si="36">AL27+AB27</f>
        <v>99247.426696947005</v>
      </c>
      <c r="F104" s="905"/>
      <c r="G104" s="815">
        <f t="shared" si="22"/>
        <v>0</v>
      </c>
      <c r="H104" s="905"/>
      <c r="I104" s="815">
        <f t="shared" si="23"/>
        <v>0</v>
      </c>
      <c r="J104" s="905"/>
      <c r="K104" s="884">
        <f t="shared" si="24"/>
        <v>99247.426696947005</v>
      </c>
      <c r="L104" s="890">
        <f t="shared" si="35"/>
        <v>0</v>
      </c>
      <c r="M104" s="905"/>
      <c r="N104" s="815">
        <f>T103*-1</f>
        <v>701.34848199175883</v>
      </c>
      <c r="O104" s="884">
        <f t="shared" si="34"/>
        <v>701.34848199175883</v>
      </c>
      <c r="P104" s="891">
        <f>K104+O104</f>
        <v>99948.775178938769</v>
      </c>
      <c r="Q104" s="892">
        <f>R103</f>
        <v>99247.426696947005</v>
      </c>
      <c r="R104" s="893">
        <f>P104+Q104</f>
        <v>199196.20187588577</v>
      </c>
      <c r="S104" s="894">
        <f t="shared" ref="S104:S167" si="37">IF(B104&lt;=$J$7,$R104*-1,0)</f>
        <v>-199196.20187588577</v>
      </c>
      <c r="T104" s="894">
        <f>$S104*$G$14*1/12</f>
        <v>-1407.6531599229263</v>
      </c>
      <c r="AH104" s="923"/>
      <c r="AP104" s="640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>
      <c r="B105" s="913">
        <f t="shared" si="21"/>
        <v>3</v>
      </c>
      <c r="C105" s="905"/>
      <c r="D105" s="905"/>
      <c r="E105" s="815">
        <f t="shared" si="36"/>
        <v>99247.426696947005</v>
      </c>
      <c r="F105" s="905"/>
      <c r="G105" s="815">
        <f t="shared" si="22"/>
        <v>0</v>
      </c>
      <c r="H105" s="905"/>
      <c r="I105" s="815">
        <f t="shared" si="23"/>
        <v>0</v>
      </c>
      <c r="J105" s="905"/>
      <c r="K105" s="884">
        <f t="shared" si="24"/>
        <v>99247.426696947005</v>
      </c>
      <c r="L105" s="890">
        <f t="shared" si="35"/>
        <v>-299851.28173275577</v>
      </c>
      <c r="M105" s="905"/>
      <c r="N105" s="815">
        <f>T104*-1</f>
        <v>1407.6531599229263</v>
      </c>
      <c r="O105" s="884">
        <f t="shared" si="34"/>
        <v>-298443.62857283285</v>
      </c>
      <c r="P105" s="891">
        <f>K105+O105</f>
        <v>-199196.20187588583</v>
      </c>
      <c r="Q105" s="892">
        <f>R104</f>
        <v>199196.20187588577</v>
      </c>
      <c r="R105" s="893">
        <f>P105+Q105</f>
        <v>0</v>
      </c>
      <c r="S105" s="894">
        <f t="shared" si="37"/>
        <v>0</v>
      </c>
      <c r="T105" s="894">
        <f t="shared" si="27"/>
        <v>0</v>
      </c>
      <c r="AH105" s="923"/>
      <c r="AP105" s="640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>
      <c r="B106" s="913">
        <f t="shared" si="21"/>
        <v>4</v>
      </c>
      <c r="C106" s="905"/>
      <c r="D106" s="905"/>
      <c r="E106" s="815">
        <f t="shared" si="36"/>
        <v>99247.426696947005</v>
      </c>
      <c r="F106" s="905"/>
      <c r="G106" s="815">
        <f t="shared" si="22"/>
        <v>0</v>
      </c>
      <c r="H106" s="905"/>
      <c r="I106" s="815">
        <f t="shared" si="23"/>
        <v>0</v>
      </c>
      <c r="J106" s="905"/>
      <c r="K106" s="884">
        <f t="shared" si="24"/>
        <v>99247.426696947005</v>
      </c>
      <c r="L106" s="890">
        <f t="shared" si="35"/>
        <v>0</v>
      </c>
      <c r="M106" s="905"/>
      <c r="N106" s="815">
        <f>T105*-1</f>
        <v>0</v>
      </c>
      <c r="O106" s="884">
        <f t="shared" si="34"/>
        <v>0</v>
      </c>
      <c r="P106" s="891">
        <f t="shared" si="30"/>
        <v>99247.426696947005</v>
      </c>
      <c r="Q106" s="892">
        <f>R105</f>
        <v>0</v>
      </c>
      <c r="R106" s="893">
        <f t="shared" ref="R106:R164" si="38">P106+Q106</f>
        <v>99247.426696947005</v>
      </c>
      <c r="S106" s="894">
        <f t="shared" si="37"/>
        <v>-99247.426696947005</v>
      </c>
      <c r="T106" s="894">
        <f t="shared" si="27"/>
        <v>-701.34848199175883</v>
      </c>
      <c r="AH106" s="923"/>
      <c r="AP106" s="640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>
      <c r="B107" s="913">
        <f t="shared" si="21"/>
        <v>5</v>
      </c>
      <c r="C107" s="905"/>
      <c r="D107" s="905"/>
      <c r="E107" s="815">
        <f t="shared" si="36"/>
        <v>99247.426696947005</v>
      </c>
      <c r="F107" s="905"/>
      <c r="G107" s="815">
        <f t="shared" si="22"/>
        <v>0</v>
      </c>
      <c r="H107" s="905"/>
      <c r="I107" s="815">
        <f t="shared" si="23"/>
        <v>0</v>
      </c>
      <c r="J107" s="905"/>
      <c r="K107" s="884">
        <f t="shared" si="24"/>
        <v>99247.426696947005</v>
      </c>
      <c r="L107" s="890">
        <f t="shared" si="35"/>
        <v>0</v>
      </c>
      <c r="M107" s="905"/>
      <c r="N107" s="815">
        <f t="shared" si="33"/>
        <v>701.34848199175883</v>
      </c>
      <c r="O107" s="884">
        <f t="shared" si="34"/>
        <v>701.34848199175883</v>
      </c>
      <c r="P107" s="891">
        <f t="shared" si="30"/>
        <v>99948.775178938769</v>
      </c>
      <c r="Q107" s="892">
        <f t="shared" si="31"/>
        <v>99247.426696947005</v>
      </c>
      <c r="R107" s="893">
        <f>P107+Q107</f>
        <v>199196.20187588577</v>
      </c>
      <c r="S107" s="894">
        <f t="shared" si="37"/>
        <v>-199196.20187588577</v>
      </c>
      <c r="T107" s="894">
        <f t="shared" si="27"/>
        <v>-1407.6531599229263</v>
      </c>
      <c r="AH107" s="923"/>
      <c r="AP107" s="640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>
      <c r="B108" s="913">
        <f t="shared" si="21"/>
        <v>6</v>
      </c>
      <c r="C108" s="905"/>
      <c r="D108" s="905"/>
      <c r="E108" s="815">
        <f t="shared" si="36"/>
        <v>99247.426696947005</v>
      </c>
      <c r="F108" s="905"/>
      <c r="G108" s="815">
        <f t="shared" si="22"/>
        <v>0</v>
      </c>
      <c r="H108" s="905"/>
      <c r="I108" s="815">
        <f t="shared" si="23"/>
        <v>0</v>
      </c>
      <c r="J108" s="905"/>
      <c r="K108" s="884">
        <f t="shared" si="24"/>
        <v>99247.426696947005</v>
      </c>
      <c r="L108" s="890">
        <f t="shared" si="35"/>
        <v>-299851.28173275577</v>
      </c>
      <c r="M108" s="905"/>
      <c r="N108" s="815">
        <f t="shared" si="33"/>
        <v>1407.6531599229263</v>
      </c>
      <c r="O108" s="884">
        <f t="shared" si="34"/>
        <v>-298443.62857283285</v>
      </c>
      <c r="P108" s="891">
        <f t="shared" si="30"/>
        <v>-199196.20187588583</v>
      </c>
      <c r="Q108" s="892">
        <f t="shared" si="31"/>
        <v>199196.20187588577</v>
      </c>
      <c r="R108" s="893">
        <f t="shared" si="38"/>
        <v>0</v>
      </c>
      <c r="S108" s="894">
        <f t="shared" si="37"/>
        <v>0</v>
      </c>
      <c r="T108" s="894">
        <f t="shared" si="27"/>
        <v>0</v>
      </c>
      <c r="AH108" s="923"/>
      <c r="AP108" s="640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>
      <c r="B109" s="913">
        <f t="shared" si="21"/>
        <v>7</v>
      </c>
      <c r="C109" s="905"/>
      <c r="D109" s="905"/>
      <c r="E109" s="815">
        <f t="shared" si="36"/>
        <v>99247.426696947005</v>
      </c>
      <c r="F109" s="905"/>
      <c r="G109" s="815">
        <f t="shared" si="22"/>
        <v>0</v>
      </c>
      <c r="H109" s="905"/>
      <c r="I109" s="815">
        <f t="shared" si="23"/>
        <v>0</v>
      </c>
      <c r="J109" s="905"/>
      <c r="K109" s="884">
        <f t="shared" si="24"/>
        <v>99247.426696947005</v>
      </c>
      <c r="L109" s="890">
        <f t="shared" si="35"/>
        <v>0</v>
      </c>
      <c r="M109" s="905"/>
      <c r="N109" s="815">
        <f t="shared" si="33"/>
        <v>0</v>
      </c>
      <c r="O109" s="884">
        <f t="shared" si="28"/>
        <v>0</v>
      </c>
      <c r="P109" s="891">
        <f t="shared" si="30"/>
        <v>99247.426696947005</v>
      </c>
      <c r="Q109" s="892">
        <f t="shared" si="31"/>
        <v>0</v>
      </c>
      <c r="R109" s="893">
        <f t="shared" si="38"/>
        <v>99247.426696947005</v>
      </c>
      <c r="S109" s="894">
        <f t="shared" si="37"/>
        <v>-99247.426696947005</v>
      </c>
      <c r="T109" s="894">
        <f t="shared" si="27"/>
        <v>-701.34848199175883</v>
      </c>
      <c r="AH109" s="923"/>
      <c r="AP109" s="640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>
      <c r="B110" s="913">
        <f t="shared" si="21"/>
        <v>8</v>
      </c>
      <c r="C110" s="905"/>
      <c r="D110" s="905"/>
      <c r="E110" s="815">
        <f t="shared" si="36"/>
        <v>99247.426696947005</v>
      </c>
      <c r="F110" s="905"/>
      <c r="G110" s="815">
        <f t="shared" si="22"/>
        <v>0</v>
      </c>
      <c r="H110" s="905"/>
      <c r="I110" s="815">
        <f t="shared" si="23"/>
        <v>0</v>
      </c>
      <c r="J110" s="905"/>
      <c r="K110" s="884">
        <f t="shared" si="24"/>
        <v>99247.426696947005</v>
      </c>
      <c r="L110" s="890">
        <f t="shared" si="35"/>
        <v>0</v>
      </c>
      <c r="M110" s="905"/>
      <c r="N110" s="815">
        <f t="shared" si="33"/>
        <v>701.34848199175883</v>
      </c>
      <c r="O110" s="884">
        <f t="shared" si="28"/>
        <v>701.34848199175883</v>
      </c>
      <c r="P110" s="891">
        <f t="shared" si="30"/>
        <v>99948.775178938769</v>
      </c>
      <c r="Q110" s="892">
        <f t="shared" si="31"/>
        <v>99247.426696947005</v>
      </c>
      <c r="R110" s="893">
        <f t="shared" si="38"/>
        <v>199196.20187588577</v>
      </c>
      <c r="S110" s="894">
        <f t="shared" si="37"/>
        <v>-199196.20187588577</v>
      </c>
      <c r="T110" s="894">
        <f t="shared" si="27"/>
        <v>-1407.6531599229263</v>
      </c>
      <c r="AH110" s="923"/>
      <c r="AP110" s="640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>
      <c r="B111" s="913">
        <f t="shared" si="21"/>
        <v>9</v>
      </c>
      <c r="C111" s="905"/>
      <c r="D111" s="905"/>
      <c r="E111" s="815">
        <f t="shared" si="36"/>
        <v>99247.426696947005</v>
      </c>
      <c r="F111" s="905"/>
      <c r="G111" s="815">
        <f t="shared" si="22"/>
        <v>0</v>
      </c>
      <c r="H111" s="905"/>
      <c r="I111" s="815">
        <f t="shared" si="23"/>
        <v>0</v>
      </c>
      <c r="J111" s="905"/>
      <c r="K111" s="884">
        <f t="shared" si="24"/>
        <v>99247.426696947005</v>
      </c>
      <c r="L111" s="890">
        <f t="shared" si="35"/>
        <v>-299851.28173275577</v>
      </c>
      <c r="M111" s="905"/>
      <c r="N111" s="815">
        <f t="shared" si="33"/>
        <v>1407.6531599229263</v>
      </c>
      <c r="O111" s="884">
        <f t="shared" si="28"/>
        <v>-298443.62857283285</v>
      </c>
      <c r="P111" s="891">
        <f t="shared" si="30"/>
        <v>-199196.20187588583</v>
      </c>
      <c r="Q111" s="892">
        <f t="shared" si="31"/>
        <v>199196.20187588577</v>
      </c>
      <c r="R111" s="893">
        <f t="shared" si="38"/>
        <v>0</v>
      </c>
      <c r="S111" s="894">
        <f t="shared" si="37"/>
        <v>0</v>
      </c>
      <c r="T111" s="894">
        <f t="shared" si="27"/>
        <v>0</v>
      </c>
      <c r="AP111" s="640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>
      <c r="B112" s="913">
        <f t="shared" si="21"/>
        <v>10</v>
      </c>
      <c r="C112" s="905"/>
      <c r="D112" s="905"/>
      <c r="E112" s="815">
        <f t="shared" si="36"/>
        <v>99247.426696947005</v>
      </c>
      <c r="F112" s="905"/>
      <c r="G112" s="815">
        <f t="shared" si="22"/>
        <v>0</v>
      </c>
      <c r="H112" s="905"/>
      <c r="I112" s="815">
        <f t="shared" si="23"/>
        <v>0</v>
      </c>
      <c r="J112" s="905"/>
      <c r="K112" s="884">
        <f t="shared" si="24"/>
        <v>99247.426696947005</v>
      </c>
      <c r="L112" s="890">
        <f t="shared" si="35"/>
        <v>0</v>
      </c>
      <c r="M112" s="905"/>
      <c r="N112" s="815">
        <f t="shared" si="33"/>
        <v>0</v>
      </c>
      <c r="O112" s="884">
        <f t="shared" si="28"/>
        <v>0</v>
      </c>
      <c r="P112" s="891">
        <f t="shared" si="30"/>
        <v>99247.426696947005</v>
      </c>
      <c r="Q112" s="892">
        <f t="shared" si="31"/>
        <v>0</v>
      </c>
      <c r="R112" s="893">
        <f t="shared" si="38"/>
        <v>99247.426696947005</v>
      </c>
      <c r="S112" s="894">
        <f t="shared" si="37"/>
        <v>-99247.426696947005</v>
      </c>
      <c r="T112" s="894">
        <f t="shared" si="27"/>
        <v>-701.34848199175883</v>
      </c>
      <c r="AP112" s="640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>
      <c r="B113" s="913">
        <f t="shared" si="21"/>
        <v>11</v>
      </c>
      <c r="C113" s="905"/>
      <c r="D113" s="905"/>
      <c r="E113" s="815">
        <f t="shared" si="36"/>
        <v>99247.426696947005</v>
      </c>
      <c r="F113" s="905"/>
      <c r="G113" s="815">
        <f t="shared" si="22"/>
        <v>0</v>
      </c>
      <c r="H113" s="905"/>
      <c r="I113" s="815">
        <f t="shared" si="23"/>
        <v>0</v>
      </c>
      <c r="J113" s="905"/>
      <c r="K113" s="884">
        <f t="shared" si="24"/>
        <v>99247.426696947005</v>
      </c>
      <c r="L113" s="890">
        <f t="shared" si="35"/>
        <v>0</v>
      </c>
      <c r="M113" s="905"/>
      <c r="N113" s="815">
        <f t="shared" si="33"/>
        <v>701.34848199175883</v>
      </c>
      <c r="O113" s="884">
        <f>L113+M113+N113</f>
        <v>701.34848199175883</v>
      </c>
      <c r="P113" s="891">
        <f>K113+O113</f>
        <v>99948.775178938769</v>
      </c>
      <c r="Q113" s="892">
        <f t="shared" si="31"/>
        <v>99247.426696947005</v>
      </c>
      <c r="R113" s="893">
        <f t="shared" si="38"/>
        <v>199196.20187588577</v>
      </c>
      <c r="S113" s="894">
        <f t="shared" si="37"/>
        <v>-199196.20187588577</v>
      </c>
      <c r="T113" s="894">
        <f t="shared" si="27"/>
        <v>-1407.6531599229263</v>
      </c>
      <c r="AP113" s="640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>
      <c r="B114" s="913">
        <f t="shared" si="21"/>
        <v>12</v>
      </c>
      <c r="C114" s="905"/>
      <c r="D114" s="905"/>
      <c r="E114" s="815">
        <f t="shared" si="36"/>
        <v>99247.426696947005</v>
      </c>
      <c r="F114" s="905"/>
      <c r="G114" s="815">
        <f t="shared" si="22"/>
        <v>0</v>
      </c>
      <c r="H114" s="905"/>
      <c r="I114" s="815">
        <f t="shared" si="23"/>
        <v>0</v>
      </c>
      <c r="J114" s="905"/>
      <c r="K114" s="884">
        <f t="shared" si="24"/>
        <v>99247.426696947005</v>
      </c>
      <c r="L114" s="890">
        <f t="shared" si="35"/>
        <v>-299851.28173275577</v>
      </c>
      <c r="M114" s="905"/>
      <c r="N114" s="815">
        <f t="shared" si="33"/>
        <v>1407.6531599229263</v>
      </c>
      <c r="O114" s="884">
        <f t="shared" si="28"/>
        <v>-298443.62857283285</v>
      </c>
      <c r="P114" s="891">
        <f t="shared" si="30"/>
        <v>-199196.20187588583</v>
      </c>
      <c r="Q114" s="892">
        <f t="shared" si="31"/>
        <v>199196.20187588577</v>
      </c>
      <c r="R114" s="893">
        <f t="shared" si="38"/>
        <v>0</v>
      </c>
      <c r="S114" s="894">
        <f t="shared" si="37"/>
        <v>0</v>
      </c>
      <c r="T114" s="894">
        <f t="shared" si="27"/>
        <v>0</v>
      </c>
      <c r="AP114" s="640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>
      <c r="B115" s="913">
        <f t="shared" si="21"/>
        <v>13</v>
      </c>
      <c r="C115" s="905"/>
      <c r="D115" s="905"/>
      <c r="E115" s="815">
        <f t="shared" si="36"/>
        <v>99247.426696947005</v>
      </c>
      <c r="F115" s="905"/>
      <c r="G115" s="815">
        <f t="shared" si="22"/>
        <v>0</v>
      </c>
      <c r="H115" s="905"/>
      <c r="I115" s="815">
        <f t="shared" si="23"/>
        <v>0</v>
      </c>
      <c r="J115" s="905"/>
      <c r="K115" s="884">
        <f t="shared" si="24"/>
        <v>99247.426696947005</v>
      </c>
      <c r="L115" s="890">
        <f t="shared" si="35"/>
        <v>0</v>
      </c>
      <c r="M115" s="905"/>
      <c r="N115" s="815">
        <f t="shared" si="33"/>
        <v>0</v>
      </c>
      <c r="O115" s="884">
        <f t="shared" si="28"/>
        <v>0</v>
      </c>
      <c r="P115" s="891">
        <f t="shared" si="30"/>
        <v>99247.426696947005</v>
      </c>
      <c r="Q115" s="892">
        <f t="shared" si="31"/>
        <v>0</v>
      </c>
      <c r="R115" s="893">
        <f t="shared" si="38"/>
        <v>99247.426696947005</v>
      </c>
      <c r="S115" s="894">
        <f t="shared" si="37"/>
        <v>-99247.426696947005</v>
      </c>
      <c r="T115" s="894">
        <f t="shared" si="27"/>
        <v>-701.34848199175883</v>
      </c>
      <c r="AP115" s="640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>
      <c r="B116" s="913">
        <f t="shared" si="21"/>
        <v>14</v>
      </c>
      <c r="C116" s="905"/>
      <c r="D116" s="905"/>
      <c r="E116" s="815">
        <f t="shared" si="36"/>
        <v>99247.426696947005</v>
      </c>
      <c r="F116" s="905"/>
      <c r="G116" s="815">
        <f t="shared" si="22"/>
        <v>0</v>
      </c>
      <c r="H116" s="905"/>
      <c r="I116" s="815">
        <f t="shared" si="23"/>
        <v>0</v>
      </c>
      <c r="J116" s="905"/>
      <c r="K116" s="884">
        <f t="shared" si="24"/>
        <v>99247.426696947005</v>
      </c>
      <c r="L116" s="890">
        <f t="shared" si="35"/>
        <v>0</v>
      </c>
      <c r="M116" s="905"/>
      <c r="N116" s="815">
        <f t="shared" si="33"/>
        <v>701.34848199175883</v>
      </c>
      <c r="O116" s="884">
        <f t="shared" si="28"/>
        <v>701.34848199175883</v>
      </c>
      <c r="P116" s="891">
        <f t="shared" si="30"/>
        <v>99948.775178938769</v>
      </c>
      <c r="Q116" s="892">
        <f t="shared" si="31"/>
        <v>99247.426696947005</v>
      </c>
      <c r="R116" s="893">
        <f t="shared" si="38"/>
        <v>199196.20187588577</v>
      </c>
      <c r="S116" s="894">
        <f t="shared" si="37"/>
        <v>-199196.20187588577</v>
      </c>
      <c r="T116" s="894">
        <f t="shared" si="27"/>
        <v>-1407.6531599229263</v>
      </c>
      <c r="AP116" s="640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>
      <c r="B117" s="913">
        <f t="shared" si="21"/>
        <v>15</v>
      </c>
      <c r="C117" s="905"/>
      <c r="D117" s="905"/>
      <c r="E117" s="815">
        <f t="shared" si="36"/>
        <v>99247.426696947005</v>
      </c>
      <c r="F117" s="905"/>
      <c r="G117" s="815">
        <f t="shared" si="22"/>
        <v>0</v>
      </c>
      <c r="H117" s="905"/>
      <c r="I117" s="815">
        <f t="shared" si="23"/>
        <v>0</v>
      </c>
      <c r="J117" s="905"/>
      <c r="K117" s="884">
        <f t="shared" si="24"/>
        <v>99247.426696947005</v>
      </c>
      <c r="L117" s="890">
        <f t="shared" si="35"/>
        <v>-299851.28173275577</v>
      </c>
      <c r="M117" s="905"/>
      <c r="N117" s="815">
        <f t="shared" si="33"/>
        <v>1407.6531599229263</v>
      </c>
      <c r="O117" s="884">
        <f t="shared" si="28"/>
        <v>-298443.62857283285</v>
      </c>
      <c r="P117" s="891">
        <f t="shared" si="30"/>
        <v>-199196.20187588583</v>
      </c>
      <c r="Q117" s="892">
        <f t="shared" si="31"/>
        <v>199196.20187588577</v>
      </c>
      <c r="R117" s="893">
        <f t="shared" si="38"/>
        <v>0</v>
      </c>
      <c r="S117" s="894">
        <f t="shared" si="37"/>
        <v>0</v>
      </c>
      <c r="T117" s="894">
        <f t="shared" si="27"/>
        <v>0</v>
      </c>
      <c r="AP117" s="640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>
      <c r="B118" s="913">
        <f t="shared" si="21"/>
        <v>16</v>
      </c>
      <c r="C118" s="905"/>
      <c r="D118" s="905"/>
      <c r="E118" s="815">
        <f t="shared" si="36"/>
        <v>99247.426696947005</v>
      </c>
      <c r="F118" s="905"/>
      <c r="G118" s="815">
        <f t="shared" si="22"/>
        <v>0</v>
      </c>
      <c r="H118" s="905"/>
      <c r="I118" s="815">
        <f t="shared" si="23"/>
        <v>0</v>
      </c>
      <c r="J118" s="905"/>
      <c r="K118" s="884">
        <f t="shared" si="24"/>
        <v>99247.426696947005</v>
      </c>
      <c r="L118" s="890">
        <f t="shared" si="35"/>
        <v>0</v>
      </c>
      <c r="M118" s="905"/>
      <c r="N118" s="815">
        <f t="shared" si="33"/>
        <v>0</v>
      </c>
      <c r="O118" s="884">
        <f t="shared" si="28"/>
        <v>0</v>
      </c>
      <c r="P118" s="891">
        <f t="shared" si="30"/>
        <v>99247.426696947005</v>
      </c>
      <c r="Q118" s="892">
        <f t="shared" si="31"/>
        <v>0</v>
      </c>
      <c r="R118" s="893">
        <f t="shared" si="38"/>
        <v>99247.426696947005</v>
      </c>
      <c r="S118" s="894">
        <f t="shared" si="37"/>
        <v>-99247.426696947005</v>
      </c>
      <c r="T118" s="894">
        <f t="shared" si="27"/>
        <v>-701.34848199175883</v>
      </c>
      <c r="AP118" s="640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>
      <c r="B119" s="913">
        <f t="shared" si="21"/>
        <v>17</v>
      </c>
      <c r="C119" s="905"/>
      <c r="D119" s="905"/>
      <c r="E119" s="815">
        <f t="shared" si="36"/>
        <v>99247.426696947005</v>
      </c>
      <c r="F119" s="905"/>
      <c r="G119" s="815">
        <f t="shared" si="22"/>
        <v>0</v>
      </c>
      <c r="H119" s="905"/>
      <c r="I119" s="815">
        <f t="shared" si="23"/>
        <v>0</v>
      </c>
      <c r="J119" s="905"/>
      <c r="K119" s="884">
        <f t="shared" si="24"/>
        <v>99247.426696947005</v>
      </c>
      <c r="L119" s="890">
        <f t="shared" si="35"/>
        <v>0</v>
      </c>
      <c r="M119" s="905"/>
      <c r="N119" s="815">
        <f t="shared" si="33"/>
        <v>701.34848199175883</v>
      </c>
      <c r="O119" s="884">
        <f t="shared" si="28"/>
        <v>701.34848199175883</v>
      </c>
      <c r="P119" s="891">
        <f t="shared" si="30"/>
        <v>99948.775178938769</v>
      </c>
      <c r="Q119" s="892">
        <f t="shared" si="31"/>
        <v>99247.426696947005</v>
      </c>
      <c r="R119" s="893">
        <f t="shared" si="38"/>
        <v>199196.20187588577</v>
      </c>
      <c r="S119" s="894">
        <f t="shared" si="37"/>
        <v>-199196.20187588577</v>
      </c>
      <c r="T119" s="894">
        <f t="shared" si="27"/>
        <v>-1407.6531599229263</v>
      </c>
      <c r="AP119" s="640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>
      <c r="B120" s="913">
        <f t="shared" si="21"/>
        <v>18</v>
      </c>
      <c r="C120" s="905"/>
      <c r="D120" s="905"/>
      <c r="E120" s="815">
        <f t="shared" si="36"/>
        <v>99247.426696947005</v>
      </c>
      <c r="F120" s="905"/>
      <c r="G120" s="815">
        <f t="shared" si="22"/>
        <v>0</v>
      </c>
      <c r="H120" s="905"/>
      <c r="I120" s="815">
        <f t="shared" si="23"/>
        <v>0</v>
      </c>
      <c r="J120" s="905"/>
      <c r="K120" s="884">
        <f t="shared" si="24"/>
        <v>99247.426696947005</v>
      </c>
      <c r="L120" s="890">
        <f t="shared" si="35"/>
        <v>-299851.28173275577</v>
      </c>
      <c r="M120" s="905"/>
      <c r="N120" s="815">
        <f t="shared" si="33"/>
        <v>1407.6531599229263</v>
      </c>
      <c r="O120" s="884">
        <f t="shared" si="28"/>
        <v>-298443.62857283285</v>
      </c>
      <c r="P120" s="891">
        <f t="shared" si="30"/>
        <v>-199196.20187588583</v>
      </c>
      <c r="Q120" s="892">
        <f t="shared" si="31"/>
        <v>199196.20187588577</v>
      </c>
      <c r="R120" s="893">
        <f t="shared" si="38"/>
        <v>0</v>
      </c>
      <c r="S120" s="894">
        <f t="shared" si="37"/>
        <v>0</v>
      </c>
      <c r="T120" s="894">
        <f t="shared" si="27"/>
        <v>0</v>
      </c>
      <c r="AP120" s="640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>
      <c r="B121" s="913">
        <f t="shared" si="21"/>
        <v>19</v>
      </c>
      <c r="C121" s="905"/>
      <c r="D121" s="905"/>
      <c r="E121" s="815">
        <f t="shared" si="36"/>
        <v>99247.426696947005</v>
      </c>
      <c r="F121" s="905"/>
      <c r="G121" s="815">
        <f t="shared" si="22"/>
        <v>0</v>
      </c>
      <c r="H121" s="905"/>
      <c r="I121" s="815">
        <f t="shared" si="23"/>
        <v>0</v>
      </c>
      <c r="J121" s="905"/>
      <c r="K121" s="884">
        <f t="shared" si="24"/>
        <v>99247.426696947005</v>
      </c>
      <c r="L121" s="890">
        <f t="shared" si="35"/>
        <v>0</v>
      </c>
      <c r="M121" s="905"/>
      <c r="N121" s="815">
        <f t="shared" si="33"/>
        <v>0</v>
      </c>
      <c r="O121" s="884">
        <f t="shared" si="28"/>
        <v>0</v>
      </c>
      <c r="P121" s="891">
        <f t="shared" si="30"/>
        <v>99247.426696947005</v>
      </c>
      <c r="Q121" s="892">
        <f t="shared" si="31"/>
        <v>0</v>
      </c>
      <c r="R121" s="893">
        <f t="shared" si="38"/>
        <v>99247.426696947005</v>
      </c>
      <c r="S121" s="894">
        <f t="shared" si="37"/>
        <v>-99247.426696947005</v>
      </c>
      <c r="T121" s="894">
        <f t="shared" si="27"/>
        <v>-701.34848199175883</v>
      </c>
      <c r="AP121" s="640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>
      <c r="B122" s="913">
        <f t="shared" si="21"/>
        <v>20</v>
      </c>
      <c r="C122" s="905"/>
      <c r="D122" s="905"/>
      <c r="E122" s="815">
        <f t="shared" si="36"/>
        <v>99247.426696947005</v>
      </c>
      <c r="F122" s="905"/>
      <c r="G122" s="815">
        <f t="shared" si="22"/>
        <v>0</v>
      </c>
      <c r="H122" s="905"/>
      <c r="I122" s="815">
        <f t="shared" si="23"/>
        <v>0</v>
      </c>
      <c r="J122" s="905"/>
      <c r="K122" s="884">
        <f t="shared" si="24"/>
        <v>99247.426696947005</v>
      </c>
      <c r="L122" s="890">
        <f t="shared" si="35"/>
        <v>0</v>
      </c>
      <c r="M122" s="905"/>
      <c r="N122" s="815">
        <f t="shared" si="33"/>
        <v>701.34848199175883</v>
      </c>
      <c r="O122" s="884">
        <f t="shared" si="28"/>
        <v>701.34848199175883</v>
      </c>
      <c r="P122" s="891">
        <f t="shared" si="30"/>
        <v>99948.775178938769</v>
      </c>
      <c r="Q122" s="892">
        <f t="shared" si="31"/>
        <v>99247.426696947005</v>
      </c>
      <c r="R122" s="893">
        <f t="shared" si="38"/>
        <v>199196.20187588577</v>
      </c>
      <c r="S122" s="894">
        <f t="shared" si="37"/>
        <v>-199196.20187588577</v>
      </c>
      <c r="T122" s="894">
        <f t="shared" si="27"/>
        <v>-1407.6531599229263</v>
      </c>
      <c r="AP122" s="640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>
      <c r="B123" s="913">
        <f t="shared" si="21"/>
        <v>21</v>
      </c>
      <c r="C123" s="905"/>
      <c r="D123" s="905"/>
      <c r="E123" s="815">
        <f t="shared" si="36"/>
        <v>99247.426696947005</v>
      </c>
      <c r="F123" s="905"/>
      <c r="G123" s="815">
        <f t="shared" si="22"/>
        <v>0</v>
      </c>
      <c r="H123" s="905"/>
      <c r="I123" s="815">
        <f t="shared" si="23"/>
        <v>0</v>
      </c>
      <c r="J123" s="905"/>
      <c r="K123" s="884">
        <f t="shared" si="24"/>
        <v>99247.426696947005</v>
      </c>
      <c r="L123" s="890">
        <f t="shared" si="35"/>
        <v>-299851.28173275577</v>
      </c>
      <c r="M123" s="905"/>
      <c r="N123" s="815">
        <f t="shared" si="33"/>
        <v>1407.6531599229263</v>
      </c>
      <c r="O123" s="884">
        <f t="shared" si="28"/>
        <v>-298443.62857283285</v>
      </c>
      <c r="P123" s="891">
        <f t="shared" si="30"/>
        <v>-199196.20187588583</v>
      </c>
      <c r="Q123" s="892">
        <f t="shared" si="31"/>
        <v>199196.20187588577</v>
      </c>
      <c r="R123" s="893">
        <f t="shared" si="38"/>
        <v>0</v>
      </c>
      <c r="S123" s="894">
        <f t="shared" si="37"/>
        <v>0</v>
      </c>
      <c r="T123" s="894">
        <f t="shared" si="27"/>
        <v>0</v>
      </c>
      <c r="AP123" s="640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>
      <c r="B124" s="913">
        <f t="shared" si="21"/>
        <v>22</v>
      </c>
      <c r="C124" s="905"/>
      <c r="D124" s="905"/>
      <c r="E124" s="815">
        <f t="shared" si="36"/>
        <v>99247.426696947005</v>
      </c>
      <c r="F124" s="905"/>
      <c r="G124" s="815">
        <f t="shared" si="22"/>
        <v>0</v>
      </c>
      <c r="H124" s="905"/>
      <c r="I124" s="815">
        <f t="shared" si="23"/>
        <v>0</v>
      </c>
      <c r="J124" s="905"/>
      <c r="K124" s="884">
        <f t="shared" si="24"/>
        <v>99247.426696947005</v>
      </c>
      <c r="L124" s="890">
        <f t="shared" si="35"/>
        <v>0</v>
      </c>
      <c r="M124" s="905"/>
      <c r="N124" s="815">
        <f t="shared" si="33"/>
        <v>0</v>
      </c>
      <c r="O124" s="884">
        <f t="shared" si="28"/>
        <v>0</v>
      </c>
      <c r="P124" s="891">
        <f t="shared" si="30"/>
        <v>99247.426696947005</v>
      </c>
      <c r="Q124" s="892">
        <f t="shared" si="31"/>
        <v>0</v>
      </c>
      <c r="R124" s="893">
        <f t="shared" si="38"/>
        <v>99247.426696947005</v>
      </c>
      <c r="S124" s="894">
        <f t="shared" si="37"/>
        <v>-99247.426696947005</v>
      </c>
      <c r="T124" s="894">
        <f t="shared" si="27"/>
        <v>-701.34848199175883</v>
      </c>
      <c r="AP124" s="640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>
      <c r="B125" s="913">
        <f t="shared" si="21"/>
        <v>23</v>
      </c>
      <c r="C125" s="905"/>
      <c r="D125" s="905"/>
      <c r="E125" s="815">
        <f t="shared" si="36"/>
        <v>99247.426696947005</v>
      </c>
      <c r="F125" s="905"/>
      <c r="G125" s="815">
        <f t="shared" si="22"/>
        <v>0</v>
      </c>
      <c r="H125" s="905"/>
      <c r="I125" s="815">
        <f t="shared" si="23"/>
        <v>0</v>
      </c>
      <c r="J125" s="905"/>
      <c r="K125" s="884">
        <f t="shared" si="24"/>
        <v>99247.426696947005</v>
      </c>
      <c r="L125" s="890">
        <f t="shared" si="35"/>
        <v>0</v>
      </c>
      <c r="M125" s="905"/>
      <c r="N125" s="815">
        <f t="shared" si="33"/>
        <v>701.34848199175883</v>
      </c>
      <c r="O125" s="884">
        <f t="shared" si="28"/>
        <v>701.34848199175883</v>
      </c>
      <c r="P125" s="891">
        <f t="shared" si="30"/>
        <v>99948.775178938769</v>
      </c>
      <c r="Q125" s="892">
        <f t="shared" si="31"/>
        <v>99247.426696947005</v>
      </c>
      <c r="R125" s="893">
        <f t="shared" si="38"/>
        <v>199196.20187588577</v>
      </c>
      <c r="S125" s="894">
        <f t="shared" si="37"/>
        <v>-199196.20187588577</v>
      </c>
      <c r="T125" s="894">
        <f t="shared" si="27"/>
        <v>-1407.6531599229263</v>
      </c>
      <c r="AP125" s="640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>
      <c r="B126" s="913">
        <f t="shared" si="21"/>
        <v>24</v>
      </c>
      <c r="C126" s="905"/>
      <c r="D126" s="905"/>
      <c r="E126" s="815">
        <f t="shared" si="36"/>
        <v>99247.426696947005</v>
      </c>
      <c r="F126" s="905"/>
      <c r="G126" s="815">
        <f t="shared" si="22"/>
        <v>0</v>
      </c>
      <c r="H126" s="905"/>
      <c r="I126" s="815">
        <f t="shared" si="23"/>
        <v>0</v>
      </c>
      <c r="J126" s="905"/>
      <c r="K126" s="884">
        <f t="shared" si="24"/>
        <v>99247.426696947005</v>
      </c>
      <c r="L126" s="890">
        <f t="shared" si="35"/>
        <v>-299851.28173275577</v>
      </c>
      <c r="M126" s="905"/>
      <c r="N126" s="815">
        <f t="shared" si="33"/>
        <v>1407.6531599229263</v>
      </c>
      <c r="O126" s="884">
        <f t="shared" si="28"/>
        <v>-298443.62857283285</v>
      </c>
      <c r="P126" s="891">
        <f t="shared" si="30"/>
        <v>-199196.20187588583</v>
      </c>
      <c r="Q126" s="892">
        <f t="shared" si="31"/>
        <v>199196.20187588577</v>
      </c>
      <c r="R126" s="893">
        <f t="shared" si="38"/>
        <v>0</v>
      </c>
      <c r="S126" s="894">
        <f t="shared" si="37"/>
        <v>0</v>
      </c>
      <c r="T126" s="894">
        <f t="shared" si="27"/>
        <v>0</v>
      </c>
      <c r="AP126" s="640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>
      <c r="B127" s="913">
        <f t="shared" si="21"/>
        <v>25</v>
      </c>
      <c r="C127" s="905"/>
      <c r="D127" s="905"/>
      <c r="E127" s="815">
        <f t="shared" si="36"/>
        <v>99247.426696947005</v>
      </c>
      <c r="F127" s="905"/>
      <c r="G127" s="815">
        <f t="shared" si="22"/>
        <v>0</v>
      </c>
      <c r="H127" s="905"/>
      <c r="I127" s="815">
        <f t="shared" si="23"/>
        <v>0</v>
      </c>
      <c r="J127" s="905"/>
      <c r="K127" s="884">
        <f t="shared" si="24"/>
        <v>99247.426696947005</v>
      </c>
      <c r="L127" s="890">
        <f t="shared" si="35"/>
        <v>0</v>
      </c>
      <c r="M127" s="905"/>
      <c r="N127" s="815">
        <f t="shared" si="33"/>
        <v>0</v>
      </c>
      <c r="O127" s="884">
        <f t="shared" si="28"/>
        <v>0</v>
      </c>
      <c r="P127" s="891">
        <f t="shared" si="30"/>
        <v>99247.426696947005</v>
      </c>
      <c r="Q127" s="892">
        <f t="shared" si="31"/>
        <v>0</v>
      </c>
      <c r="R127" s="893">
        <f t="shared" si="38"/>
        <v>99247.426696947005</v>
      </c>
      <c r="S127" s="894">
        <f t="shared" si="37"/>
        <v>-99247.426696947005</v>
      </c>
      <c r="T127" s="894">
        <f t="shared" si="27"/>
        <v>-701.34848199175883</v>
      </c>
      <c r="AP127" s="640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>
      <c r="B128" s="913">
        <f t="shared" si="21"/>
        <v>26</v>
      </c>
      <c r="C128" s="905"/>
      <c r="D128" s="905"/>
      <c r="E128" s="815">
        <f t="shared" si="36"/>
        <v>99247.426696947005</v>
      </c>
      <c r="F128" s="905"/>
      <c r="G128" s="815">
        <f t="shared" si="22"/>
        <v>0</v>
      </c>
      <c r="H128" s="905"/>
      <c r="I128" s="815">
        <f t="shared" si="23"/>
        <v>0</v>
      </c>
      <c r="J128" s="905"/>
      <c r="K128" s="884">
        <f t="shared" si="24"/>
        <v>99247.426696947005</v>
      </c>
      <c r="L128" s="890">
        <f t="shared" si="35"/>
        <v>0</v>
      </c>
      <c r="M128" s="905"/>
      <c r="N128" s="815">
        <f t="shared" si="33"/>
        <v>701.34848199175883</v>
      </c>
      <c r="O128" s="884">
        <f t="shared" si="28"/>
        <v>701.34848199175883</v>
      </c>
      <c r="P128" s="891">
        <f t="shared" si="30"/>
        <v>99948.775178938769</v>
      </c>
      <c r="Q128" s="892">
        <f t="shared" si="31"/>
        <v>99247.426696947005</v>
      </c>
      <c r="R128" s="893">
        <f t="shared" si="38"/>
        <v>199196.20187588577</v>
      </c>
      <c r="S128" s="894">
        <f t="shared" si="37"/>
        <v>-199196.20187588577</v>
      </c>
      <c r="T128" s="894">
        <f t="shared" si="27"/>
        <v>-1407.6531599229263</v>
      </c>
      <c r="AP128" s="640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>
      <c r="B129" s="913">
        <f t="shared" si="21"/>
        <v>27</v>
      </c>
      <c r="C129" s="905"/>
      <c r="D129" s="905"/>
      <c r="E129" s="815">
        <f t="shared" si="36"/>
        <v>99247.426696947005</v>
      </c>
      <c r="F129" s="905"/>
      <c r="G129" s="815">
        <f t="shared" si="22"/>
        <v>0</v>
      </c>
      <c r="H129" s="905"/>
      <c r="I129" s="815">
        <f t="shared" si="23"/>
        <v>0</v>
      </c>
      <c r="J129" s="905"/>
      <c r="K129" s="884">
        <f t="shared" si="24"/>
        <v>99247.426696947005</v>
      </c>
      <c r="L129" s="890">
        <f t="shared" si="35"/>
        <v>-299851.28173275577</v>
      </c>
      <c r="M129" s="905"/>
      <c r="N129" s="815">
        <f t="shared" si="33"/>
        <v>1407.6531599229263</v>
      </c>
      <c r="O129" s="884">
        <f t="shared" si="28"/>
        <v>-298443.62857283285</v>
      </c>
      <c r="P129" s="891">
        <f t="shared" si="30"/>
        <v>-199196.20187588583</v>
      </c>
      <c r="Q129" s="892">
        <f t="shared" si="31"/>
        <v>199196.20187588577</v>
      </c>
      <c r="R129" s="893">
        <f t="shared" si="38"/>
        <v>0</v>
      </c>
      <c r="S129" s="894">
        <f t="shared" si="37"/>
        <v>0</v>
      </c>
      <c r="T129" s="894">
        <f t="shared" si="27"/>
        <v>0</v>
      </c>
      <c r="AP129" s="640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>
      <c r="B130" s="913">
        <f t="shared" si="21"/>
        <v>28</v>
      </c>
      <c r="C130" s="905"/>
      <c r="D130" s="905"/>
      <c r="E130" s="815">
        <f t="shared" si="36"/>
        <v>99247.426696947005</v>
      </c>
      <c r="F130" s="905"/>
      <c r="G130" s="815">
        <f t="shared" si="22"/>
        <v>0</v>
      </c>
      <c r="H130" s="905"/>
      <c r="I130" s="815">
        <f t="shared" si="23"/>
        <v>0</v>
      </c>
      <c r="J130" s="905"/>
      <c r="K130" s="884">
        <f t="shared" si="24"/>
        <v>99247.426696947005</v>
      </c>
      <c r="L130" s="890">
        <f t="shared" si="35"/>
        <v>0</v>
      </c>
      <c r="M130" s="905"/>
      <c r="N130" s="815">
        <f t="shared" si="33"/>
        <v>0</v>
      </c>
      <c r="O130" s="884">
        <f t="shared" si="28"/>
        <v>0</v>
      </c>
      <c r="P130" s="891">
        <f t="shared" si="30"/>
        <v>99247.426696947005</v>
      </c>
      <c r="Q130" s="892">
        <f t="shared" si="31"/>
        <v>0</v>
      </c>
      <c r="R130" s="893">
        <f t="shared" si="38"/>
        <v>99247.426696947005</v>
      </c>
      <c r="S130" s="894">
        <f t="shared" si="37"/>
        <v>-99247.426696947005</v>
      </c>
      <c r="T130" s="894">
        <f t="shared" si="27"/>
        <v>-701.34848199175883</v>
      </c>
      <c r="AP130" s="640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>
      <c r="B131" s="913">
        <f t="shared" ref="B131:B162" si="39">B54</f>
        <v>29</v>
      </c>
      <c r="C131" s="905"/>
      <c r="D131" s="905"/>
      <c r="E131" s="815">
        <f t="shared" si="36"/>
        <v>99247.426696947005</v>
      </c>
      <c r="F131" s="905"/>
      <c r="G131" s="815">
        <f t="shared" ref="G131:G162" si="40">W54</f>
        <v>0</v>
      </c>
      <c r="H131" s="905"/>
      <c r="I131" s="815">
        <f t="shared" ref="I131:I162" si="41">Y54</f>
        <v>0</v>
      </c>
      <c r="J131" s="905"/>
      <c r="K131" s="884">
        <f t="shared" si="24"/>
        <v>99247.426696947005</v>
      </c>
      <c r="L131" s="890">
        <f t="shared" si="35"/>
        <v>0</v>
      </c>
      <c r="M131" s="905"/>
      <c r="N131" s="815">
        <f t="shared" si="33"/>
        <v>701.34848199175883</v>
      </c>
      <c r="O131" s="884">
        <f t="shared" si="28"/>
        <v>701.34848199175883</v>
      </c>
      <c r="P131" s="891">
        <f t="shared" si="30"/>
        <v>99948.775178938769</v>
      </c>
      <c r="Q131" s="892">
        <f t="shared" si="31"/>
        <v>99247.426696947005</v>
      </c>
      <c r="R131" s="893">
        <f t="shared" si="38"/>
        <v>199196.20187588577</v>
      </c>
      <c r="S131" s="894">
        <f t="shared" si="37"/>
        <v>-199196.20187588577</v>
      </c>
      <c r="T131" s="894">
        <f t="shared" si="27"/>
        <v>-1407.6531599229263</v>
      </c>
      <c r="AP131" s="640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>
      <c r="B132" s="913">
        <f t="shared" si="39"/>
        <v>30</v>
      </c>
      <c r="C132" s="905"/>
      <c r="D132" s="905"/>
      <c r="E132" s="815">
        <f t="shared" si="36"/>
        <v>99247.426696947005</v>
      </c>
      <c r="F132" s="905"/>
      <c r="G132" s="815">
        <f t="shared" si="40"/>
        <v>0</v>
      </c>
      <c r="H132" s="905"/>
      <c r="I132" s="815">
        <f t="shared" si="41"/>
        <v>0</v>
      </c>
      <c r="J132" s="905"/>
      <c r="K132" s="884">
        <f t="shared" si="24"/>
        <v>99247.426696947005</v>
      </c>
      <c r="L132" s="890">
        <f t="shared" si="35"/>
        <v>-299851.28173275577</v>
      </c>
      <c r="M132" s="905"/>
      <c r="N132" s="815">
        <f>T131*-1</f>
        <v>1407.6531599229263</v>
      </c>
      <c r="O132" s="884">
        <f t="shared" si="28"/>
        <v>-298443.62857283285</v>
      </c>
      <c r="P132" s="891">
        <f t="shared" si="30"/>
        <v>-199196.20187588583</v>
      </c>
      <c r="Q132" s="892">
        <f t="shared" si="31"/>
        <v>199196.20187588577</v>
      </c>
      <c r="R132" s="893">
        <f t="shared" si="38"/>
        <v>0</v>
      </c>
      <c r="S132" s="894">
        <f t="shared" si="37"/>
        <v>0</v>
      </c>
      <c r="T132" s="894">
        <f t="shared" si="27"/>
        <v>0</v>
      </c>
      <c r="AP132" s="640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>
      <c r="B133" s="913">
        <f t="shared" si="39"/>
        <v>31</v>
      </c>
      <c r="C133" s="905"/>
      <c r="D133" s="905"/>
      <c r="E133" s="815">
        <f t="shared" si="36"/>
        <v>99247.426696947005</v>
      </c>
      <c r="F133" s="905"/>
      <c r="G133" s="815">
        <f t="shared" si="40"/>
        <v>0</v>
      </c>
      <c r="H133" s="905"/>
      <c r="I133" s="815">
        <f t="shared" si="41"/>
        <v>0</v>
      </c>
      <c r="J133" s="905"/>
      <c r="K133" s="884">
        <f t="shared" si="24"/>
        <v>99247.426696947005</v>
      </c>
      <c r="L133" s="890">
        <f t="shared" si="35"/>
        <v>0</v>
      </c>
      <c r="M133" s="905"/>
      <c r="N133" s="815">
        <f t="shared" si="33"/>
        <v>0</v>
      </c>
      <c r="O133" s="884">
        <f t="shared" si="28"/>
        <v>0</v>
      </c>
      <c r="P133" s="891">
        <f>K133+O133</f>
        <v>99247.426696947005</v>
      </c>
      <c r="Q133" s="892">
        <f t="shared" si="31"/>
        <v>0</v>
      </c>
      <c r="R133" s="893">
        <f t="shared" si="38"/>
        <v>99247.426696947005</v>
      </c>
      <c r="S133" s="894">
        <f t="shared" si="37"/>
        <v>-99247.426696947005</v>
      </c>
      <c r="T133" s="894">
        <f t="shared" si="27"/>
        <v>-701.34848199175883</v>
      </c>
      <c r="AP133" s="640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>
      <c r="B134" s="913">
        <f t="shared" si="39"/>
        <v>32</v>
      </c>
      <c r="C134" s="905"/>
      <c r="D134" s="905"/>
      <c r="E134" s="815">
        <f t="shared" si="36"/>
        <v>99247.426696947005</v>
      </c>
      <c r="F134" s="905"/>
      <c r="G134" s="815">
        <f t="shared" si="40"/>
        <v>0</v>
      </c>
      <c r="H134" s="905"/>
      <c r="I134" s="815">
        <f t="shared" si="41"/>
        <v>0</v>
      </c>
      <c r="J134" s="905"/>
      <c r="K134" s="884">
        <f t="shared" si="24"/>
        <v>99247.426696947005</v>
      </c>
      <c r="L134" s="890">
        <f t="shared" si="35"/>
        <v>0</v>
      </c>
      <c r="M134" s="905"/>
      <c r="N134" s="815">
        <f t="shared" si="33"/>
        <v>701.34848199175883</v>
      </c>
      <c r="O134" s="884">
        <f t="shared" si="28"/>
        <v>701.34848199175883</v>
      </c>
      <c r="P134" s="891">
        <f>K134+O134</f>
        <v>99948.775178938769</v>
      </c>
      <c r="Q134" s="892">
        <f t="shared" si="31"/>
        <v>99247.426696947005</v>
      </c>
      <c r="R134" s="893">
        <f t="shared" si="38"/>
        <v>199196.20187588577</v>
      </c>
      <c r="S134" s="894">
        <f t="shared" si="37"/>
        <v>-199196.20187588577</v>
      </c>
      <c r="T134" s="894">
        <f t="shared" si="27"/>
        <v>-1407.6531599229263</v>
      </c>
      <c r="AP134" s="640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>
      <c r="B135" s="913">
        <f t="shared" si="39"/>
        <v>33</v>
      </c>
      <c r="C135" s="905"/>
      <c r="D135" s="905"/>
      <c r="E135" s="815">
        <f t="shared" si="36"/>
        <v>99247.426696947005</v>
      </c>
      <c r="F135" s="905"/>
      <c r="G135" s="815">
        <f t="shared" si="40"/>
        <v>0</v>
      </c>
      <c r="H135" s="905"/>
      <c r="I135" s="815">
        <f t="shared" si="41"/>
        <v>0</v>
      </c>
      <c r="J135" s="905"/>
      <c r="K135" s="884">
        <f t="shared" si="24"/>
        <v>99247.426696947005</v>
      </c>
      <c r="L135" s="890">
        <f t="shared" ref="L135:L166" si="42">U58</f>
        <v>-299851.28173275577</v>
      </c>
      <c r="M135" s="905"/>
      <c r="N135" s="815">
        <f t="shared" si="33"/>
        <v>1407.6531599229263</v>
      </c>
      <c r="O135" s="884">
        <f t="shared" si="28"/>
        <v>-298443.62857283285</v>
      </c>
      <c r="P135" s="891">
        <f>K135+O135</f>
        <v>-199196.20187588583</v>
      </c>
      <c r="Q135" s="892">
        <f t="shared" si="31"/>
        <v>199196.20187588577</v>
      </c>
      <c r="R135" s="893">
        <f t="shared" si="38"/>
        <v>0</v>
      </c>
      <c r="S135" s="894">
        <f t="shared" si="37"/>
        <v>0</v>
      </c>
      <c r="T135" s="894">
        <f t="shared" si="27"/>
        <v>0</v>
      </c>
      <c r="AP135" s="640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>
      <c r="B136" s="913">
        <f t="shared" si="39"/>
        <v>34</v>
      </c>
      <c r="C136" s="905"/>
      <c r="D136" s="905"/>
      <c r="E136" s="815">
        <f t="shared" si="36"/>
        <v>99247.426696947005</v>
      </c>
      <c r="F136" s="905"/>
      <c r="G136" s="815">
        <f t="shared" si="40"/>
        <v>0</v>
      </c>
      <c r="H136" s="905"/>
      <c r="I136" s="815">
        <f t="shared" si="41"/>
        <v>0</v>
      </c>
      <c r="J136" s="905"/>
      <c r="K136" s="884">
        <f t="shared" si="24"/>
        <v>99247.426696947005</v>
      </c>
      <c r="L136" s="890">
        <f t="shared" si="42"/>
        <v>0</v>
      </c>
      <c r="M136" s="905"/>
      <c r="N136" s="815">
        <f t="shared" si="33"/>
        <v>0</v>
      </c>
      <c r="O136" s="884">
        <f t="shared" si="28"/>
        <v>0</v>
      </c>
      <c r="P136" s="891">
        <f>K136+O136</f>
        <v>99247.426696947005</v>
      </c>
      <c r="Q136" s="892">
        <f t="shared" si="31"/>
        <v>0</v>
      </c>
      <c r="R136" s="893">
        <f t="shared" si="38"/>
        <v>99247.426696947005</v>
      </c>
      <c r="S136" s="894">
        <f t="shared" si="37"/>
        <v>-99247.426696947005</v>
      </c>
      <c r="T136" s="894">
        <f t="shared" si="27"/>
        <v>-701.34848199175883</v>
      </c>
      <c r="AP136" s="640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>
      <c r="B137" s="913">
        <f t="shared" si="39"/>
        <v>35</v>
      </c>
      <c r="C137" s="905"/>
      <c r="D137" s="905"/>
      <c r="E137" s="815">
        <f t="shared" si="36"/>
        <v>99247.426696947005</v>
      </c>
      <c r="F137" s="905"/>
      <c r="G137" s="815">
        <f t="shared" si="40"/>
        <v>0</v>
      </c>
      <c r="H137" s="905"/>
      <c r="I137" s="815">
        <f t="shared" si="41"/>
        <v>0</v>
      </c>
      <c r="J137" s="905"/>
      <c r="K137" s="884">
        <f t="shared" si="24"/>
        <v>99247.426696947005</v>
      </c>
      <c r="L137" s="890">
        <f t="shared" si="42"/>
        <v>0</v>
      </c>
      <c r="M137" s="905"/>
      <c r="N137" s="815">
        <f t="shared" si="33"/>
        <v>701.34848199175883</v>
      </c>
      <c r="O137" s="884">
        <f t="shared" si="28"/>
        <v>701.34848199175883</v>
      </c>
      <c r="P137" s="891">
        <f t="shared" si="30"/>
        <v>99948.775178938769</v>
      </c>
      <c r="Q137" s="892">
        <f t="shared" si="31"/>
        <v>99247.426696947005</v>
      </c>
      <c r="R137" s="893">
        <f t="shared" si="38"/>
        <v>199196.20187588577</v>
      </c>
      <c r="S137" s="894">
        <f>IF(B137&lt;=$J$7+1,$R137*-1,0)</f>
        <v>-199196.20187588577</v>
      </c>
      <c r="T137" s="894">
        <f t="shared" si="27"/>
        <v>-1407.6531599229263</v>
      </c>
      <c r="AP137" s="640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>
      <c r="B138" s="913">
        <f t="shared" si="39"/>
        <v>36</v>
      </c>
      <c r="C138" s="905"/>
      <c r="D138" s="905"/>
      <c r="E138" s="815">
        <f t="shared" si="36"/>
        <v>99247.426696947005</v>
      </c>
      <c r="F138" s="905"/>
      <c r="G138" s="815">
        <f t="shared" si="40"/>
        <v>0</v>
      </c>
      <c r="H138" s="905"/>
      <c r="I138" s="815">
        <f t="shared" si="41"/>
        <v>0</v>
      </c>
      <c r="J138" s="905"/>
      <c r="K138" s="884">
        <f t="shared" si="24"/>
        <v>99247.426696947005</v>
      </c>
      <c r="L138" s="890">
        <f t="shared" si="42"/>
        <v>-299851.28173275577</v>
      </c>
      <c r="M138" s="905"/>
      <c r="N138" s="815">
        <f>T137*-1</f>
        <v>1407.6531599229263</v>
      </c>
      <c r="O138" s="884">
        <f t="shared" si="28"/>
        <v>-298443.62857283285</v>
      </c>
      <c r="P138" s="891">
        <f>K138+O138</f>
        <v>-199196.20187588583</v>
      </c>
      <c r="Q138" s="892">
        <f t="shared" si="31"/>
        <v>199196.20187588577</v>
      </c>
      <c r="R138" s="893">
        <f>P138+Q138</f>
        <v>0</v>
      </c>
      <c r="S138" s="894">
        <f>IF(B138&lt;=$J$7+1,$R138*-1,0)</f>
        <v>0</v>
      </c>
      <c r="T138" s="894">
        <f t="shared" si="27"/>
        <v>0</v>
      </c>
      <c r="AP138" s="640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>
      <c r="B139" s="913">
        <f t="shared" si="39"/>
        <v>37</v>
      </c>
      <c r="C139" s="905"/>
      <c r="D139" s="905"/>
      <c r="E139" s="815">
        <f t="shared" si="36"/>
        <v>99247.426696947005</v>
      </c>
      <c r="F139" s="905"/>
      <c r="G139" s="815">
        <f t="shared" si="40"/>
        <v>0</v>
      </c>
      <c r="H139" s="905"/>
      <c r="I139" s="815">
        <f t="shared" si="41"/>
        <v>0</v>
      </c>
      <c r="J139" s="905"/>
      <c r="K139" s="884">
        <f t="shared" si="24"/>
        <v>99247.426696947005</v>
      </c>
      <c r="L139" s="890">
        <f t="shared" si="42"/>
        <v>0</v>
      </c>
      <c r="M139" s="905"/>
      <c r="N139" s="815">
        <f t="shared" si="33"/>
        <v>0</v>
      </c>
      <c r="O139" s="884">
        <f t="shared" si="28"/>
        <v>0</v>
      </c>
      <c r="P139" s="891">
        <f>K139+O139</f>
        <v>99247.426696947005</v>
      </c>
      <c r="Q139" s="892">
        <f t="shared" si="31"/>
        <v>0</v>
      </c>
      <c r="R139" s="893">
        <f t="shared" si="38"/>
        <v>99247.426696947005</v>
      </c>
      <c r="S139" s="894">
        <f t="shared" si="37"/>
        <v>-99247.426696947005</v>
      </c>
      <c r="T139" s="894">
        <f t="shared" si="27"/>
        <v>-701.34848199175883</v>
      </c>
      <c r="AP139" s="640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>
      <c r="B140" s="913">
        <f t="shared" si="39"/>
        <v>38</v>
      </c>
      <c r="C140" s="905"/>
      <c r="D140" s="905"/>
      <c r="E140" s="815">
        <f t="shared" si="36"/>
        <v>99247.426696947005</v>
      </c>
      <c r="F140" s="905"/>
      <c r="G140" s="815">
        <f t="shared" si="40"/>
        <v>0</v>
      </c>
      <c r="H140" s="905"/>
      <c r="I140" s="815">
        <f t="shared" si="41"/>
        <v>0</v>
      </c>
      <c r="J140" s="905"/>
      <c r="K140" s="884">
        <f t="shared" si="24"/>
        <v>99247.426696947005</v>
      </c>
      <c r="L140" s="890">
        <f t="shared" si="42"/>
        <v>0</v>
      </c>
      <c r="M140" s="905"/>
      <c r="N140" s="815">
        <f t="shared" si="33"/>
        <v>701.34848199175883</v>
      </c>
      <c r="O140" s="884">
        <f t="shared" si="28"/>
        <v>701.34848199175883</v>
      </c>
      <c r="P140" s="891">
        <f t="shared" si="30"/>
        <v>99948.775178938769</v>
      </c>
      <c r="Q140" s="892">
        <f>R139</f>
        <v>99247.426696947005</v>
      </c>
      <c r="R140" s="893">
        <f t="shared" si="38"/>
        <v>199196.20187588577</v>
      </c>
      <c r="S140" s="894">
        <f t="shared" si="37"/>
        <v>-199196.20187588577</v>
      </c>
      <c r="T140" s="894">
        <f t="shared" ref="T140:T167" si="43">$S140*$G$14*1/12</f>
        <v>-1407.6531599229263</v>
      </c>
      <c r="AP140" s="640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>
      <c r="B141" s="913">
        <f t="shared" si="39"/>
        <v>39</v>
      </c>
      <c r="C141" s="905"/>
      <c r="D141" s="905"/>
      <c r="E141" s="815">
        <f t="shared" si="36"/>
        <v>99247.426696947005</v>
      </c>
      <c r="F141" s="905"/>
      <c r="G141" s="815">
        <f t="shared" si="40"/>
        <v>0</v>
      </c>
      <c r="H141" s="905"/>
      <c r="I141" s="815">
        <f t="shared" si="41"/>
        <v>0</v>
      </c>
      <c r="J141" s="905"/>
      <c r="K141" s="884">
        <f t="shared" si="24"/>
        <v>99247.426696947005</v>
      </c>
      <c r="L141" s="890">
        <f t="shared" si="42"/>
        <v>-299851.28173275577</v>
      </c>
      <c r="M141" s="905"/>
      <c r="N141" s="815">
        <f t="shared" si="33"/>
        <v>1407.6531599229263</v>
      </c>
      <c r="O141" s="884">
        <f t="shared" si="28"/>
        <v>-298443.62857283285</v>
      </c>
      <c r="P141" s="891">
        <f t="shared" si="30"/>
        <v>-199196.20187588583</v>
      </c>
      <c r="Q141" s="892">
        <f t="shared" si="31"/>
        <v>199196.20187588577</v>
      </c>
      <c r="R141" s="893">
        <f t="shared" si="38"/>
        <v>0</v>
      </c>
      <c r="S141" s="894">
        <f t="shared" si="37"/>
        <v>0</v>
      </c>
      <c r="T141" s="894">
        <f t="shared" si="43"/>
        <v>0</v>
      </c>
      <c r="AP141" s="640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>
      <c r="B142" s="913">
        <f t="shared" si="39"/>
        <v>40</v>
      </c>
      <c r="C142" s="905"/>
      <c r="D142" s="905"/>
      <c r="E142" s="815">
        <f t="shared" si="36"/>
        <v>99247.426696947005</v>
      </c>
      <c r="F142" s="905"/>
      <c r="G142" s="815">
        <f t="shared" si="40"/>
        <v>0</v>
      </c>
      <c r="H142" s="905"/>
      <c r="I142" s="815">
        <f t="shared" si="41"/>
        <v>0</v>
      </c>
      <c r="J142" s="905"/>
      <c r="K142" s="884">
        <f t="shared" si="24"/>
        <v>99247.426696947005</v>
      </c>
      <c r="L142" s="890">
        <f t="shared" si="42"/>
        <v>0</v>
      </c>
      <c r="M142" s="905"/>
      <c r="N142" s="815">
        <f t="shared" si="33"/>
        <v>0</v>
      </c>
      <c r="O142" s="884">
        <f t="shared" si="28"/>
        <v>0</v>
      </c>
      <c r="P142" s="891">
        <f t="shared" si="30"/>
        <v>99247.426696947005</v>
      </c>
      <c r="Q142" s="892">
        <f t="shared" si="31"/>
        <v>0</v>
      </c>
      <c r="R142" s="893">
        <f t="shared" si="38"/>
        <v>99247.426696947005</v>
      </c>
      <c r="S142" s="894">
        <f t="shared" si="37"/>
        <v>-99247.426696947005</v>
      </c>
      <c r="T142" s="894">
        <f t="shared" si="43"/>
        <v>-701.34848199175883</v>
      </c>
      <c r="AP142" s="640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>
      <c r="B143" s="913">
        <f t="shared" si="39"/>
        <v>41</v>
      </c>
      <c r="C143" s="905"/>
      <c r="D143" s="905"/>
      <c r="E143" s="815">
        <f t="shared" si="36"/>
        <v>99247.426696947005</v>
      </c>
      <c r="F143" s="905"/>
      <c r="G143" s="815">
        <f t="shared" si="40"/>
        <v>0</v>
      </c>
      <c r="H143" s="905"/>
      <c r="I143" s="815">
        <f t="shared" si="41"/>
        <v>0</v>
      </c>
      <c r="J143" s="905"/>
      <c r="K143" s="884">
        <f t="shared" si="24"/>
        <v>99247.426696947005</v>
      </c>
      <c r="L143" s="890">
        <f t="shared" si="42"/>
        <v>0</v>
      </c>
      <c r="M143" s="905"/>
      <c r="N143" s="815">
        <f t="shared" si="33"/>
        <v>701.34848199175883</v>
      </c>
      <c r="O143" s="884">
        <f t="shared" si="28"/>
        <v>701.34848199175883</v>
      </c>
      <c r="P143" s="891">
        <f t="shared" si="30"/>
        <v>99948.775178938769</v>
      </c>
      <c r="Q143" s="892">
        <f t="shared" si="31"/>
        <v>99247.426696947005</v>
      </c>
      <c r="R143" s="893">
        <f>P143+Q143</f>
        <v>199196.20187588577</v>
      </c>
      <c r="S143" s="894">
        <f t="shared" si="37"/>
        <v>-199196.20187588577</v>
      </c>
      <c r="T143" s="894">
        <f t="shared" si="43"/>
        <v>-1407.6531599229263</v>
      </c>
      <c r="AP143" s="640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>
      <c r="B144" s="913">
        <f t="shared" si="39"/>
        <v>42</v>
      </c>
      <c r="C144" s="905"/>
      <c r="D144" s="905"/>
      <c r="E144" s="815">
        <f t="shared" si="36"/>
        <v>99247.426696947005</v>
      </c>
      <c r="F144" s="905"/>
      <c r="G144" s="815">
        <f t="shared" si="40"/>
        <v>0</v>
      </c>
      <c r="H144" s="905"/>
      <c r="I144" s="815">
        <f t="shared" si="41"/>
        <v>0</v>
      </c>
      <c r="J144" s="905"/>
      <c r="K144" s="884">
        <f t="shared" si="24"/>
        <v>99247.426696947005</v>
      </c>
      <c r="L144" s="890">
        <f t="shared" si="42"/>
        <v>-299851.28173275577</v>
      </c>
      <c r="M144" s="905"/>
      <c r="N144" s="815">
        <f t="shared" si="33"/>
        <v>1407.6531599229263</v>
      </c>
      <c r="O144" s="884">
        <f t="shared" si="28"/>
        <v>-298443.62857283285</v>
      </c>
      <c r="P144" s="891">
        <f t="shared" si="30"/>
        <v>-199196.20187588583</v>
      </c>
      <c r="Q144" s="892">
        <f>R143</f>
        <v>199196.20187588577</v>
      </c>
      <c r="R144" s="893">
        <f t="shared" si="38"/>
        <v>0</v>
      </c>
      <c r="S144" s="894">
        <f t="shared" si="37"/>
        <v>0</v>
      </c>
      <c r="T144" s="894">
        <f t="shared" si="43"/>
        <v>0</v>
      </c>
      <c r="AP144" s="640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>
      <c r="B145" s="913">
        <f t="shared" si="39"/>
        <v>43</v>
      </c>
      <c r="C145" s="905"/>
      <c r="D145" s="905"/>
      <c r="E145" s="815">
        <f t="shared" si="36"/>
        <v>99247.426696947005</v>
      </c>
      <c r="F145" s="905"/>
      <c r="G145" s="815">
        <f t="shared" si="40"/>
        <v>0</v>
      </c>
      <c r="H145" s="905"/>
      <c r="I145" s="815">
        <f t="shared" si="41"/>
        <v>0</v>
      </c>
      <c r="J145" s="905"/>
      <c r="K145" s="884">
        <f t="shared" si="24"/>
        <v>99247.426696947005</v>
      </c>
      <c r="L145" s="890">
        <f t="shared" si="42"/>
        <v>0</v>
      </c>
      <c r="M145" s="905"/>
      <c r="N145" s="815">
        <f t="shared" si="33"/>
        <v>0</v>
      </c>
      <c r="O145" s="884">
        <f t="shared" si="28"/>
        <v>0</v>
      </c>
      <c r="P145" s="891">
        <f t="shared" si="30"/>
        <v>99247.426696947005</v>
      </c>
      <c r="Q145" s="892">
        <f t="shared" si="31"/>
        <v>0</v>
      </c>
      <c r="R145" s="893">
        <f t="shared" si="38"/>
        <v>99247.426696947005</v>
      </c>
      <c r="S145" s="894">
        <f t="shared" si="37"/>
        <v>-99247.426696947005</v>
      </c>
      <c r="T145" s="894">
        <f t="shared" si="43"/>
        <v>-701.34848199175883</v>
      </c>
      <c r="AP145" s="640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>
      <c r="B146" s="913">
        <f t="shared" si="39"/>
        <v>44</v>
      </c>
      <c r="C146" s="905"/>
      <c r="D146" s="905"/>
      <c r="E146" s="815">
        <f t="shared" si="36"/>
        <v>99247.426696947005</v>
      </c>
      <c r="F146" s="905"/>
      <c r="G146" s="815">
        <f t="shared" si="40"/>
        <v>0</v>
      </c>
      <c r="H146" s="905"/>
      <c r="I146" s="815">
        <f t="shared" si="41"/>
        <v>0</v>
      </c>
      <c r="J146" s="905"/>
      <c r="K146" s="884">
        <f t="shared" si="24"/>
        <v>99247.426696947005</v>
      </c>
      <c r="L146" s="890">
        <f t="shared" si="42"/>
        <v>0</v>
      </c>
      <c r="M146" s="905"/>
      <c r="N146" s="815">
        <f t="shared" si="33"/>
        <v>701.34848199175883</v>
      </c>
      <c r="O146" s="884">
        <f t="shared" si="28"/>
        <v>701.34848199175883</v>
      </c>
      <c r="P146" s="891">
        <f t="shared" si="30"/>
        <v>99948.775178938769</v>
      </c>
      <c r="Q146" s="892">
        <f t="shared" si="31"/>
        <v>99247.426696947005</v>
      </c>
      <c r="R146" s="893">
        <f t="shared" si="38"/>
        <v>199196.20187588577</v>
      </c>
      <c r="S146" s="894">
        <f t="shared" si="37"/>
        <v>-199196.20187588577</v>
      </c>
      <c r="T146" s="894">
        <f t="shared" si="43"/>
        <v>-1407.6531599229263</v>
      </c>
      <c r="AP146" s="640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>
      <c r="B147" s="913">
        <f t="shared" si="39"/>
        <v>45</v>
      </c>
      <c r="C147" s="905"/>
      <c r="D147" s="905"/>
      <c r="E147" s="815">
        <f t="shared" si="36"/>
        <v>99247.426696947005</v>
      </c>
      <c r="F147" s="905"/>
      <c r="G147" s="815">
        <f t="shared" si="40"/>
        <v>0</v>
      </c>
      <c r="H147" s="905"/>
      <c r="I147" s="815">
        <f t="shared" si="41"/>
        <v>0</v>
      </c>
      <c r="J147" s="905"/>
      <c r="K147" s="884">
        <f t="shared" si="24"/>
        <v>99247.426696947005</v>
      </c>
      <c r="L147" s="890">
        <f t="shared" si="42"/>
        <v>-299851.28173275577</v>
      </c>
      <c r="M147" s="905"/>
      <c r="N147" s="815">
        <f t="shared" si="33"/>
        <v>1407.6531599229263</v>
      </c>
      <c r="O147" s="884">
        <f t="shared" si="28"/>
        <v>-298443.62857283285</v>
      </c>
      <c r="P147" s="891">
        <f t="shared" si="30"/>
        <v>-199196.20187588583</v>
      </c>
      <c r="Q147" s="892">
        <f t="shared" si="31"/>
        <v>199196.20187588577</v>
      </c>
      <c r="R147" s="893">
        <f t="shared" si="38"/>
        <v>0</v>
      </c>
      <c r="S147" s="894">
        <f t="shared" si="37"/>
        <v>0</v>
      </c>
      <c r="T147" s="894">
        <f t="shared" si="43"/>
        <v>0</v>
      </c>
      <c r="AP147" s="640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>
      <c r="B148" s="913">
        <f t="shared" si="39"/>
        <v>46</v>
      </c>
      <c r="C148" s="905"/>
      <c r="D148" s="905"/>
      <c r="E148" s="815">
        <f t="shared" si="36"/>
        <v>99247.426696947005</v>
      </c>
      <c r="F148" s="905"/>
      <c r="G148" s="815">
        <f t="shared" si="40"/>
        <v>0</v>
      </c>
      <c r="H148" s="905"/>
      <c r="I148" s="815">
        <f t="shared" si="41"/>
        <v>0</v>
      </c>
      <c r="J148" s="905"/>
      <c r="K148" s="884">
        <f t="shared" si="24"/>
        <v>99247.426696947005</v>
      </c>
      <c r="L148" s="890">
        <f t="shared" si="42"/>
        <v>0</v>
      </c>
      <c r="M148" s="905"/>
      <c r="N148" s="815">
        <f t="shared" si="33"/>
        <v>0</v>
      </c>
      <c r="O148" s="884">
        <f t="shared" si="28"/>
        <v>0</v>
      </c>
      <c r="P148" s="891">
        <f t="shared" si="30"/>
        <v>99247.426696947005</v>
      </c>
      <c r="Q148" s="892">
        <f t="shared" si="31"/>
        <v>0</v>
      </c>
      <c r="R148" s="893">
        <f t="shared" si="38"/>
        <v>99247.426696947005</v>
      </c>
      <c r="S148" s="894">
        <f t="shared" si="37"/>
        <v>-99247.426696947005</v>
      </c>
      <c r="T148" s="894">
        <f t="shared" si="43"/>
        <v>-701.34848199175883</v>
      </c>
      <c r="AP148" s="640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>
      <c r="B149" s="913">
        <f t="shared" si="39"/>
        <v>47</v>
      </c>
      <c r="C149" s="905"/>
      <c r="D149" s="905"/>
      <c r="E149" s="815">
        <f t="shared" si="36"/>
        <v>99247.426696947005</v>
      </c>
      <c r="F149" s="905"/>
      <c r="G149" s="815">
        <f t="shared" si="40"/>
        <v>0</v>
      </c>
      <c r="H149" s="905"/>
      <c r="I149" s="815">
        <f t="shared" si="41"/>
        <v>0</v>
      </c>
      <c r="J149" s="905"/>
      <c r="K149" s="884">
        <f t="shared" si="24"/>
        <v>99247.426696947005</v>
      </c>
      <c r="L149" s="890">
        <f t="shared" si="42"/>
        <v>0</v>
      </c>
      <c r="M149" s="905"/>
      <c r="N149" s="815">
        <f t="shared" si="33"/>
        <v>701.34848199175883</v>
      </c>
      <c r="O149" s="884">
        <f t="shared" si="28"/>
        <v>701.34848199175883</v>
      </c>
      <c r="P149" s="891">
        <f t="shared" si="30"/>
        <v>99948.775178938769</v>
      </c>
      <c r="Q149" s="892">
        <f>R148</f>
        <v>99247.426696947005</v>
      </c>
      <c r="R149" s="893">
        <f t="shared" si="38"/>
        <v>199196.20187588577</v>
      </c>
      <c r="S149" s="894">
        <f t="shared" si="37"/>
        <v>-199196.20187588577</v>
      </c>
      <c r="T149" s="894">
        <f t="shared" si="43"/>
        <v>-1407.6531599229263</v>
      </c>
      <c r="AP149" s="640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>
      <c r="B150" s="913">
        <f t="shared" si="39"/>
        <v>48</v>
      </c>
      <c r="C150" s="905"/>
      <c r="D150" s="905"/>
      <c r="E150" s="815">
        <f t="shared" si="36"/>
        <v>99247.426696947005</v>
      </c>
      <c r="F150" s="905"/>
      <c r="G150" s="815">
        <f t="shared" si="40"/>
        <v>0</v>
      </c>
      <c r="H150" s="905"/>
      <c r="I150" s="815">
        <f t="shared" si="41"/>
        <v>0</v>
      </c>
      <c r="J150" s="905"/>
      <c r="K150" s="884">
        <f t="shared" si="24"/>
        <v>99247.426696947005</v>
      </c>
      <c r="L150" s="890">
        <f t="shared" si="42"/>
        <v>-299851.28173275577</v>
      </c>
      <c r="M150" s="905"/>
      <c r="N150" s="815">
        <f t="shared" si="33"/>
        <v>1407.6531599229263</v>
      </c>
      <c r="O150" s="884">
        <f t="shared" si="28"/>
        <v>-298443.62857283285</v>
      </c>
      <c r="P150" s="891">
        <f t="shared" si="30"/>
        <v>-199196.20187588583</v>
      </c>
      <c r="Q150" s="892">
        <f t="shared" si="31"/>
        <v>199196.20187588577</v>
      </c>
      <c r="R150" s="893">
        <f t="shared" si="38"/>
        <v>0</v>
      </c>
      <c r="S150" s="894">
        <f t="shared" si="37"/>
        <v>0</v>
      </c>
      <c r="T150" s="894">
        <f t="shared" si="43"/>
        <v>0</v>
      </c>
      <c r="AP150" s="640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>
      <c r="B151" s="913">
        <f t="shared" si="39"/>
        <v>49</v>
      </c>
      <c r="C151" s="905"/>
      <c r="D151" s="905"/>
      <c r="E151" s="815">
        <f t="shared" si="36"/>
        <v>0</v>
      </c>
      <c r="F151" s="905"/>
      <c r="G151" s="815">
        <f t="shared" si="40"/>
        <v>0</v>
      </c>
      <c r="H151" s="905"/>
      <c r="I151" s="815">
        <f t="shared" si="41"/>
        <v>0</v>
      </c>
      <c r="J151" s="905"/>
      <c r="K151" s="884">
        <f t="shared" si="24"/>
        <v>0</v>
      </c>
      <c r="L151" s="890">
        <f t="shared" si="42"/>
        <v>0</v>
      </c>
      <c r="M151" s="905"/>
      <c r="N151" s="815">
        <f t="shared" si="33"/>
        <v>0</v>
      </c>
      <c r="O151" s="884">
        <f t="shared" si="28"/>
        <v>0</v>
      </c>
      <c r="P151" s="891">
        <f>K151+O151</f>
        <v>0</v>
      </c>
      <c r="Q151" s="892">
        <f t="shared" si="31"/>
        <v>0</v>
      </c>
      <c r="R151" s="893">
        <f t="shared" si="38"/>
        <v>0</v>
      </c>
      <c r="S151" s="894">
        <f t="shared" si="37"/>
        <v>0</v>
      </c>
      <c r="T151" s="894">
        <f t="shared" si="43"/>
        <v>0</v>
      </c>
      <c r="AP151" s="640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>
      <c r="B152" s="913">
        <f t="shared" si="39"/>
        <v>50</v>
      </c>
      <c r="C152" s="905"/>
      <c r="D152" s="905"/>
      <c r="E152" s="815">
        <f t="shared" si="36"/>
        <v>0</v>
      </c>
      <c r="F152" s="905"/>
      <c r="G152" s="815">
        <f t="shared" si="40"/>
        <v>0</v>
      </c>
      <c r="H152" s="905"/>
      <c r="I152" s="815">
        <f t="shared" si="41"/>
        <v>0</v>
      </c>
      <c r="J152" s="905"/>
      <c r="K152" s="884">
        <f t="shared" si="24"/>
        <v>0</v>
      </c>
      <c r="L152" s="890">
        <f t="shared" si="42"/>
        <v>0</v>
      </c>
      <c r="M152" s="905"/>
      <c r="N152" s="815">
        <f>T151*-1</f>
        <v>0</v>
      </c>
      <c r="O152" s="884">
        <f t="shared" si="28"/>
        <v>0</v>
      </c>
      <c r="P152" s="891">
        <f>K152+O152</f>
        <v>0</v>
      </c>
      <c r="Q152" s="892">
        <f>R151</f>
        <v>0</v>
      </c>
      <c r="R152" s="893">
        <f t="shared" si="38"/>
        <v>0</v>
      </c>
      <c r="S152" s="894">
        <f t="shared" si="37"/>
        <v>0</v>
      </c>
      <c r="T152" s="894">
        <f t="shared" si="43"/>
        <v>0</v>
      </c>
      <c r="AP152" s="640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>
      <c r="B153" s="913">
        <f t="shared" si="39"/>
        <v>51</v>
      </c>
      <c r="C153" s="905"/>
      <c r="D153" s="905"/>
      <c r="E153" s="815">
        <f t="shared" si="36"/>
        <v>0</v>
      </c>
      <c r="F153" s="905"/>
      <c r="G153" s="815">
        <f t="shared" si="40"/>
        <v>0</v>
      </c>
      <c r="H153" s="905"/>
      <c r="I153" s="815">
        <f t="shared" si="41"/>
        <v>0</v>
      </c>
      <c r="J153" s="905"/>
      <c r="K153" s="884">
        <f t="shared" si="24"/>
        <v>0</v>
      </c>
      <c r="L153" s="890">
        <f t="shared" si="42"/>
        <v>0</v>
      </c>
      <c r="M153" s="905"/>
      <c r="N153" s="815">
        <f t="shared" si="33"/>
        <v>0</v>
      </c>
      <c r="O153" s="884">
        <f t="shared" si="28"/>
        <v>0</v>
      </c>
      <c r="P153" s="891">
        <f t="shared" si="30"/>
        <v>0</v>
      </c>
      <c r="Q153" s="892">
        <f t="shared" si="31"/>
        <v>0</v>
      </c>
      <c r="R153" s="893">
        <f t="shared" si="38"/>
        <v>0</v>
      </c>
      <c r="S153" s="894">
        <f t="shared" si="37"/>
        <v>0</v>
      </c>
      <c r="T153" s="894">
        <f t="shared" si="43"/>
        <v>0</v>
      </c>
      <c r="AP153" s="640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>
      <c r="B154" s="913">
        <f t="shared" si="39"/>
        <v>52</v>
      </c>
      <c r="C154" s="905"/>
      <c r="D154" s="905"/>
      <c r="E154" s="815">
        <f t="shared" si="36"/>
        <v>0</v>
      </c>
      <c r="F154" s="905"/>
      <c r="G154" s="815">
        <f t="shared" si="40"/>
        <v>0</v>
      </c>
      <c r="H154" s="905"/>
      <c r="I154" s="815">
        <f t="shared" si="41"/>
        <v>0</v>
      </c>
      <c r="J154" s="905"/>
      <c r="K154" s="884">
        <f t="shared" si="24"/>
        <v>0</v>
      </c>
      <c r="L154" s="890">
        <f t="shared" si="42"/>
        <v>0</v>
      </c>
      <c r="M154" s="905"/>
      <c r="N154" s="815">
        <f t="shared" si="33"/>
        <v>0</v>
      </c>
      <c r="O154" s="884">
        <f t="shared" si="28"/>
        <v>0</v>
      </c>
      <c r="P154" s="891">
        <f t="shared" si="30"/>
        <v>0</v>
      </c>
      <c r="Q154" s="892">
        <f t="shared" si="31"/>
        <v>0</v>
      </c>
      <c r="R154" s="893">
        <f t="shared" si="38"/>
        <v>0</v>
      </c>
      <c r="S154" s="894">
        <f t="shared" si="37"/>
        <v>0</v>
      </c>
      <c r="T154" s="894">
        <f t="shared" si="43"/>
        <v>0</v>
      </c>
      <c r="AP154" s="640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>
      <c r="B155" s="913">
        <f t="shared" si="39"/>
        <v>53</v>
      </c>
      <c r="C155" s="905"/>
      <c r="D155" s="905"/>
      <c r="E155" s="815">
        <f t="shared" si="36"/>
        <v>0</v>
      </c>
      <c r="F155" s="905"/>
      <c r="G155" s="815">
        <f t="shared" si="40"/>
        <v>0</v>
      </c>
      <c r="H155" s="905"/>
      <c r="I155" s="815">
        <f t="shared" si="41"/>
        <v>0</v>
      </c>
      <c r="J155" s="905"/>
      <c r="K155" s="884">
        <f t="shared" si="24"/>
        <v>0</v>
      </c>
      <c r="L155" s="890">
        <f t="shared" si="42"/>
        <v>0</v>
      </c>
      <c r="M155" s="905"/>
      <c r="N155" s="815">
        <f t="shared" si="33"/>
        <v>0</v>
      </c>
      <c r="O155" s="884">
        <f t="shared" si="28"/>
        <v>0</v>
      </c>
      <c r="P155" s="891">
        <f t="shared" si="30"/>
        <v>0</v>
      </c>
      <c r="Q155" s="892">
        <f t="shared" si="31"/>
        <v>0</v>
      </c>
      <c r="R155" s="893">
        <f t="shared" si="38"/>
        <v>0</v>
      </c>
      <c r="S155" s="894">
        <f t="shared" si="37"/>
        <v>0</v>
      </c>
      <c r="T155" s="894">
        <f t="shared" si="43"/>
        <v>0</v>
      </c>
      <c r="AP155" s="640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>
      <c r="B156" s="913">
        <f t="shared" si="39"/>
        <v>54</v>
      </c>
      <c r="C156" s="905"/>
      <c r="D156" s="905"/>
      <c r="E156" s="815">
        <f t="shared" si="36"/>
        <v>0</v>
      </c>
      <c r="F156" s="905"/>
      <c r="G156" s="815">
        <f t="shared" si="40"/>
        <v>0</v>
      </c>
      <c r="H156" s="905"/>
      <c r="I156" s="815">
        <f t="shared" si="41"/>
        <v>0</v>
      </c>
      <c r="J156" s="905"/>
      <c r="K156" s="884">
        <f t="shared" si="24"/>
        <v>0</v>
      </c>
      <c r="L156" s="890">
        <f t="shared" si="42"/>
        <v>0</v>
      </c>
      <c r="M156" s="905"/>
      <c r="N156" s="815">
        <f t="shared" si="33"/>
        <v>0</v>
      </c>
      <c r="O156" s="884">
        <f t="shared" si="28"/>
        <v>0</v>
      </c>
      <c r="P156" s="891">
        <f t="shared" si="30"/>
        <v>0</v>
      </c>
      <c r="Q156" s="892">
        <f t="shared" si="31"/>
        <v>0</v>
      </c>
      <c r="R156" s="893">
        <f t="shared" si="38"/>
        <v>0</v>
      </c>
      <c r="S156" s="894">
        <f t="shared" si="37"/>
        <v>0</v>
      </c>
      <c r="T156" s="894">
        <f t="shared" si="43"/>
        <v>0</v>
      </c>
      <c r="AP156" s="640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>
      <c r="B157" s="913">
        <f t="shared" si="39"/>
        <v>55</v>
      </c>
      <c r="C157" s="905"/>
      <c r="D157" s="905"/>
      <c r="E157" s="815">
        <f t="shared" si="36"/>
        <v>0</v>
      </c>
      <c r="F157" s="905"/>
      <c r="G157" s="815">
        <f t="shared" si="40"/>
        <v>0</v>
      </c>
      <c r="H157" s="905"/>
      <c r="I157" s="815">
        <f t="shared" si="41"/>
        <v>0</v>
      </c>
      <c r="J157" s="905"/>
      <c r="K157" s="884">
        <f t="shared" si="24"/>
        <v>0</v>
      </c>
      <c r="L157" s="890">
        <f t="shared" si="42"/>
        <v>0</v>
      </c>
      <c r="M157" s="905"/>
      <c r="N157" s="815">
        <f t="shared" si="33"/>
        <v>0</v>
      </c>
      <c r="O157" s="884">
        <f t="shared" si="28"/>
        <v>0</v>
      </c>
      <c r="P157" s="891">
        <f t="shared" si="30"/>
        <v>0</v>
      </c>
      <c r="Q157" s="892">
        <f t="shared" si="31"/>
        <v>0</v>
      </c>
      <c r="R157" s="893">
        <f t="shared" si="38"/>
        <v>0</v>
      </c>
      <c r="S157" s="894">
        <f t="shared" si="37"/>
        <v>0</v>
      </c>
      <c r="T157" s="894">
        <f t="shared" si="43"/>
        <v>0</v>
      </c>
      <c r="AP157" s="640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>
      <c r="B158" s="913">
        <f t="shared" si="39"/>
        <v>56</v>
      </c>
      <c r="C158" s="905"/>
      <c r="D158" s="905"/>
      <c r="E158" s="815">
        <f t="shared" si="36"/>
        <v>0</v>
      </c>
      <c r="F158" s="905"/>
      <c r="G158" s="815">
        <f t="shared" si="40"/>
        <v>0</v>
      </c>
      <c r="H158" s="905"/>
      <c r="I158" s="815">
        <f t="shared" si="41"/>
        <v>0</v>
      </c>
      <c r="J158" s="905"/>
      <c r="K158" s="884">
        <f t="shared" si="24"/>
        <v>0</v>
      </c>
      <c r="L158" s="890">
        <f t="shared" si="42"/>
        <v>0</v>
      </c>
      <c r="M158" s="905"/>
      <c r="N158" s="815">
        <f t="shared" si="33"/>
        <v>0</v>
      </c>
      <c r="O158" s="884">
        <f t="shared" si="28"/>
        <v>0</v>
      </c>
      <c r="P158" s="891">
        <f t="shared" si="30"/>
        <v>0</v>
      </c>
      <c r="Q158" s="892">
        <f t="shared" si="31"/>
        <v>0</v>
      </c>
      <c r="R158" s="893">
        <f t="shared" si="38"/>
        <v>0</v>
      </c>
      <c r="S158" s="894">
        <f t="shared" si="37"/>
        <v>0</v>
      </c>
      <c r="T158" s="894">
        <f t="shared" si="43"/>
        <v>0</v>
      </c>
      <c r="AP158" s="640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>
      <c r="B159" s="913">
        <f t="shared" si="39"/>
        <v>57</v>
      </c>
      <c r="C159" s="905"/>
      <c r="D159" s="905"/>
      <c r="E159" s="815">
        <f t="shared" si="36"/>
        <v>0</v>
      </c>
      <c r="F159" s="905"/>
      <c r="G159" s="815">
        <f t="shared" si="40"/>
        <v>0</v>
      </c>
      <c r="H159" s="905"/>
      <c r="I159" s="815">
        <f t="shared" si="41"/>
        <v>0</v>
      </c>
      <c r="J159" s="905"/>
      <c r="K159" s="884">
        <f t="shared" si="24"/>
        <v>0</v>
      </c>
      <c r="L159" s="890">
        <f t="shared" si="42"/>
        <v>0</v>
      </c>
      <c r="M159" s="905"/>
      <c r="N159" s="815">
        <f t="shared" si="33"/>
        <v>0</v>
      </c>
      <c r="O159" s="884">
        <f t="shared" si="28"/>
        <v>0</v>
      </c>
      <c r="P159" s="891">
        <f t="shared" si="30"/>
        <v>0</v>
      </c>
      <c r="Q159" s="892">
        <f t="shared" si="31"/>
        <v>0</v>
      </c>
      <c r="R159" s="893">
        <f t="shared" si="38"/>
        <v>0</v>
      </c>
      <c r="S159" s="894">
        <f t="shared" si="37"/>
        <v>0</v>
      </c>
      <c r="T159" s="894">
        <f t="shared" si="43"/>
        <v>0</v>
      </c>
      <c r="AP159" s="640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>
      <c r="B160" s="913">
        <f t="shared" si="39"/>
        <v>58</v>
      </c>
      <c r="C160" s="905"/>
      <c r="D160" s="905"/>
      <c r="E160" s="815">
        <f t="shared" si="36"/>
        <v>0</v>
      </c>
      <c r="F160" s="905"/>
      <c r="G160" s="815">
        <f t="shared" si="40"/>
        <v>0</v>
      </c>
      <c r="H160" s="905"/>
      <c r="I160" s="815">
        <f t="shared" si="41"/>
        <v>0</v>
      </c>
      <c r="J160" s="905"/>
      <c r="K160" s="884">
        <f t="shared" si="24"/>
        <v>0</v>
      </c>
      <c r="L160" s="890">
        <f t="shared" si="42"/>
        <v>0</v>
      </c>
      <c r="M160" s="905"/>
      <c r="N160" s="815">
        <f t="shared" si="33"/>
        <v>0</v>
      </c>
      <c r="O160" s="884">
        <f t="shared" si="28"/>
        <v>0</v>
      </c>
      <c r="P160" s="891">
        <f t="shared" si="30"/>
        <v>0</v>
      </c>
      <c r="Q160" s="892">
        <f t="shared" si="31"/>
        <v>0</v>
      </c>
      <c r="R160" s="893">
        <f t="shared" si="38"/>
        <v>0</v>
      </c>
      <c r="S160" s="894">
        <f t="shared" si="37"/>
        <v>0</v>
      </c>
      <c r="T160" s="894">
        <f t="shared" si="43"/>
        <v>0</v>
      </c>
      <c r="AP160" s="640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>
      <c r="B161" s="913">
        <f t="shared" si="39"/>
        <v>59</v>
      </c>
      <c r="C161" s="905"/>
      <c r="D161" s="905"/>
      <c r="E161" s="815">
        <f t="shared" si="36"/>
        <v>0</v>
      </c>
      <c r="F161" s="905"/>
      <c r="G161" s="815">
        <f t="shared" si="40"/>
        <v>0</v>
      </c>
      <c r="H161" s="905"/>
      <c r="I161" s="815">
        <f t="shared" si="41"/>
        <v>0</v>
      </c>
      <c r="J161" s="905"/>
      <c r="K161" s="884">
        <f t="shared" si="24"/>
        <v>0</v>
      </c>
      <c r="L161" s="890">
        <f t="shared" si="42"/>
        <v>0</v>
      </c>
      <c r="M161" s="905"/>
      <c r="N161" s="815">
        <f t="shared" si="33"/>
        <v>0</v>
      </c>
      <c r="O161" s="884">
        <f t="shared" si="28"/>
        <v>0</v>
      </c>
      <c r="P161" s="891">
        <f t="shared" si="30"/>
        <v>0</v>
      </c>
      <c r="Q161" s="892">
        <f t="shared" si="31"/>
        <v>0</v>
      </c>
      <c r="R161" s="893">
        <f t="shared" si="38"/>
        <v>0</v>
      </c>
      <c r="S161" s="894">
        <f t="shared" si="37"/>
        <v>0</v>
      </c>
      <c r="T161" s="894">
        <f t="shared" si="43"/>
        <v>0</v>
      </c>
      <c r="AP161" s="640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>
      <c r="B162" s="913">
        <f t="shared" si="39"/>
        <v>60</v>
      </c>
      <c r="C162" s="905"/>
      <c r="D162" s="905"/>
      <c r="E162" s="815">
        <f t="shared" si="36"/>
        <v>0</v>
      </c>
      <c r="F162" s="905"/>
      <c r="G162" s="815">
        <f t="shared" si="40"/>
        <v>0</v>
      </c>
      <c r="H162" s="905"/>
      <c r="I162" s="815">
        <f t="shared" si="41"/>
        <v>0</v>
      </c>
      <c r="J162" s="905"/>
      <c r="K162" s="884">
        <f t="shared" si="24"/>
        <v>0</v>
      </c>
      <c r="L162" s="890">
        <f t="shared" si="42"/>
        <v>0</v>
      </c>
      <c r="M162" s="905"/>
      <c r="N162" s="815">
        <f t="shared" si="33"/>
        <v>0</v>
      </c>
      <c r="O162" s="884">
        <f t="shared" si="28"/>
        <v>0</v>
      </c>
      <c r="P162" s="891">
        <f t="shared" si="30"/>
        <v>0</v>
      </c>
      <c r="Q162" s="892">
        <f t="shared" si="31"/>
        <v>0</v>
      </c>
      <c r="R162" s="893">
        <f t="shared" si="38"/>
        <v>0</v>
      </c>
      <c r="S162" s="894">
        <f t="shared" si="37"/>
        <v>0</v>
      </c>
      <c r="T162" s="894">
        <f t="shared" si="43"/>
        <v>0</v>
      </c>
      <c r="AP162" s="640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>
      <c r="B163" s="913">
        <f t="shared" ref="B163:B167" si="44">B86</f>
        <v>61</v>
      </c>
      <c r="C163" s="905"/>
      <c r="D163" s="905"/>
      <c r="E163" s="815">
        <f t="shared" si="36"/>
        <v>0</v>
      </c>
      <c r="F163" s="905"/>
      <c r="G163" s="815">
        <v>0</v>
      </c>
      <c r="H163" s="905"/>
      <c r="I163" s="815">
        <f t="shared" ref="I163:I167" si="45">Y86</f>
        <v>0</v>
      </c>
      <c r="J163" s="905"/>
      <c r="K163" s="884">
        <f t="shared" ref="K163:K167" si="46">C163+E163+F163+G163+H163+I163+J163+D163</f>
        <v>0</v>
      </c>
      <c r="L163" s="890">
        <f t="shared" si="42"/>
        <v>0</v>
      </c>
      <c r="M163" s="905"/>
      <c r="N163" s="815">
        <f t="shared" si="33"/>
        <v>0</v>
      </c>
      <c r="O163" s="884">
        <f t="shared" si="28"/>
        <v>0</v>
      </c>
      <c r="P163" s="891">
        <f>K163+O163</f>
        <v>0</v>
      </c>
      <c r="Q163" s="892">
        <f t="shared" si="31"/>
        <v>0</v>
      </c>
      <c r="R163" s="893">
        <f t="shared" si="38"/>
        <v>0</v>
      </c>
      <c r="S163" s="894">
        <f t="shared" si="37"/>
        <v>0</v>
      </c>
      <c r="T163" s="894">
        <f t="shared" si="43"/>
        <v>0</v>
      </c>
      <c r="AP163" s="640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>
      <c r="B164" s="913">
        <f t="shared" si="44"/>
        <v>62</v>
      </c>
      <c r="C164" s="905"/>
      <c r="D164" s="905"/>
      <c r="E164" s="815">
        <f t="shared" si="36"/>
        <v>0</v>
      </c>
      <c r="F164" s="905"/>
      <c r="G164" s="815">
        <f>W87</f>
        <v>0</v>
      </c>
      <c r="H164" s="905"/>
      <c r="I164" s="815">
        <f t="shared" si="45"/>
        <v>0</v>
      </c>
      <c r="J164" s="905"/>
      <c r="K164" s="884">
        <f t="shared" si="46"/>
        <v>0</v>
      </c>
      <c r="L164" s="890">
        <f t="shared" si="42"/>
        <v>0</v>
      </c>
      <c r="M164" s="905"/>
      <c r="N164" s="815">
        <f t="shared" si="33"/>
        <v>0</v>
      </c>
      <c r="O164" s="884">
        <f>L164+M164+N164</f>
        <v>0</v>
      </c>
      <c r="P164" s="891">
        <f>K164+O164</f>
        <v>0</v>
      </c>
      <c r="Q164" s="892">
        <f t="shared" si="31"/>
        <v>0</v>
      </c>
      <c r="R164" s="893">
        <f t="shared" si="38"/>
        <v>0</v>
      </c>
      <c r="S164" s="894">
        <f t="shared" si="37"/>
        <v>0</v>
      </c>
      <c r="T164" s="894">
        <f t="shared" si="43"/>
        <v>0</v>
      </c>
      <c r="AP164" s="640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>
      <c r="B165" s="913">
        <f t="shared" si="44"/>
        <v>63</v>
      </c>
      <c r="C165" s="905"/>
      <c r="D165" s="905"/>
      <c r="E165" s="815">
        <f t="shared" si="36"/>
        <v>0</v>
      </c>
      <c r="F165" s="905"/>
      <c r="G165" s="815">
        <f>W88</f>
        <v>0</v>
      </c>
      <c r="H165" s="905"/>
      <c r="I165" s="815">
        <f t="shared" si="45"/>
        <v>0</v>
      </c>
      <c r="J165" s="905"/>
      <c r="K165" s="884">
        <f t="shared" si="46"/>
        <v>0</v>
      </c>
      <c r="L165" s="890">
        <f t="shared" si="42"/>
        <v>0</v>
      </c>
      <c r="M165" s="905"/>
      <c r="N165" s="815">
        <f t="shared" si="33"/>
        <v>0</v>
      </c>
      <c r="O165" s="884">
        <f>L165+M165+N165</f>
        <v>0</v>
      </c>
      <c r="P165" s="891">
        <f>K165+O165</f>
        <v>0</v>
      </c>
      <c r="Q165" s="892">
        <f>R164</f>
        <v>0</v>
      </c>
      <c r="R165" s="893">
        <f>P165+Q165</f>
        <v>0</v>
      </c>
      <c r="S165" s="894">
        <f t="shared" si="37"/>
        <v>0</v>
      </c>
      <c r="T165" s="894">
        <f t="shared" si="43"/>
        <v>0</v>
      </c>
      <c r="AP165" s="640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>
      <c r="B166" s="913">
        <f t="shared" si="44"/>
        <v>64</v>
      </c>
      <c r="C166" s="905"/>
      <c r="D166" s="905"/>
      <c r="E166" s="815">
        <f t="shared" si="36"/>
        <v>0</v>
      </c>
      <c r="F166" s="905"/>
      <c r="G166" s="815">
        <f>W89</f>
        <v>0</v>
      </c>
      <c r="H166" s="905"/>
      <c r="I166" s="815">
        <f t="shared" si="45"/>
        <v>0</v>
      </c>
      <c r="J166" s="905"/>
      <c r="K166" s="884">
        <f t="shared" si="46"/>
        <v>0</v>
      </c>
      <c r="L166" s="890">
        <f t="shared" si="42"/>
        <v>0</v>
      </c>
      <c r="M166" s="905"/>
      <c r="N166" s="815">
        <f>T165*-1</f>
        <v>0</v>
      </c>
      <c r="O166" s="884">
        <f>L166+M166+N166</f>
        <v>0</v>
      </c>
      <c r="P166" s="891">
        <f>K166+O166</f>
        <v>0</v>
      </c>
      <c r="Q166" s="892">
        <f>R165</f>
        <v>0</v>
      </c>
      <c r="R166" s="893">
        <f>P166+Q166</f>
        <v>0</v>
      </c>
      <c r="S166" s="894">
        <f t="shared" si="37"/>
        <v>0</v>
      </c>
      <c r="T166" s="894">
        <f t="shared" si="43"/>
        <v>0</v>
      </c>
      <c r="AP166" s="640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Bot="1">
      <c r="B167" s="914">
        <f t="shared" si="44"/>
        <v>65</v>
      </c>
      <c r="C167" s="906"/>
      <c r="D167" s="906"/>
      <c r="E167" s="896">
        <f t="shared" si="36"/>
        <v>0</v>
      </c>
      <c r="F167" s="915"/>
      <c r="G167" s="916">
        <f>W90</f>
        <v>0</v>
      </c>
      <c r="H167" s="915"/>
      <c r="I167" s="916">
        <f t="shared" si="45"/>
        <v>0</v>
      </c>
      <c r="J167" s="915"/>
      <c r="K167" s="917">
        <f t="shared" si="46"/>
        <v>0</v>
      </c>
      <c r="L167" s="895">
        <f t="shared" ref="L167" si="47">U90</f>
        <v>0</v>
      </c>
      <c r="M167" s="906"/>
      <c r="N167" s="896">
        <f>T166*-1</f>
        <v>0</v>
      </c>
      <c r="O167" s="897">
        <f>L167+M167+N167</f>
        <v>0</v>
      </c>
      <c r="P167" s="898">
        <f>K167+O167</f>
        <v>0</v>
      </c>
      <c r="Q167" s="899">
        <f>R166</f>
        <v>0</v>
      </c>
      <c r="R167" s="900">
        <f>P167+Q167</f>
        <v>0</v>
      </c>
      <c r="S167" s="894">
        <f t="shared" si="37"/>
        <v>0</v>
      </c>
      <c r="T167" s="894">
        <f t="shared" si="43"/>
        <v>0</v>
      </c>
      <c r="AP167" s="640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25"/>
      <c r="D168" s="907">
        <f t="shared" ref="D168:O168" si="48">SUM(D99:D167)</f>
        <v>0</v>
      </c>
      <c r="E168" s="926">
        <f t="shared" ref="E168" si="49">AL91</f>
        <v>-33744.026270636045</v>
      </c>
      <c r="F168" s="903"/>
      <c r="G168" s="902">
        <f t="shared" si="48"/>
        <v>0</v>
      </c>
      <c r="H168" s="903"/>
      <c r="I168" s="902">
        <f t="shared" si="48"/>
        <v>0</v>
      </c>
      <c r="J168" s="903"/>
      <c r="K168" s="910">
        <f t="shared" si="48"/>
        <v>4763876.4814534532</v>
      </c>
      <c r="L168" s="848">
        <f t="shared" si="48"/>
        <v>-4797620.5077240923</v>
      </c>
      <c r="M168" s="907"/>
      <c r="N168" s="849">
        <f t="shared" si="48"/>
        <v>33744.02627063496</v>
      </c>
      <c r="O168" s="850">
        <f t="shared" si="48"/>
        <v>-4763876.4814534569</v>
      </c>
      <c r="P168" s="848">
        <f>SUM(P99:P167)</f>
        <v>-9.3132257461547852E-10</v>
      </c>
      <c r="Q168" s="848">
        <f t="shared" ref="Q168:R168" si="50">SUM(Q99:Q167)</f>
        <v>4775098.0571653247</v>
      </c>
      <c r="R168" s="848">
        <f t="shared" si="50"/>
        <v>4775098.0571653247</v>
      </c>
      <c r="S168" s="851">
        <f>SUM(S99:S167)</f>
        <v>-4775098.0571653247</v>
      </c>
      <c r="T168" s="851">
        <f>SUM(T99:T167)</f>
        <v>-33744.02627063496</v>
      </c>
      <c r="AP168" s="640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640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640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B4:G4"/>
    <mergeCell ref="H4:AK4"/>
    <mergeCell ref="B5:D5"/>
    <mergeCell ref="E5:G5"/>
    <mergeCell ref="H5:J5"/>
    <mergeCell ref="K5:M5"/>
    <mergeCell ref="N5:P5"/>
    <mergeCell ref="Q5:U5"/>
    <mergeCell ref="V5:AA5"/>
    <mergeCell ref="AB5:AK5"/>
    <mergeCell ref="B7:D7"/>
    <mergeCell ref="H7:I7"/>
    <mergeCell ref="K7:L7"/>
    <mergeCell ref="N7:O7"/>
    <mergeCell ref="Q7:S7"/>
    <mergeCell ref="V7:X7"/>
    <mergeCell ref="B6:D6"/>
    <mergeCell ref="E6:G6"/>
    <mergeCell ref="H6:I6"/>
    <mergeCell ref="K6:L6"/>
    <mergeCell ref="N6:O6"/>
    <mergeCell ref="Q6:S6"/>
    <mergeCell ref="V8:X8"/>
    <mergeCell ref="AB8:AD8"/>
    <mergeCell ref="AG8:AJ8"/>
    <mergeCell ref="V9:X9"/>
    <mergeCell ref="AB9:AD9"/>
    <mergeCell ref="AG9:AJ9"/>
    <mergeCell ref="V6:X6"/>
    <mergeCell ref="Z6:AA6"/>
    <mergeCell ref="AB6:AD6"/>
    <mergeCell ref="AG6:AJ6"/>
    <mergeCell ref="AB7:AD7"/>
    <mergeCell ref="AG7:AJ7"/>
    <mergeCell ref="B9:D9"/>
    <mergeCell ref="E9:G9"/>
    <mergeCell ref="H9:I9"/>
    <mergeCell ref="K9:L9"/>
    <mergeCell ref="N9:O9"/>
    <mergeCell ref="Q9:S9"/>
    <mergeCell ref="B8:D8"/>
    <mergeCell ref="H8:I8"/>
    <mergeCell ref="K8:L8"/>
    <mergeCell ref="N8:O8"/>
    <mergeCell ref="Q8:S8"/>
    <mergeCell ref="AG10:AJ10"/>
    <mergeCell ref="B11:F11"/>
    <mergeCell ref="H11:I11"/>
    <mergeCell ref="K11:L11"/>
    <mergeCell ref="N11:O11"/>
    <mergeCell ref="Q11:S11"/>
    <mergeCell ref="V11:X11"/>
    <mergeCell ref="Z11:AA11"/>
    <mergeCell ref="AB11:AD11"/>
    <mergeCell ref="AG11:AJ11"/>
    <mergeCell ref="B10:F10"/>
    <mergeCell ref="H10:I10"/>
    <mergeCell ref="K10:L10"/>
    <mergeCell ref="N10:O10"/>
    <mergeCell ref="Q10:S10"/>
    <mergeCell ref="V10:W10"/>
    <mergeCell ref="AB10:AD10"/>
    <mergeCell ref="V12:X12"/>
    <mergeCell ref="Z12:AA12"/>
    <mergeCell ref="AB12:AD12"/>
    <mergeCell ref="AG12:AJ12"/>
    <mergeCell ref="B13:F13"/>
    <mergeCell ref="H13:I13"/>
    <mergeCell ref="K13:L13"/>
    <mergeCell ref="N13:O13"/>
    <mergeCell ref="Q13:S14"/>
    <mergeCell ref="V13:X13"/>
    <mergeCell ref="B12:F12"/>
    <mergeCell ref="H12:I12"/>
    <mergeCell ref="K12:L12"/>
    <mergeCell ref="N12:O12"/>
    <mergeCell ref="Q12:S12"/>
    <mergeCell ref="T12:U12"/>
    <mergeCell ref="Z13:AA13"/>
    <mergeCell ref="AB13:AD13"/>
    <mergeCell ref="AG13:AJ15"/>
    <mergeCell ref="B14:F14"/>
    <mergeCell ref="H14:I14"/>
    <mergeCell ref="K14:L14"/>
    <mergeCell ref="N14:O14"/>
    <mergeCell ref="V14:X14"/>
    <mergeCell ref="Z14:AA14"/>
    <mergeCell ref="AB14:AD14"/>
    <mergeCell ref="V15:X15"/>
    <mergeCell ref="Z15:AA15"/>
    <mergeCell ref="AB15:AD15"/>
    <mergeCell ref="E17:T17"/>
    <mergeCell ref="U17:U20"/>
    <mergeCell ref="V17:Z17"/>
    <mergeCell ref="AA17:AA20"/>
    <mergeCell ref="AB17:AB20"/>
    <mergeCell ref="AC17:AC20"/>
    <mergeCell ref="AD17:AD20"/>
    <mergeCell ref="B15:F15"/>
    <mergeCell ref="H15:I15"/>
    <mergeCell ref="K15:L15"/>
    <mergeCell ref="N15:O15"/>
    <mergeCell ref="Q15:S15"/>
    <mergeCell ref="T15:U15"/>
    <mergeCell ref="I19:I20"/>
    <mergeCell ref="J19:J20"/>
    <mergeCell ref="K19:K20"/>
    <mergeCell ref="R18:R20"/>
    <mergeCell ref="S18:S20"/>
    <mergeCell ref="L19:L20"/>
    <mergeCell ref="AT17:AT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H17:AH20"/>
    <mergeCell ref="AI17:AM17"/>
    <mergeCell ref="AN17:AQ17"/>
    <mergeCell ref="AR17:AR20"/>
    <mergeCell ref="AS17:AS20"/>
    <mergeCell ref="AJ18:AJ20"/>
    <mergeCell ref="AK18:AK20"/>
    <mergeCell ref="AL18:AL20"/>
    <mergeCell ref="AM18:AM20"/>
    <mergeCell ref="E19:E20"/>
    <mergeCell ref="F19:F20"/>
    <mergeCell ref="G19:G20"/>
    <mergeCell ref="H19:H20"/>
    <mergeCell ref="P19:P20"/>
    <mergeCell ref="Q19:Q20"/>
    <mergeCell ref="V19:V20"/>
    <mergeCell ref="W19:W20"/>
    <mergeCell ref="X19:X20"/>
    <mergeCell ref="AN18:AN20"/>
    <mergeCell ref="AO18:AO20"/>
    <mergeCell ref="AP18:AP20"/>
    <mergeCell ref="T18:T20"/>
    <mergeCell ref="V18:W18"/>
    <mergeCell ref="X18:Z18"/>
    <mergeCell ref="AI18:AI20"/>
    <mergeCell ref="Y19:Y20"/>
    <mergeCell ref="Z19:Z20"/>
    <mergeCell ref="B95:B97"/>
    <mergeCell ref="C95:K95"/>
    <mergeCell ref="L95:O95"/>
    <mergeCell ref="P95:R95"/>
    <mergeCell ref="S95:S97"/>
    <mergeCell ref="T95:T97"/>
    <mergeCell ref="C96:E96"/>
    <mergeCell ref="F96:G96"/>
    <mergeCell ref="H96:I96"/>
    <mergeCell ref="J96:J97"/>
    <mergeCell ref="Q96:Q97"/>
    <mergeCell ref="R96:R97"/>
    <mergeCell ref="D97:E97"/>
    <mergeCell ref="K96:K97"/>
    <mergeCell ref="L96:L97"/>
    <mergeCell ref="M96:M97"/>
    <mergeCell ref="N96:N97"/>
    <mergeCell ref="O96:O97"/>
    <mergeCell ref="P96:P97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B1F398-B434-4EEC-91B6-FE6F2B097A6D}"/>
</file>

<file path=customXml/itemProps2.xml><?xml version="1.0" encoding="utf-8"?>
<ds:datastoreItem xmlns:ds="http://schemas.openxmlformats.org/officeDocument/2006/customXml" ds:itemID="{C232858B-C671-436C-95CE-2DFFD4699583}"/>
</file>

<file path=customXml/itemProps3.xml><?xml version="1.0" encoding="utf-8"?>
<ds:datastoreItem xmlns:ds="http://schemas.openxmlformats.org/officeDocument/2006/customXml" ds:itemID="{A2CE631E-709B-46A1-BB27-61D6F8D0A9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Input　seet</vt:lpstr>
      <vt:lpstr>Calculation</vt:lpstr>
      <vt:lpstr>OPL - VAT</vt:lpstr>
      <vt:lpstr>Grab</vt:lpstr>
      <vt:lpstr>Non Cash Flow Basis</vt:lpstr>
      <vt:lpstr>①Tidak termasuk VAT TAX</vt:lpstr>
      <vt:lpstr>Calculator</vt:lpstr>
      <vt:lpstr>③Termasuk VAT</vt:lpstr>
      <vt:lpstr>⑤Termasuk TAX</vt:lpstr>
      <vt:lpstr>Special RV</vt:lpstr>
      <vt:lpstr>Tarif (Avanza)</vt:lpstr>
      <vt:lpstr>Tarif (Xpander)</vt:lpstr>
      <vt:lpstr>Sheet5</vt:lpstr>
      <vt:lpstr>'①Tidak termasuk VAT TAX'!Print_Area</vt:lpstr>
      <vt:lpstr>'③Termasuk VAT'!Print_Area</vt:lpstr>
      <vt:lpstr>'⑤Termasuk TAX'!Print_Area</vt:lpstr>
      <vt:lpstr>Grab!Print_Area</vt:lpstr>
      <vt:lpstr>'OPL - VAT'!Print_Area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Miyake</dc:creator>
  <cp:lastModifiedBy>Neny Wahyuningdiyah</cp:lastModifiedBy>
  <cp:lastPrinted>2019-03-14T03:11:33Z</cp:lastPrinted>
  <dcterms:created xsi:type="dcterms:W3CDTF">2017-02-08T11:14:38Z</dcterms:created>
  <dcterms:modified xsi:type="dcterms:W3CDTF">2019-04-10T03:01:18Z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