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5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5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5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6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6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6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 CAMbIY\PycharmProjects\uploader\"/>
    </mc:Choice>
  </mc:AlternateContent>
  <xr:revisionPtr revIDLastSave="0" documentId="13_ncr:1_{7E59CA06-9DC8-4EA5-B509-CDBEE358205E}" xr6:coauthVersionLast="47" xr6:coauthVersionMax="47" xr10:uidLastSave="{00000000-0000-0000-0000-000000000000}"/>
  <bookViews>
    <workbookView xWindow="-120" yWindow="-120" windowWidth="29040" windowHeight="15840" tabRatio="964" firstSheet="14" activeTab="36" xr2:uid="{00000000-000D-0000-FFFF-FFFF00000000}"/>
  </bookViews>
  <sheets>
    <sheet name="Население" sheetId="1" r:id="rId1"/>
    <sheet name="Площадь" sheetId="2" r:id="rId2"/>
    <sheet name="ВРП" sheetId="3" r:id="rId3"/>
    <sheet name="Общ объем прод+интенс затрат" sheetId="11" r:id="rId4"/>
    <sheet name="Оборот общ пит" sheetId="13" r:id="rId5"/>
    <sheet name="Объем  платных услуг насел" sheetId="15" r:id="rId6"/>
    <sheet name="15.1.1" sheetId="12" r:id="rId7"/>
    <sheet name="Налоговые поступл в бюджет" sheetId="23" r:id="rId8"/>
    <sheet name="Объем жил кредитов" sheetId="25" r:id="rId9"/>
    <sheet name="Вклады юр и физ лиц" sheetId="21" r:id="rId10"/>
    <sheet name="Ввод в действ жилых домов" sheetId="17" r:id="rId11"/>
    <sheet name="Дефлятор" sheetId="30" r:id="rId12"/>
    <sheet name="лист" sheetId="29" r:id="rId13"/>
    <sheet name="13.1" sheetId="24" r:id="rId14"/>
    <sheet name="13.1н" sheetId="32" r:id="rId15"/>
    <sheet name="13.2" sheetId="26" r:id="rId16"/>
    <sheet name="13.2н" sheetId="33" r:id="rId17"/>
    <sheet name="13.3" sheetId="22" r:id="rId18"/>
    <sheet name="13.3н" sheetId="34" r:id="rId19"/>
    <sheet name="14.1" sheetId="4" r:id="rId20"/>
    <sheet name="14.1н" sheetId="35" r:id="rId21"/>
    <sheet name="14.2" sheetId="5" r:id="rId22"/>
    <sheet name="14.2н" sheetId="36" r:id="rId23"/>
    <sheet name="14.3" sheetId="6" r:id="rId24"/>
    <sheet name="14.3н" sheetId="37" r:id="rId25"/>
    <sheet name="15.1" sheetId="31" r:id="rId26"/>
    <sheet name="15.1н" sheetId="38" r:id="rId27"/>
    <sheet name="15.2" sheetId="14" r:id="rId28"/>
    <sheet name="15.2н" sheetId="39" r:id="rId29"/>
    <sheet name="15.3" sheetId="16" r:id="rId30"/>
    <sheet name="15.3н" sheetId="40" r:id="rId31"/>
    <sheet name="16.1" sheetId="18" r:id="rId32"/>
    <sheet name="16.1н" sheetId="41" r:id="rId33"/>
    <sheet name="16.2" sheetId="19" r:id="rId34"/>
    <sheet name="16.2н" sheetId="42" r:id="rId35"/>
    <sheet name="16.3" sheetId="20" r:id="rId36"/>
    <sheet name="16.3н" sheetId="43" r:id="rId37"/>
    <sheet name="Показатели" sheetId="28" r:id="rId38"/>
    <sheet name="ЦФО" sheetId="44" r:id="rId39"/>
    <sheet name="СЗФО" sheetId="45" r:id="rId40"/>
    <sheet name="ЮФО" sheetId="46" r:id="rId41"/>
    <sheet name="СКФО" sheetId="48" r:id="rId42"/>
    <sheet name="ПФО" sheetId="49" r:id="rId43"/>
    <sheet name="УФО" sheetId="50" r:id="rId44"/>
    <sheet name="СФО" sheetId="51" r:id="rId45"/>
    <sheet name="ДФО" sheetId="52" r:id="rId46"/>
    <sheet name="ОИ1" sheetId="47" r:id="rId47"/>
    <sheet name="ОИ2" sheetId="53" r:id="rId48"/>
    <sheet name="ОИ3" sheetId="54" r:id="rId49"/>
    <sheet name="ОИ4" sheetId="55" r:id="rId50"/>
    <sheet name="Аналитика" sheetId="56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0" i="52" l="1"/>
  <c r="C111" i="52"/>
  <c r="I111" i="52"/>
  <c r="K111" i="52"/>
  <c r="C112" i="52"/>
  <c r="I112" i="52"/>
  <c r="L112" i="52"/>
  <c r="C112" i="51"/>
  <c r="F112" i="51"/>
  <c r="K112" i="51"/>
  <c r="F113" i="51"/>
  <c r="K113" i="51"/>
  <c r="G110" i="51"/>
  <c r="C110" i="51"/>
  <c r="C90" i="48"/>
  <c r="D90" i="48"/>
  <c r="E90" i="48"/>
  <c r="F90" i="48"/>
  <c r="K90" i="48"/>
  <c r="N90" i="48"/>
  <c r="P90" i="48"/>
  <c r="Q90" i="48"/>
  <c r="F93" i="48"/>
  <c r="K93" i="48"/>
  <c r="C94" i="48"/>
  <c r="D94" i="48"/>
  <c r="E94" i="48"/>
  <c r="F94" i="48"/>
  <c r="G94" i="48"/>
  <c r="K94" i="48"/>
  <c r="Q94" i="48"/>
  <c r="C95" i="46"/>
  <c r="D95" i="46"/>
  <c r="E95" i="46"/>
  <c r="F95" i="46"/>
  <c r="G95" i="46"/>
  <c r="H95" i="46"/>
  <c r="I95" i="46"/>
  <c r="K95" i="46"/>
  <c r="M101" i="46"/>
  <c r="Q94" i="46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2" i="18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2" i="16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2" i="14"/>
  <c r="R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2" i="31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2" i="22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2" i="26"/>
  <c r="R11" i="24"/>
  <c r="R21" i="24"/>
  <c r="R23" i="24"/>
  <c r="R24" i="24"/>
  <c r="R25" i="24"/>
  <c r="R34" i="24"/>
  <c r="R37" i="24"/>
  <c r="R38" i="24"/>
  <c r="R46" i="24"/>
  <c r="R49" i="24"/>
  <c r="R50" i="24"/>
  <c r="R58" i="24"/>
  <c r="R61" i="24"/>
  <c r="R62" i="24"/>
  <c r="R70" i="24"/>
  <c r="R73" i="24"/>
  <c r="R74" i="24"/>
  <c r="R82" i="24"/>
  <c r="R3" i="3"/>
  <c r="R3" i="24" s="1"/>
  <c r="R4" i="3"/>
  <c r="R4" i="24" s="1"/>
  <c r="R5" i="3"/>
  <c r="R5" i="24" s="1"/>
  <c r="R6" i="3"/>
  <c r="R6" i="24" s="1"/>
  <c r="R7" i="3"/>
  <c r="R7" i="24" s="1"/>
  <c r="R8" i="3"/>
  <c r="R8" i="24" s="1"/>
  <c r="R9" i="3"/>
  <c r="R9" i="24" s="1"/>
  <c r="R10" i="3"/>
  <c r="R10" i="24" s="1"/>
  <c r="R11" i="3"/>
  <c r="R12" i="3"/>
  <c r="R12" i="24" s="1"/>
  <c r="R13" i="3"/>
  <c r="R13" i="24" s="1"/>
  <c r="R14" i="3"/>
  <c r="R14" i="24" s="1"/>
  <c r="R15" i="3"/>
  <c r="R15" i="24" s="1"/>
  <c r="R16" i="3"/>
  <c r="R16" i="24" s="1"/>
  <c r="R17" i="3"/>
  <c r="R17" i="24" s="1"/>
  <c r="R18" i="3"/>
  <c r="R18" i="24" s="1"/>
  <c r="R19" i="3"/>
  <c r="R19" i="24" s="1"/>
  <c r="R20" i="3"/>
  <c r="R20" i="24" s="1"/>
  <c r="R21" i="3"/>
  <c r="R22" i="3"/>
  <c r="R22" i="24" s="1"/>
  <c r="R23" i="3"/>
  <c r="R24" i="3"/>
  <c r="R25" i="3"/>
  <c r="R26" i="3"/>
  <c r="R26" i="24" s="1"/>
  <c r="R27" i="3"/>
  <c r="R27" i="24" s="1"/>
  <c r="R28" i="3"/>
  <c r="R28" i="24" s="1"/>
  <c r="R29" i="3"/>
  <c r="R29" i="24" s="1"/>
  <c r="R30" i="3"/>
  <c r="R30" i="24" s="1"/>
  <c r="R31" i="3"/>
  <c r="R31" i="24" s="1"/>
  <c r="R32" i="3"/>
  <c r="R32" i="24" s="1"/>
  <c r="R33" i="3"/>
  <c r="R33" i="24" s="1"/>
  <c r="R34" i="3"/>
  <c r="R35" i="3"/>
  <c r="R35" i="24" s="1"/>
  <c r="R36" i="3"/>
  <c r="R36" i="24" s="1"/>
  <c r="R37" i="3"/>
  <c r="R38" i="3"/>
  <c r="R39" i="3"/>
  <c r="R39" i="24" s="1"/>
  <c r="R40" i="3"/>
  <c r="R40" i="24" s="1"/>
  <c r="R41" i="3"/>
  <c r="R41" i="24" s="1"/>
  <c r="R42" i="3"/>
  <c r="R42" i="24" s="1"/>
  <c r="R43" i="3"/>
  <c r="R43" i="24" s="1"/>
  <c r="R44" i="3"/>
  <c r="R44" i="24" s="1"/>
  <c r="R45" i="3"/>
  <c r="R45" i="24" s="1"/>
  <c r="R46" i="3"/>
  <c r="R47" i="3"/>
  <c r="R47" i="24" s="1"/>
  <c r="R48" i="3"/>
  <c r="R48" i="24" s="1"/>
  <c r="R49" i="3"/>
  <c r="R50" i="3"/>
  <c r="R51" i="3"/>
  <c r="R51" i="24" s="1"/>
  <c r="R52" i="3"/>
  <c r="R52" i="24" s="1"/>
  <c r="R53" i="3"/>
  <c r="R53" i="24" s="1"/>
  <c r="R54" i="3"/>
  <c r="R54" i="24" s="1"/>
  <c r="R55" i="3"/>
  <c r="R55" i="24" s="1"/>
  <c r="R56" i="3"/>
  <c r="R56" i="24" s="1"/>
  <c r="R57" i="3"/>
  <c r="R57" i="24" s="1"/>
  <c r="R58" i="3"/>
  <c r="R59" i="3"/>
  <c r="R59" i="24" s="1"/>
  <c r="R60" i="3"/>
  <c r="R60" i="24" s="1"/>
  <c r="R61" i="3"/>
  <c r="R62" i="3"/>
  <c r="R63" i="3"/>
  <c r="R63" i="24" s="1"/>
  <c r="R64" i="3"/>
  <c r="R64" i="24" s="1"/>
  <c r="R65" i="3"/>
  <c r="R65" i="24" s="1"/>
  <c r="R66" i="3"/>
  <c r="R66" i="24" s="1"/>
  <c r="R67" i="3"/>
  <c r="R67" i="24" s="1"/>
  <c r="R68" i="3"/>
  <c r="R68" i="24" s="1"/>
  <c r="R69" i="3"/>
  <c r="R69" i="24" s="1"/>
  <c r="R70" i="3"/>
  <c r="R71" i="3"/>
  <c r="R71" i="24" s="1"/>
  <c r="R72" i="3"/>
  <c r="R72" i="24" s="1"/>
  <c r="R73" i="3"/>
  <c r="R74" i="3"/>
  <c r="R75" i="3"/>
  <c r="R75" i="24" s="1"/>
  <c r="R76" i="3"/>
  <c r="R76" i="24" s="1"/>
  <c r="R77" i="3"/>
  <c r="R77" i="24" s="1"/>
  <c r="R78" i="3"/>
  <c r="R78" i="24" s="1"/>
  <c r="R79" i="3"/>
  <c r="R79" i="24" s="1"/>
  <c r="R80" i="3"/>
  <c r="R80" i="24" s="1"/>
  <c r="R81" i="3"/>
  <c r="R81" i="24" s="1"/>
  <c r="R82" i="3"/>
  <c r="R83" i="3"/>
  <c r="R83" i="24" s="1"/>
  <c r="R2" i="3"/>
  <c r="R2" i="24" s="1"/>
  <c r="I10" i="30" l="1"/>
  <c r="I9" i="30"/>
  <c r="I8" i="30"/>
  <c r="I7" i="30"/>
  <c r="I6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M7" i="30" l="1"/>
  <c r="E8" i="30"/>
  <c r="E9" i="30"/>
  <c r="M10" i="30"/>
  <c r="M6" i="30"/>
  <c r="P8" i="30"/>
  <c r="H8" i="30"/>
  <c r="E7" i="30"/>
  <c r="C10" i="30"/>
  <c r="C6" i="30"/>
  <c r="E6" i="30"/>
  <c r="J6" i="30"/>
  <c r="B7" i="30"/>
  <c r="F7" i="30"/>
  <c r="J7" i="30"/>
  <c r="O7" i="30"/>
  <c r="E10" i="30"/>
  <c r="J10" i="30"/>
  <c r="F6" i="30"/>
  <c r="K6" i="30"/>
  <c r="C7" i="30"/>
  <c r="G7" i="30"/>
  <c r="K7" i="30"/>
  <c r="P7" i="30"/>
  <c r="O8" i="30"/>
  <c r="P9" i="30"/>
  <c r="F10" i="30"/>
  <c r="K10" i="30"/>
  <c r="B6" i="30"/>
  <c r="G6" i="30"/>
  <c r="N6" i="30"/>
  <c r="D7" i="30"/>
  <c r="H7" i="30"/>
  <c r="L7" i="30"/>
  <c r="D8" i="30"/>
  <c r="L8" i="30"/>
  <c r="B10" i="30"/>
  <c r="G10" i="30"/>
  <c r="N10" i="30"/>
  <c r="O6" i="30"/>
  <c r="N7" i="30"/>
  <c r="O10" i="30"/>
  <c r="D6" i="30"/>
  <c r="H6" i="30"/>
  <c r="L6" i="30"/>
  <c r="P6" i="30"/>
  <c r="B8" i="30"/>
  <c r="F8" i="30"/>
  <c r="J8" i="30"/>
  <c r="N8" i="30"/>
  <c r="C9" i="30"/>
  <c r="G9" i="30"/>
  <c r="K9" i="30"/>
  <c r="O9" i="30"/>
  <c r="D10" i="30"/>
  <c r="H10" i="30"/>
  <c r="L10" i="30"/>
  <c r="P10" i="30"/>
  <c r="M8" i="30"/>
  <c r="B9" i="30"/>
  <c r="F9" i="30"/>
  <c r="J9" i="30"/>
  <c r="N9" i="30"/>
  <c r="M9" i="30"/>
  <c r="C8" i="30"/>
  <c r="G8" i="30"/>
  <c r="K8" i="30"/>
  <c r="D9" i="30"/>
  <c r="H9" i="30"/>
  <c r="L9" i="30"/>
  <c r="E65" i="52"/>
  <c r="E64" i="52"/>
  <c r="E63" i="52"/>
  <c r="E62" i="52"/>
  <c r="E61" i="52"/>
  <c r="E60" i="52"/>
  <c r="E59" i="52"/>
  <c r="E58" i="52"/>
  <c r="E70" i="51"/>
  <c r="E69" i="51"/>
  <c r="E68" i="51"/>
  <c r="E67" i="51"/>
  <c r="E66" i="51"/>
  <c r="E65" i="51"/>
  <c r="E64" i="51"/>
  <c r="E63" i="51"/>
  <c r="E62" i="51"/>
  <c r="E61" i="51"/>
  <c r="E60" i="51"/>
  <c r="E59" i="51"/>
  <c r="E59" i="50"/>
  <c r="E58" i="50"/>
  <c r="E57" i="50"/>
  <c r="E56" i="50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57" i="48"/>
  <c r="E56" i="48"/>
  <c r="E55" i="48"/>
  <c r="E54" i="48"/>
  <c r="E53" i="48"/>
  <c r="E52" i="48"/>
  <c r="E51" i="48"/>
  <c r="E57" i="46"/>
  <c r="E56" i="46"/>
  <c r="E55" i="46"/>
  <c r="E54" i="46"/>
  <c r="E53" i="46"/>
  <c r="E52" i="46"/>
  <c r="E51" i="46"/>
  <c r="E50" i="46"/>
  <c r="E47" i="45"/>
  <c r="E46" i="45"/>
  <c r="E45" i="45"/>
  <c r="E44" i="45"/>
  <c r="E43" i="45"/>
  <c r="E42" i="45"/>
  <c r="E41" i="45"/>
  <c r="E40" i="45"/>
  <c r="E39" i="45"/>
  <c r="E38" i="45"/>
  <c r="E79" i="44"/>
  <c r="E78" i="44"/>
  <c r="E77" i="44"/>
  <c r="E76" i="44"/>
  <c r="E75" i="44"/>
  <c r="E74" i="44"/>
  <c r="E73" i="44"/>
  <c r="E72" i="44"/>
  <c r="E71" i="44"/>
  <c r="E70" i="44"/>
  <c r="E69" i="44"/>
  <c r="E68" i="44"/>
  <c r="E67" i="44"/>
  <c r="E66" i="44"/>
  <c r="E65" i="44"/>
  <c r="E64" i="44"/>
  <c r="E63" i="44"/>
  <c r="G43" i="55"/>
  <c r="G142" i="48" s="1"/>
  <c r="F43" i="55"/>
  <c r="F142" i="48" s="1"/>
  <c r="E43" i="55"/>
  <c r="E142" i="48" s="1"/>
  <c r="D43" i="55"/>
  <c r="D142" i="48" s="1"/>
  <c r="G39" i="55"/>
  <c r="G138" i="48" s="1"/>
  <c r="F39" i="55"/>
  <c r="F138" i="48" s="1"/>
  <c r="E39" i="55"/>
  <c r="E138" i="48" s="1"/>
  <c r="D39" i="55"/>
  <c r="D138" i="48" s="1"/>
  <c r="D73" i="44"/>
  <c r="D69" i="44"/>
  <c r="D65" i="44"/>
  <c r="C66" i="52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C81" i="55" s="1"/>
  <c r="C158" i="52" s="1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C79" i="55" s="1"/>
  <c r="C156" i="52" s="1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C77" i="55" s="1"/>
  <c r="C154" i="52" s="1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C75" i="55" s="1"/>
  <c r="C152" i="52" s="1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C73" i="55" s="1"/>
  <c r="C177" i="51" s="1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C71" i="55" s="1"/>
  <c r="C175" i="51" s="1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C69" i="55" s="1"/>
  <c r="C173" i="51" s="1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C67" i="55" s="1"/>
  <c r="C171" i="51" s="1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C65" i="55" s="1"/>
  <c r="C169" i="51" s="1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C63" i="55" s="1"/>
  <c r="C167" i="51" s="1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C61" i="55" s="1"/>
  <c r="C138" i="50" s="1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C59" i="55" s="1"/>
  <c r="C136" i="50" s="1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C57" i="55" s="1"/>
  <c r="C177" i="49" s="1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C55" i="55" s="1"/>
  <c r="C175" i="49" s="1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C53" i="55" s="1"/>
  <c r="C173" i="49" s="1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C51" i="55" s="1"/>
  <c r="C171" i="49" s="1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C49" i="55" s="1"/>
  <c r="C169" i="49" s="1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C47" i="55" s="1"/>
  <c r="C167" i="49" s="1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C45" i="55" s="1"/>
  <c r="C165" i="49" s="1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C41" i="55" s="1"/>
  <c r="C140" i="48" s="1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C40" i="55" s="1"/>
  <c r="C139" i="48" s="1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Q37" i="18"/>
  <c r="P37" i="18"/>
  <c r="O37" i="18"/>
  <c r="N37" i="18"/>
  <c r="M37" i="18"/>
  <c r="L37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C36" i="55" s="1"/>
  <c r="C159" i="46" s="1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C34" i="55" s="1"/>
  <c r="C157" i="46" s="1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Q32" i="18"/>
  <c r="P32" i="18"/>
  <c r="O32" i="18"/>
  <c r="N32" i="18"/>
  <c r="M32" i="18"/>
  <c r="L32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C31" i="55" s="1"/>
  <c r="C154" i="46" s="1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C29" i="55" s="1"/>
  <c r="C154" i="45" s="1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C27" i="55" s="1"/>
  <c r="C152" i="45" s="1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C25" i="55" s="1"/>
  <c r="C150" i="45" s="1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C23" i="55" s="1"/>
  <c r="C148" i="45" s="1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C21" i="55" s="1"/>
  <c r="C146" i="45" s="1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C19" i="55" s="1"/>
  <c r="C224" i="44" s="1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C17" i="55" s="1"/>
  <c r="C222" i="44" s="1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C15" i="55" s="1"/>
  <c r="C220" i="44" s="1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C13" i="55" s="1"/>
  <c r="C218" i="44" s="1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C11" i="55" s="1"/>
  <c r="C216" i="44" s="1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C9" i="55" s="1"/>
  <c r="C214" i="44" s="1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C7" i="55" s="1"/>
  <c r="C212" i="44" s="1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C5" i="55" s="1"/>
  <c r="C210" i="44" s="1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C3" i="55" s="1"/>
  <c r="C208" i="44" s="1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Q37" i="16"/>
  <c r="P37" i="16"/>
  <c r="O37" i="16"/>
  <c r="N37" i="16"/>
  <c r="M37" i="16"/>
  <c r="L37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Q32" i="16"/>
  <c r="P32" i="16"/>
  <c r="O32" i="16"/>
  <c r="N32" i="16"/>
  <c r="M32" i="16"/>
  <c r="L32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C2" i="55" l="1"/>
  <c r="C207" i="44" s="1"/>
  <c r="C63" i="44"/>
  <c r="C6" i="55"/>
  <c r="C211" i="44" s="1"/>
  <c r="C10" i="55"/>
  <c r="C215" i="44" s="1"/>
  <c r="C71" i="44"/>
  <c r="C14" i="55"/>
  <c r="C219" i="44" s="1"/>
  <c r="C18" i="55"/>
  <c r="C223" i="44" s="1"/>
  <c r="C79" i="44"/>
  <c r="C22" i="55"/>
  <c r="C147" i="45" s="1"/>
  <c r="C26" i="55"/>
  <c r="C151" i="45" s="1"/>
  <c r="C45" i="45"/>
  <c r="C30" i="55"/>
  <c r="C153" i="46" s="1"/>
  <c r="C33" i="55"/>
  <c r="C156" i="46" s="1"/>
  <c r="C55" i="46"/>
  <c r="L37" i="55"/>
  <c r="L160" i="46" s="1"/>
  <c r="C56" i="48"/>
  <c r="C44" i="55"/>
  <c r="C143" i="48" s="1"/>
  <c r="C48" i="55"/>
  <c r="C168" i="49" s="1"/>
  <c r="C52" i="55"/>
  <c r="C172" i="49" s="1"/>
  <c r="C56" i="55"/>
  <c r="C176" i="49" s="1"/>
  <c r="C56" i="50"/>
  <c r="C60" i="55"/>
  <c r="C137" i="50" s="1"/>
  <c r="C64" i="55"/>
  <c r="C168" i="51" s="1"/>
  <c r="C68" i="55"/>
  <c r="C172" i="51" s="1"/>
  <c r="C72" i="55"/>
  <c r="C176" i="51" s="1"/>
  <c r="C58" i="52"/>
  <c r="C76" i="55"/>
  <c r="C153" i="52" s="1"/>
  <c r="C80" i="55"/>
  <c r="C157" i="52" s="1"/>
  <c r="D51" i="49"/>
  <c r="D55" i="49"/>
  <c r="D59" i="49"/>
  <c r="D63" i="49"/>
  <c r="D59" i="50"/>
  <c r="D62" i="51"/>
  <c r="D66" i="51"/>
  <c r="D70" i="51"/>
  <c r="D61" i="52"/>
  <c r="D65" i="52"/>
  <c r="D54" i="46"/>
  <c r="E38" i="48"/>
  <c r="C4" i="55"/>
  <c r="C209" i="44" s="1"/>
  <c r="C8" i="55"/>
  <c r="C213" i="44" s="1"/>
  <c r="C12" i="55"/>
  <c r="C217" i="44" s="1"/>
  <c r="C16" i="55"/>
  <c r="C221" i="44" s="1"/>
  <c r="C20" i="55"/>
  <c r="C145" i="45" s="1"/>
  <c r="C24" i="55"/>
  <c r="C149" i="45" s="1"/>
  <c r="C28" i="55"/>
  <c r="C153" i="45" s="1"/>
  <c r="L32" i="55"/>
  <c r="L155" i="46" s="1"/>
  <c r="C35" i="55"/>
  <c r="C158" i="46" s="1"/>
  <c r="C38" i="55"/>
  <c r="C137" i="48" s="1"/>
  <c r="C42" i="55"/>
  <c r="C141" i="48" s="1"/>
  <c r="C46" i="55"/>
  <c r="C166" i="49" s="1"/>
  <c r="C50" i="55"/>
  <c r="C170" i="49" s="1"/>
  <c r="C54" i="55"/>
  <c r="C174" i="49" s="1"/>
  <c r="C58" i="55"/>
  <c r="C178" i="49" s="1"/>
  <c r="C62" i="55"/>
  <c r="C139" i="50" s="1"/>
  <c r="C66" i="55"/>
  <c r="C170" i="51" s="1"/>
  <c r="C70" i="55"/>
  <c r="C174" i="51" s="1"/>
  <c r="C74" i="55"/>
  <c r="C178" i="51" s="1"/>
  <c r="C78" i="55"/>
  <c r="C155" i="52" s="1"/>
  <c r="C82" i="55"/>
  <c r="C159" i="52" s="1"/>
  <c r="D62" i="44"/>
  <c r="D66" i="44"/>
  <c r="D70" i="44"/>
  <c r="D74" i="44"/>
  <c r="D78" i="44"/>
  <c r="D40" i="45"/>
  <c r="D44" i="45"/>
  <c r="D50" i="46"/>
  <c r="E34" i="48"/>
  <c r="E40" i="48"/>
  <c r="E36" i="48"/>
  <c r="E37" i="48"/>
  <c r="D51" i="48"/>
  <c r="C39" i="55"/>
  <c r="C138" i="48" s="1"/>
  <c r="D55" i="48"/>
  <c r="C43" i="55"/>
  <c r="C142" i="48" s="1"/>
  <c r="E35" i="48"/>
  <c r="C62" i="44"/>
  <c r="C66" i="44"/>
  <c r="C64" i="44"/>
  <c r="C68" i="44"/>
  <c r="C72" i="44"/>
  <c r="C76" i="44"/>
  <c r="C74" i="44"/>
  <c r="C44" i="45"/>
  <c r="C50" i="46"/>
  <c r="C51" i="48"/>
  <c r="C55" i="48"/>
  <c r="C59" i="49"/>
  <c r="C63" i="49"/>
  <c r="C66" i="51"/>
  <c r="C70" i="51"/>
  <c r="D77" i="44"/>
  <c r="D39" i="45"/>
  <c r="D43" i="45"/>
  <c r="D47" i="45"/>
  <c r="D53" i="46"/>
  <c r="D57" i="46"/>
  <c r="D54" i="48"/>
  <c r="D50" i="49"/>
  <c r="D54" i="49"/>
  <c r="D58" i="49"/>
  <c r="D62" i="49"/>
  <c r="D58" i="50"/>
  <c r="D61" i="51"/>
  <c r="D65" i="51"/>
  <c r="D69" i="51"/>
  <c r="D60" i="52"/>
  <c r="D64" i="52"/>
  <c r="C70" i="44"/>
  <c r="C65" i="44"/>
  <c r="C67" i="44"/>
  <c r="C73" i="44"/>
  <c r="C75" i="44"/>
  <c r="C77" i="44"/>
  <c r="C39" i="45"/>
  <c r="C41" i="45"/>
  <c r="C43" i="45"/>
  <c r="C47" i="45"/>
  <c r="C53" i="46"/>
  <c r="C54" i="48"/>
  <c r="C50" i="49"/>
  <c r="C54" i="49"/>
  <c r="C62" i="49"/>
  <c r="C58" i="50"/>
  <c r="C61" i="51"/>
  <c r="C69" i="51"/>
  <c r="C60" i="52"/>
  <c r="C64" i="52"/>
  <c r="D64" i="44"/>
  <c r="D68" i="44"/>
  <c r="D72" i="44"/>
  <c r="D76" i="44"/>
  <c r="D38" i="45"/>
  <c r="D42" i="45"/>
  <c r="D46" i="45"/>
  <c r="D52" i="46"/>
  <c r="D56" i="46"/>
  <c r="D53" i="48"/>
  <c r="D57" i="48"/>
  <c r="D53" i="49"/>
  <c r="D57" i="49"/>
  <c r="D61" i="49"/>
  <c r="D57" i="50"/>
  <c r="D60" i="51"/>
  <c r="D64" i="51"/>
  <c r="D68" i="51"/>
  <c r="D59" i="52"/>
  <c r="D63" i="52"/>
  <c r="C38" i="45"/>
  <c r="C42" i="45"/>
  <c r="C46" i="45"/>
  <c r="C57" i="48"/>
  <c r="C57" i="50"/>
  <c r="C64" i="51"/>
  <c r="C59" i="52"/>
  <c r="D63" i="44"/>
  <c r="D67" i="44"/>
  <c r="D71" i="44"/>
  <c r="D75" i="44"/>
  <c r="D79" i="44"/>
  <c r="D41" i="45"/>
  <c r="D45" i="45"/>
  <c r="D51" i="46"/>
  <c r="D55" i="46"/>
  <c r="D52" i="48"/>
  <c r="D56" i="48"/>
  <c r="D52" i="49"/>
  <c r="D56" i="49"/>
  <c r="D60" i="49"/>
  <c r="D56" i="50"/>
  <c r="D59" i="51"/>
  <c r="D63" i="51"/>
  <c r="D67" i="51"/>
  <c r="D58" i="52"/>
  <c r="D62" i="52"/>
  <c r="D66" i="52"/>
  <c r="E62" i="44"/>
  <c r="C69" i="44"/>
  <c r="C52" i="46"/>
  <c r="C52" i="48"/>
  <c r="C52" i="49"/>
  <c r="C56" i="49"/>
  <c r="C60" i="49"/>
  <c r="C59" i="51"/>
  <c r="C63" i="51"/>
  <c r="C67" i="51"/>
  <c r="C62" i="52"/>
  <c r="C78" i="44"/>
  <c r="C40" i="45"/>
  <c r="C53" i="48"/>
  <c r="C53" i="49"/>
  <c r="C57" i="49"/>
  <c r="C61" i="49"/>
  <c r="C60" i="51"/>
  <c r="C68" i="51"/>
  <c r="C63" i="52"/>
  <c r="C54" i="46"/>
  <c r="C57" i="46"/>
  <c r="C58" i="49"/>
  <c r="C65" i="51"/>
  <c r="C51" i="49"/>
  <c r="C55" i="49"/>
  <c r="C59" i="50"/>
  <c r="C62" i="51"/>
  <c r="C61" i="52"/>
  <c r="C56" i="46"/>
  <c r="C51" i="46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E39" i="51" l="1"/>
  <c r="E36" i="49"/>
  <c r="E39" i="46"/>
  <c r="E44" i="49"/>
  <c r="E54" i="44"/>
  <c r="E44" i="51"/>
  <c r="E45" i="52"/>
  <c r="E38" i="51"/>
  <c r="E37" i="46"/>
  <c r="E35" i="49"/>
  <c r="E50" i="44"/>
  <c r="E36" i="46"/>
  <c r="E43" i="52"/>
  <c r="E35" i="50"/>
  <c r="E43" i="49"/>
  <c r="E34" i="46"/>
  <c r="E27" i="45"/>
  <c r="E58" i="44"/>
  <c r="E38" i="49"/>
  <c r="E46" i="44"/>
  <c r="E42" i="52"/>
  <c r="E40" i="49"/>
  <c r="E42" i="44"/>
  <c r="E41" i="52"/>
  <c r="E44" i="52"/>
  <c r="E57" i="44"/>
  <c r="E40" i="52"/>
  <c r="E38" i="46"/>
  <c r="E46" i="49"/>
  <c r="E38" i="52"/>
  <c r="E45" i="49"/>
  <c r="E49" i="51"/>
  <c r="E53" i="44"/>
  <c r="E41" i="49"/>
  <c r="E45" i="44"/>
  <c r="E37" i="52"/>
  <c r="E37" i="49"/>
  <c r="E45" i="51"/>
  <c r="E37" i="50"/>
  <c r="E33" i="46"/>
  <c r="E26" i="45"/>
  <c r="E48" i="51"/>
  <c r="E35" i="45"/>
  <c r="E39" i="49"/>
  <c r="E42" i="51"/>
  <c r="E35" i="46"/>
  <c r="E32" i="46"/>
  <c r="E47" i="51"/>
  <c r="E31" i="45"/>
  <c r="E41" i="51"/>
  <c r="E40" i="51"/>
  <c r="E39" i="52"/>
  <c r="E32" i="45"/>
  <c r="E46" i="51"/>
  <c r="E38" i="50"/>
  <c r="E49" i="44"/>
  <c r="E36" i="50"/>
  <c r="E28" i="45"/>
  <c r="E43" i="51"/>
  <c r="E47" i="49"/>
  <c r="E42" i="49"/>
  <c r="R77" i="55"/>
  <c r="R154" i="52" s="1"/>
  <c r="R36" i="55"/>
  <c r="R159" i="46" s="1"/>
  <c r="R66" i="55"/>
  <c r="R170" i="51" s="1"/>
  <c r="R50" i="55"/>
  <c r="R170" i="49" s="1"/>
  <c r="R61" i="55"/>
  <c r="R138" i="50" s="1"/>
  <c r="R45" i="55"/>
  <c r="R165" i="49" s="1"/>
  <c r="R68" i="55"/>
  <c r="R172" i="51" s="1"/>
  <c r="R52" i="55"/>
  <c r="R172" i="49" s="1"/>
  <c r="R30" i="55"/>
  <c r="R153" i="46" s="1"/>
  <c r="R6" i="55"/>
  <c r="R211" i="44" s="1"/>
  <c r="R75" i="55"/>
  <c r="R152" i="52" s="1"/>
  <c r="R59" i="55"/>
  <c r="R136" i="50" s="1"/>
  <c r="R43" i="55"/>
  <c r="R142" i="48" s="1"/>
  <c r="R17" i="55"/>
  <c r="R222" i="44" s="1"/>
  <c r="R24" i="55"/>
  <c r="R149" i="45" s="1"/>
  <c r="R27" i="55"/>
  <c r="R152" i="45" s="1"/>
  <c r="R19" i="55"/>
  <c r="R224" i="44" s="1"/>
  <c r="R11" i="55"/>
  <c r="R216" i="44" s="1"/>
  <c r="R3" i="55"/>
  <c r="R208" i="44" s="1"/>
  <c r="R35" i="55"/>
  <c r="R158" i="46" s="1"/>
  <c r="R70" i="55"/>
  <c r="R174" i="51" s="1"/>
  <c r="R54" i="55"/>
  <c r="R174" i="49" s="1"/>
  <c r="R38" i="55"/>
  <c r="R137" i="48" s="1"/>
  <c r="R81" i="55"/>
  <c r="R158" i="52" s="1"/>
  <c r="R65" i="55"/>
  <c r="R169" i="51" s="1"/>
  <c r="R49" i="55"/>
  <c r="R169" i="49" s="1"/>
  <c r="R34" i="55"/>
  <c r="R157" i="46" s="1"/>
  <c r="R72" i="55"/>
  <c r="R176" i="51" s="1"/>
  <c r="R56" i="55"/>
  <c r="R176" i="49" s="1"/>
  <c r="R40" i="55"/>
  <c r="R139" i="48" s="1"/>
  <c r="R10" i="55"/>
  <c r="R215" i="44" s="1"/>
  <c r="R79" i="55"/>
  <c r="R156" i="52" s="1"/>
  <c r="R63" i="55"/>
  <c r="R167" i="51" s="1"/>
  <c r="R47" i="55"/>
  <c r="R167" i="49" s="1"/>
  <c r="R25" i="55"/>
  <c r="R150" i="45" s="1"/>
  <c r="R28" i="55"/>
  <c r="R153" i="45" s="1"/>
  <c r="R29" i="55"/>
  <c r="R154" i="45" s="1"/>
  <c r="R21" i="55"/>
  <c r="R146" i="45" s="1"/>
  <c r="R13" i="55"/>
  <c r="R218" i="44" s="1"/>
  <c r="R5" i="55"/>
  <c r="R210" i="44" s="1"/>
  <c r="R26" i="55"/>
  <c r="R151" i="45" s="1"/>
  <c r="R4" i="55"/>
  <c r="R209" i="44" s="1"/>
  <c r="R31" i="55"/>
  <c r="R154" i="46" s="1"/>
  <c r="R74" i="55"/>
  <c r="R178" i="51" s="1"/>
  <c r="R58" i="55"/>
  <c r="R178" i="49" s="1"/>
  <c r="R42" i="55"/>
  <c r="R141" i="48" s="1"/>
  <c r="R69" i="55"/>
  <c r="R173" i="51" s="1"/>
  <c r="R53" i="55"/>
  <c r="R173" i="49" s="1"/>
  <c r="R37" i="55"/>
  <c r="R160" i="46" s="1"/>
  <c r="R76" i="55"/>
  <c r="R153" i="52" s="1"/>
  <c r="R60" i="55"/>
  <c r="R137" i="50" s="1"/>
  <c r="R44" i="55"/>
  <c r="R143" i="48" s="1"/>
  <c r="R18" i="55"/>
  <c r="R223" i="44" s="1"/>
  <c r="R67" i="55"/>
  <c r="R171" i="51" s="1"/>
  <c r="R51" i="55"/>
  <c r="R171" i="49" s="1"/>
  <c r="R32" i="55"/>
  <c r="R155" i="46" s="1"/>
  <c r="R23" i="55"/>
  <c r="R148" i="45" s="1"/>
  <c r="R15" i="55"/>
  <c r="R220" i="44" s="1"/>
  <c r="R7" i="55"/>
  <c r="R212" i="44" s="1"/>
  <c r="R14" i="55"/>
  <c r="R219" i="44" s="1"/>
  <c r="R8" i="55"/>
  <c r="R213" i="44" s="1"/>
  <c r="Q83" i="55"/>
  <c r="Q160" i="52" s="1"/>
  <c r="R78" i="55"/>
  <c r="R155" i="52" s="1"/>
  <c r="R62" i="55"/>
  <c r="R139" i="50" s="1"/>
  <c r="R46" i="55"/>
  <c r="R166" i="49" s="1"/>
  <c r="R73" i="55"/>
  <c r="R177" i="51" s="1"/>
  <c r="R57" i="55"/>
  <c r="R177" i="49" s="1"/>
  <c r="R41" i="55"/>
  <c r="R140" i="48" s="1"/>
  <c r="R80" i="55"/>
  <c r="R157" i="52" s="1"/>
  <c r="R64" i="55"/>
  <c r="R168" i="51" s="1"/>
  <c r="R48" i="55"/>
  <c r="R168" i="49" s="1"/>
  <c r="R22" i="55"/>
  <c r="R147" i="45" s="1"/>
  <c r="R2" i="55"/>
  <c r="R207" i="44" s="1"/>
  <c r="R71" i="55"/>
  <c r="R175" i="51" s="1"/>
  <c r="R55" i="55"/>
  <c r="R175" i="49" s="1"/>
  <c r="R39" i="55"/>
  <c r="R138" i="48" s="1"/>
  <c r="R9" i="55"/>
  <c r="R214" i="44" s="1"/>
  <c r="R33" i="55"/>
  <c r="R156" i="46" s="1"/>
  <c r="R20" i="55"/>
  <c r="R145" i="45" s="1"/>
  <c r="R16" i="55"/>
  <c r="R221" i="44" s="1"/>
  <c r="R12" i="55"/>
  <c r="R217" i="44" s="1"/>
  <c r="E39" i="48"/>
  <c r="C65" i="52"/>
  <c r="Q83" i="31"/>
  <c r="P83" i="31"/>
  <c r="O83" i="31"/>
  <c r="N83" i="31"/>
  <c r="M83" i="31"/>
  <c r="L83" i="31"/>
  <c r="K83" i="31"/>
  <c r="J83" i="31"/>
  <c r="I83" i="31"/>
  <c r="H83" i="31"/>
  <c r="G83" i="31"/>
  <c r="F83" i="31"/>
  <c r="E83" i="31"/>
  <c r="D83" i="31"/>
  <c r="C83" i="31"/>
  <c r="Q82" i="31"/>
  <c r="P82" i="31"/>
  <c r="O82" i="31"/>
  <c r="N82" i="31"/>
  <c r="M82" i="31"/>
  <c r="L82" i="31"/>
  <c r="K82" i="31"/>
  <c r="J82" i="31"/>
  <c r="I82" i="31"/>
  <c r="H82" i="31"/>
  <c r="G82" i="31"/>
  <c r="F82" i="31"/>
  <c r="E82" i="31"/>
  <c r="D82" i="31"/>
  <c r="C82" i="31"/>
  <c r="Q81" i="31"/>
  <c r="P81" i="31"/>
  <c r="O81" i="31"/>
  <c r="N81" i="31"/>
  <c r="M81" i="31"/>
  <c r="L81" i="31"/>
  <c r="K81" i="31"/>
  <c r="J81" i="31"/>
  <c r="I81" i="31"/>
  <c r="H81" i="31"/>
  <c r="G81" i="31"/>
  <c r="F81" i="31"/>
  <c r="E81" i="31"/>
  <c r="D81" i="31"/>
  <c r="C81" i="31"/>
  <c r="Q80" i="3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C80" i="31"/>
  <c r="Q79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D79" i="31"/>
  <c r="C79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C78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C65" i="31"/>
  <c r="Q64" i="31"/>
  <c r="P64" i="31"/>
  <c r="O64" i="31"/>
  <c r="N64" i="31"/>
  <c r="M64" i="31"/>
  <c r="L64" i="31"/>
  <c r="K64" i="31"/>
  <c r="J64" i="31"/>
  <c r="I64" i="31"/>
  <c r="H64" i="31"/>
  <c r="G64" i="31"/>
  <c r="F64" i="31"/>
  <c r="E64" i="31"/>
  <c r="D64" i="31"/>
  <c r="C64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E63" i="31"/>
  <c r="D63" i="31"/>
  <c r="C63" i="31"/>
  <c r="Q62" i="31"/>
  <c r="P62" i="31"/>
  <c r="O62" i="31"/>
  <c r="N62" i="31"/>
  <c r="M62" i="31"/>
  <c r="L62" i="31"/>
  <c r="K62" i="31"/>
  <c r="J62" i="31"/>
  <c r="I62" i="31"/>
  <c r="H62" i="31"/>
  <c r="G62" i="31"/>
  <c r="F62" i="31"/>
  <c r="E62" i="31"/>
  <c r="D62" i="31"/>
  <c r="C62" i="31"/>
  <c r="Q61" i="31"/>
  <c r="P61" i="31"/>
  <c r="O61" i="31"/>
  <c r="N61" i="31"/>
  <c r="M61" i="31"/>
  <c r="L61" i="31"/>
  <c r="K61" i="31"/>
  <c r="J61" i="31"/>
  <c r="I61" i="31"/>
  <c r="H61" i="31"/>
  <c r="G61" i="31"/>
  <c r="F61" i="31"/>
  <c r="E61" i="31"/>
  <c r="D61" i="31"/>
  <c r="C61" i="3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60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Q58" i="31"/>
  <c r="P58" i="31"/>
  <c r="O58" i="31"/>
  <c r="N58" i="31"/>
  <c r="M58" i="31"/>
  <c r="L58" i="31"/>
  <c r="K58" i="31"/>
  <c r="J58" i="31"/>
  <c r="I58" i="31"/>
  <c r="H58" i="31"/>
  <c r="G58" i="31"/>
  <c r="F58" i="31"/>
  <c r="E58" i="31"/>
  <c r="D58" i="31"/>
  <c r="C58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Q5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C56" i="31"/>
  <c r="Q55" i="31"/>
  <c r="P55" i="31"/>
  <c r="O55" i="31"/>
  <c r="N55" i="31"/>
  <c r="M55" i="31"/>
  <c r="L55" i="31"/>
  <c r="K55" i="31"/>
  <c r="J55" i="31"/>
  <c r="I55" i="31"/>
  <c r="H55" i="31"/>
  <c r="G55" i="31"/>
  <c r="F55" i="31"/>
  <c r="E55" i="31"/>
  <c r="D55" i="31"/>
  <c r="C55" i="31"/>
  <c r="Q54" i="3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Q53" i="31"/>
  <c r="P53" i="31"/>
  <c r="Q52" i="3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E25" i="52"/>
  <c r="E24" i="52"/>
  <c r="E23" i="52"/>
  <c r="E22" i="52"/>
  <c r="E21" i="52"/>
  <c r="E20" i="52"/>
  <c r="E19" i="52"/>
  <c r="E18" i="52"/>
  <c r="E17" i="52"/>
  <c r="E29" i="51"/>
  <c r="E28" i="51"/>
  <c r="E27" i="51"/>
  <c r="E26" i="51"/>
  <c r="E25" i="51"/>
  <c r="E24" i="51"/>
  <c r="E23" i="51"/>
  <c r="E22" i="51"/>
  <c r="E21" i="51"/>
  <c r="E20" i="51"/>
  <c r="E19" i="51"/>
  <c r="E18" i="51"/>
  <c r="E21" i="50"/>
  <c r="E20" i="50"/>
  <c r="E19" i="50"/>
  <c r="E18" i="50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25" i="48"/>
  <c r="E24" i="48"/>
  <c r="E23" i="48"/>
  <c r="E22" i="48"/>
  <c r="E21" i="48"/>
  <c r="E20" i="48"/>
  <c r="E19" i="48"/>
  <c r="E24" i="46"/>
  <c r="E23" i="46"/>
  <c r="E22" i="46"/>
  <c r="E21" i="46"/>
  <c r="E20" i="46"/>
  <c r="E19" i="46"/>
  <c r="E18" i="46"/>
  <c r="E17" i="46"/>
  <c r="E23" i="45"/>
  <c r="E22" i="45"/>
  <c r="E21" i="45"/>
  <c r="E20" i="45"/>
  <c r="E19" i="45"/>
  <c r="E18" i="45"/>
  <c r="E17" i="45"/>
  <c r="E16" i="45"/>
  <c r="E15" i="45"/>
  <c r="E14" i="45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D25" i="52"/>
  <c r="F83" i="53"/>
  <c r="F112" i="52" s="1"/>
  <c r="D24" i="52"/>
  <c r="D23" i="52"/>
  <c r="D22" i="52"/>
  <c r="D21" i="52"/>
  <c r="D20" i="52"/>
  <c r="D19" i="52"/>
  <c r="D18" i="52"/>
  <c r="D17" i="52"/>
  <c r="D29" i="51"/>
  <c r="D28" i="51"/>
  <c r="D27" i="51"/>
  <c r="D26" i="51"/>
  <c r="D25" i="51"/>
  <c r="D24" i="51"/>
  <c r="D23" i="51"/>
  <c r="D22" i="51"/>
  <c r="D21" i="51"/>
  <c r="D20" i="51"/>
  <c r="D19" i="51"/>
  <c r="D18" i="51"/>
  <c r="D21" i="50"/>
  <c r="D20" i="50"/>
  <c r="D19" i="50"/>
  <c r="D18" i="50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25" i="48"/>
  <c r="D24" i="48"/>
  <c r="D23" i="48"/>
  <c r="D22" i="48"/>
  <c r="D21" i="48"/>
  <c r="D20" i="48"/>
  <c r="G39" i="53"/>
  <c r="G90" i="48" s="1"/>
  <c r="D19" i="48"/>
  <c r="D24" i="46"/>
  <c r="D23" i="46"/>
  <c r="D22" i="46"/>
  <c r="D21" i="46"/>
  <c r="D20" i="46"/>
  <c r="D19" i="46"/>
  <c r="D18" i="46"/>
  <c r="D17" i="46"/>
  <c r="D23" i="45"/>
  <c r="D22" i="45"/>
  <c r="D21" i="45"/>
  <c r="D20" i="45"/>
  <c r="D19" i="45"/>
  <c r="D18" i="45"/>
  <c r="D17" i="45"/>
  <c r="D16" i="45"/>
  <c r="D15" i="45"/>
  <c r="D14" i="45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O83" i="53"/>
  <c r="O112" i="52" s="1"/>
  <c r="K83" i="53"/>
  <c r="K112" i="52" s="1"/>
  <c r="N82" i="53"/>
  <c r="N111" i="52" s="1"/>
  <c r="L82" i="53"/>
  <c r="L111" i="52" s="1"/>
  <c r="H82" i="53"/>
  <c r="H111" i="52" s="1"/>
  <c r="G82" i="53"/>
  <c r="G111" i="52" s="1"/>
  <c r="D82" i="53"/>
  <c r="D111" i="52" s="1"/>
  <c r="I81" i="53"/>
  <c r="I110" i="52" s="1"/>
  <c r="F81" i="53"/>
  <c r="F110" i="52" s="1"/>
  <c r="E81" i="53"/>
  <c r="E110" i="52" s="1"/>
  <c r="J80" i="53"/>
  <c r="J109" i="52" s="1"/>
  <c r="F80" i="53"/>
  <c r="F109" i="52" s="1"/>
  <c r="O79" i="53"/>
  <c r="O108" i="52" s="1"/>
  <c r="K79" i="53"/>
  <c r="K108" i="52" s="1"/>
  <c r="J79" i="53"/>
  <c r="J108" i="52" s="1"/>
  <c r="G79" i="53"/>
  <c r="G108" i="52" s="1"/>
  <c r="C79" i="53"/>
  <c r="C108" i="52" s="1"/>
  <c r="N78" i="53"/>
  <c r="N107" i="52" s="1"/>
  <c r="L78" i="53"/>
  <c r="L107" i="52" s="1"/>
  <c r="K78" i="53"/>
  <c r="K107" i="52" s="1"/>
  <c r="H78" i="53"/>
  <c r="H107" i="52" s="1"/>
  <c r="F78" i="53"/>
  <c r="F107" i="52" s="1"/>
  <c r="D78" i="53"/>
  <c r="D107" i="52" s="1"/>
  <c r="M77" i="53"/>
  <c r="M106" i="52" s="1"/>
  <c r="J77" i="53"/>
  <c r="J106" i="52" s="1"/>
  <c r="I77" i="53"/>
  <c r="I106" i="52" s="1"/>
  <c r="F77" i="53"/>
  <c r="F106" i="52" s="1"/>
  <c r="O76" i="53"/>
  <c r="O105" i="52" s="1"/>
  <c r="K76" i="53"/>
  <c r="K105" i="52" s="1"/>
  <c r="J76" i="53"/>
  <c r="J105" i="52" s="1"/>
  <c r="C76" i="53"/>
  <c r="C105" i="52" s="1"/>
  <c r="N75" i="53"/>
  <c r="N104" i="52" s="1"/>
  <c r="L75" i="53"/>
  <c r="L104" i="52" s="1"/>
  <c r="K75" i="53"/>
  <c r="K104" i="52" s="1"/>
  <c r="J75" i="53"/>
  <c r="J104" i="52" s="1"/>
  <c r="H75" i="53"/>
  <c r="H104" i="52" s="1"/>
  <c r="G75" i="53"/>
  <c r="G104" i="52" s="1"/>
  <c r="F75" i="53"/>
  <c r="F104" i="52" s="1"/>
  <c r="D75" i="53"/>
  <c r="D104" i="52" s="1"/>
  <c r="N74" i="53"/>
  <c r="N121" i="51" s="1"/>
  <c r="M74" i="53"/>
  <c r="M121" i="51" s="1"/>
  <c r="J74" i="53"/>
  <c r="J121" i="51" s="1"/>
  <c r="I74" i="53"/>
  <c r="I121" i="51" s="1"/>
  <c r="F74" i="53"/>
  <c r="F121" i="51" s="1"/>
  <c r="E74" i="53"/>
  <c r="E121" i="51" s="1"/>
  <c r="N73" i="53"/>
  <c r="N120" i="51" s="1"/>
  <c r="J73" i="53"/>
  <c r="J120" i="51" s="1"/>
  <c r="F73" i="53"/>
  <c r="F120" i="51" s="1"/>
  <c r="O72" i="53"/>
  <c r="O119" i="51" s="1"/>
  <c r="N72" i="53"/>
  <c r="N119" i="51" s="1"/>
  <c r="K72" i="53"/>
  <c r="K119" i="51" s="1"/>
  <c r="G72" i="53"/>
  <c r="G119" i="51" s="1"/>
  <c r="C72" i="53"/>
  <c r="C119" i="51" s="1"/>
  <c r="O71" i="53"/>
  <c r="O118" i="51" s="1"/>
  <c r="N71" i="53"/>
  <c r="N118" i="51" s="1"/>
  <c r="L71" i="53"/>
  <c r="L118" i="51" s="1"/>
  <c r="K71" i="53"/>
  <c r="K118" i="51" s="1"/>
  <c r="J71" i="53"/>
  <c r="J118" i="51" s="1"/>
  <c r="H71" i="53"/>
  <c r="H118" i="51" s="1"/>
  <c r="F71" i="53"/>
  <c r="F118" i="51" s="1"/>
  <c r="D71" i="53"/>
  <c r="D118" i="51" s="1"/>
  <c r="C71" i="53"/>
  <c r="C118" i="51" s="1"/>
  <c r="N70" i="53"/>
  <c r="N117" i="51" s="1"/>
  <c r="J70" i="53"/>
  <c r="J117" i="51" s="1"/>
  <c r="F70" i="53"/>
  <c r="F117" i="51" s="1"/>
  <c r="N69" i="53"/>
  <c r="N116" i="51" s="1"/>
  <c r="K69" i="53"/>
  <c r="K116" i="51" s="1"/>
  <c r="G69" i="53"/>
  <c r="G116" i="51" s="1"/>
  <c r="O68" i="53"/>
  <c r="O115" i="51" s="1"/>
  <c r="N68" i="53"/>
  <c r="N115" i="51" s="1"/>
  <c r="L68" i="53"/>
  <c r="L115" i="51" s="1"/>
  <c r="H68" i="53"/>
  <c r="H115" i="51" s="1"/>
  <c r="F68" i="53"/>
  <c r="F115" i="51" s="1"/>
  <c r="D68" i="53"/>
  <c r="D115" i="51" s="1"/>
  <c r="C68" i="53"/>
  <c r="C115" i="51" s="1"/>
  <c r="N67" i="53"/>
  <c r="N114" i="51" s="1"/>
  <c r="M67" i="53"/>
  <c r="M114" i="51" s="1"/>
  <c r="J67" i="53"/>
  <c r="J114" i="51" s="1"/>
  <c r="F67" i="53"/>
  <c r="F114" i="51" s="1"/>
  <c r="E67" i="53"/>
  <c r="E114" i="51" s="1"/>
  <c r="N66" i="53"/>
  <c r="N113" i="51" s="1"/>
  <c r="J66" i="53"/>
  <c r="J113" i="51" s="1"/>
  <c r="O65" i="53"/>
  <c r="O112" i="51" s="1"/>
  <c r="G65" i="53"/>
  <c r="G112" i="51" s="1"/>
  <c r="M64" i="53"/>
  <c r="M111" i="51" s="1"/>
  <c r="I64" i="53"/>
  <c r="I111" i="51" s="1"/>
  <c r="E64" i="53"/>
  <c r="E111" i="51" s="1"/>
  <c r="N63" i="53"/>
  <c r="N110" i="51" s="1"/>
  <c r="F63" i="53"/>
  <c r="F110" i="51" s="1"/>
  <c r="O62" i="53"/>
  <c r="O99" i="50" s="1"/>
  <c r="N62" i="53"/>
  <c r="N99" i="50" s="1"/>
  <c r="K62" i="53"/>
  <c r="K99" i="50" s="1"/>
  <c r="J62" i="53"/>
  <c r="J99" i="50" s="1"/>
  <c r="G62" i="53"/>
  <c r="G99" i="50" s="1"/>
  <c r="C62" i="53"/>
  <c r="C99" i="50" s="1"/>
  <c r="L61" i="53"/>
  <c r="L98" i="50" s="1"/>
  <c r="D61" i="53"/>
  <c r="D98" i="50" s="1"/>
  <c r="M60" i="53"/>
  <c r="M97" i="50" s="1"/>
  <c r="I60" i="53"/>
  <c r="I97" i="50" s="1"/>
  <c r="E60" i="53"/>
  <c r="E97" i="50" s="1"/>
  <c r="D60" i="53"/>
  <c r="D97" i="50" s="1"/>
  <c r="N59" i="53"/>
  <c r="N96" i="50" s="1"/>
  <c r="J59" i="53"/>
  <c r="J96" i="50" s="1"/>
  <c r="F59" i="53"/>
  <c r="F96" i="50" s="1"/>
  <c r="O58" i="53"/>
  <c r="O113" i="49" s="1"/>
  <c r="N58" i="53"/>
  <c r="N113" i="49" s="1"/>
  <c r="K58" i="53"/>
  <c r="K113" i="49" s="1"/>
  <c r="G58" i="53"/>
  <c r="G113" i="49" s="1"/>
  <c r="F58" i="53"/>
  <c r="F113" i="49" s="1"/>
  <c r="C58" i="53"/>
  <c r="C113" i="49" s="1"/>
  <c r="H57" i="53"/>
  <c r="H112" i="49" s="1"/>
  <c r="D57" i="53"/>
  <c r="D112" i="49" s="1"/>
  <c r="M56" i="53"/>
  <c r="M111" i="49" s="1"/>
  <c r="L56" i="53"/>
  <c r="L111" i="49" s="1"/>
  <c r="I56" i="53"/>
  <c r="I111" i="49" s="1"/>
  <c r="H56" i="53"/>
  <c r="H111" i="49" s="1"/>
  <c r="E56" i="53"/>
  <c r="E111" i="49" s="1"/>
  <c r="N55" i="53"/>
  <c r="N110" i="49" s="1"/>
  <c r="J55" i="53"/>
  <c r="J110" i="49" s="1"/>
  <c r="F55" i="53"/>
  <c r="F110" i="49" s="1"/>
  <c r="O54" i="53"/>
  <c r="O109" i="49" s="1"/>
  <c r="L54" i="53"/>
  <c r="L109" i="49" s="1"/>
  <c r="K54" i="53"/>
  <c r="K109" i="49" s="1"/>
  <c r="J54" i="53"/>
  <c r="J109" i="49" s="1"/>
  <c r="H54" i="53"/>
  <c r="H109" i="49" s="1"/>
  <c r="G54" i="53"/>
  <c r="G109" i="49" s="1"/>
  <c r="D54" i="53"/>
  <c r="D109" i="49" s="1"/>
  <c r="C54" i="53"/>
  <c r="C109" i="49" s="1"/>
  <c r="L53" i="53"/>
  <c r="L108" i="49" s="1"/>
  <c r="H53" i="53"/>
  <c r="H108" i="49" s="1"/>
  <c r="N52" i="53"/>
  <c r="N107" i="49" s="1"/>
  <c r="M52" i="53"/>
  <c r="M107" i="49" s="1"/>
  <c r="L52" i="53"/>
  <c r="L107" i="49" s="1"/>
  <c r="I52" i="53"/>
  <c r="I107" i="49" s="1"/>
  <c r="F52" i="53"/>
  <c r="F107" i="49" s="1"/>
  <c r="E52" i="53"/>
  <c r="E107" i="49" s="1"/>
  <c r="D52" i="53"/>
  <c r="D107" i="49" s="1"/>
  <c r="N51" i="53"/>
  <c r="N106" i="49" s="1"/>
  <c r="J51" i="53"/>
  <c r="J106" i="49" s="1"/>
  <c r="F51" i="53"/>
  <c r="F106" i="49" s="1"/>
  <c r="O50" i="53"/>
  <c r="O105" i="49" s="1"/>
  <c r="N50" i="53"/>
  <c r="N105" i="49" s="1"/>
  <c r="L50" i="53"/>
  <c r="L105" i="49" s="1"/>
  <c r="K50" i="53"/>
  <c r="K105" i="49" s="1"/>
  <c r="H50" i="53"/>
  <c r="H105" i="49" s="1"/>
  <c r="G50" i="53"/>
  <c r="G105" i="49" s="1"/>
  <c r="D50" i="53"/>
  <c r="D105" i="49" s="1"/>
  <c r="C50" i="53"/>
  <c r="C105" i="49" s="1"/>
  <c r="L49" i="53"/>
  <c r="L104" i="49" s="1"/>
  <c r="D49" i="53"/>
  <c r="D104" i="49" s="1"/>
  <c r="M48" i="53"/>
  <c r="M103" i="49" s="1"/>
  <c r="J48" i="53"/>
  <c r="J103" i="49" s="1"/>
  <c r="I48" i="53"/>
  <c r="I103" i="49" s="1"/>
  <c r="H48" i="53"/>
  <c r="H103" i="49" s="1"/>
  <c r="F48" i="53"/>
  <c r="F103" i="49" s="1"/>
  <c r="E48" i="53"/>
  <c r="E103" i="49" s="1"/>
  <c r="D48" i="53"/>
  <c r="D103" i="49" s="1"/>
  <c r="N47" i="53"/>
  <c r="N102" i="49" s="1"/>
  <c r="J47" i="53"/>
  <c r="J102" i="49" s="1"/>
  <c r="F47" i="53"/>
  <c r="F102" i="49" s="1"/>
  <c r="O46" i="53"/>
  <c r="O101" i="49" s="1"/>
  <c r="L46" i="53"/>
  <c r="L101" i="49" s="1"/>
  <c r="K46" i="53"/>
  <c r="K101" i="49" s="1"/>
  <c r="H46" i="53"/>
  <c r="H101" i="49" s="1"/>
  <c r="G46" i="53"/>
  <c r="G101" i="49" s="1"/>
  <c r="F46" i="53"/>
  <c r="F101" i="49" s="1"/>
  <c r="D46" i="53"/>
  <c r="D101" i="49" s="1"/>
  <c r="C46" i="53"/>
  <c r="C101" i="49" s="1"/>
  <c r="D45" i="53"/>
  <c r="D100" i="49" s="1"/>
  <c r="N44" i="53"/>
  <c r="N95" i="48" s="1"/>
  <c r="M44" i="53"/>
  <c r="M95" i="48" s="1"/>
  <c r="L44" i="53"/>
  <c r="L95" i="48" s="1"/>
  <c r="J44" i="53"/>
  <c r="J95" i="48" s="1"/>
  <c r="I44" i="53"/>
  <c r="I95" i="48" s="1"/>
  <c r="H44" i="53"/>
  <c r="H95" i="48" s="1"/>
  <c r="E44" i="53"/>
  <c r="E95" i="48" s="1"/>
  <c r="N43" i="53"/>
  <c r="N94" i="48" s="1"/>
  <c r="I43" i="53"/>
  <c r="I94" i="48" s="1"/>
  <c r="H43" i="53"/>
  <c r="H94" i="48" s="1"/>
  <c r="O42" i="53"/>
  <c r="O93" i="48" s="1"/>
  <c r="M42" i="53"/>
  <c r="M93" i="48" s="1"/>
  <c r="L42" i="53"/>
  <c r="L93" i="48" s="1"/>
  <c r="J42" i="53"/>
  <c r="J93" i="48" s="1"/>
  <c r="I42" i="53"/>
  <c r="I93" i="48" s="1"/>
  <c r="H42" i="53"/>
  <c r="H93" i="48" s="1"/>
  <c r="G42" i="53"/>
  <c r="G93" i="48" s="1"/>
  <c r="E42" i="53"/>
  <c r="E93" i="48" s="1"/>
  <c r="D42" i="53"/>
  <c r="D93" i="48" s="1"/>
  <c r="C42" i="53"/>
  <c r="C93" i="48" s="1"/>
  <c r="N41" i="53"/>
  <c r="N92" i="48" s="1"/>
  <c r="K41" i="53"/>
  <c r="K92" i="48" s="1"/>
  <c r="G41" i="53"/>
  <c r="G92" i="48" s="1"/>
  <c r="F41" i="53"/>
  <c r="F92" i="48" s="1"/>
  <c r="O40" i="53"/>
  <c r="O91" i="48" s="1"/>
  <c r="N40" i="53"/>
  <c r="N91" i="48" s="1"/>
  <c r="L40" i="53"/>
  <c r="L91" i="48" s="1"/>
  <c r="K40" i="53"/>
  <c r="K91" i="48" s="1"/>
  <c r="J40" i="53"/>
  <c r="J91" i="48" s="1"/>
  <c r="H40" i="53"/>
  <c r="H91" i="48" s="1"/>
  <c r="G40" i="53"/>
  <c r="G91" i="48" s="1"/>
  <c r="F40" i="53"/>
  <c r="F91" i="48" s="1"/>
  <c r="C40" i="53"/>
  <c r="C91" i="48" s="1"/>
  <c r="O39" i="53"/>
  <c r="O90" i="48" s="1"/>
  <c r="L39" i="53"/>
  <c r="L90" i="48" s="1"/>
  <c r="J39" i="53"/>
  <c r="J90" i="48" s="1"/>
  <c r="H39" i="53"/>
  <c r="H90" i="48" s="1"/>
  <c r="O38" i="53"/>
  <c r="O89" i="48" s="1"/>
  <c r="N38" i="53"/>
  <c r="N89" i="48" s="1"/>
  <c r="J38" i="53"/>
  <c r="J89" i="48" s="1"/>
  <c r="G38" i="53"/>
  <c r="G89" i="48" s="1"/>
  <c r="D38" i="53"/>
  <c r="D89" i="48" s="1"/>
  <c r="C38" i="53"/>
  <c r="C89" i="48" s="1"/>
  <c r="O37" i="53"/>
  <c r="O101" i="46" s="1"/>
  <c r="N37" i="53"/>
  <c r="N101" i="46" s="1"/>
  <c r="N36" i="53"/>
  <c r="N100" i="46" s="1"/>
  <c r="K36" i="53"/>
  <c r="K100" i="46" s="1"/>
  <c r="J36" i="53"/>
  <c r="J100" i="46" s="1"/>
  <c r="G36" i="53"/>
  <c r="G100" i="46" s="1"/>
  <c r="F36" i="53"/>
  <c r="F100" i="46" s="1"/>
  <c r="C36" i="53"/>
  <c r="C100" i="46" s="1"/>
  <c r="O35" i="53"/>
  <c r="O99" i="46" s="1"/>
  <c r="N35" i="53"/>
  <c r="N99" i="46" s="1"/>
  <c r="L35" i="53"/>
  <c r="L99" i="46" s="1"/>
  <c r="K35" i="53"/>
  <c r="K99" i="46" s="1"/>
  <c r="J35" i="53"/>
  <c r="J99" i="46" s="1"/>
  <c r="G35" i="53"/>
  <c r="G99" i="46" s="1"/>
  <c r="F35" i="53"/>
  <c r="F99" i="46" s="1"/>
  <c r="C35" i="53"/>
  <c r="C99" i="46" s="1"/>
  <c r="M34" i="53"/>
  <c r="M98" i="46" s="1"/>
  <c r="J34" i="53"/>
  <c r="J98" i="46" s="1"/>
  <c r="I34" i="53"/>
  <c r="I98" i="46" s="1"/>
  <c r="O33" i="53"/>
  <c r="O97" i="46" s="1"/>
  <c r="N33" i="53"/>
  <c r="N97" i="46" s="1"/>
  <c r="K33" i="53"/>
  <c r="K97" i="46" s="1"/>
  <c r="J33" i="53"/>
  <c r="J97" i="46" s="1"/>
  <c r="G33" i="53"/>
  <c r="G97" i="46" s="1"/>
  <c r="O32" i="53"/>
  <c r="O96" i="46" s="1"/>
  <c r="O31" i="53"/>
  <c r="O95" i="46" s="1"/>
  <c r="N31" i="53"/>
  <c r="N95" i="46" s="1"/>
  <c r="L31" i="53"/>
  <c r="L95" i="46" s="1"/>
  <c r="J31" i="53"/>
  <c r="J95" i="46" s="1"/>
  <c r="O30" i="53"/>
  <c r="O94" i="46" s="1"/>
  <c r="L30" i="53"/>
  <c r="L94" i="46" s="1"/>
  <c r="K30" i="53"/>
  <c r="K94" i="46" s="1"/>
  <c r="G30" i="53"/>
  <c r="G94" i="46" s="1"/>
  <c r="D30" i="53"/>
  <c r="D94" i="46" s="1"/>
  <c r="C30" i="53"/>
  <c r="C94" i="46" s="1"/>
  <c r="O29" i="53"/>
  <c r="O101" i="45" s="1"/>
  <c r="L29" i="53"/>
  <c r="L101" i="45" s="1"/>
  <c r="K29" i="53"/>
  <c r="K101" i="45" s="1"/>
  <c r="H29" i="53"/>
  <c r="H101" i="45" s="1"/>
  <c r="G29" i="53"/>
  <c r="G101" i="45" s="1"/>
  <c r="D29" i="53"/>
  <c r="D101" i="45" s="1"/>
  <c r="C29" i="53"/>
  <c r="C101" i="45" s="1"/>
  <c r="O28" i="53"/>
  <c r="O100" i="45" s="1"/>
  <c r="M28" i="53"/>
  <c r="M100" i="45" s="1"/>
  <c r="L28" i="53"/>
  <c r="L100" i="45" s="1"/>
  <c r="K28" i="53"/>
  <c r="K100" i="45" s="1"/>
  <c r="I28" i="53"/>
  <c r="I100" i="45" s="1"/>
  <c r="H28" i="53"/>
  <c r="H100" i="45" s="1"/>
  <c r="G28" i="53"/>
  <c r="G100" i="45" s="1"/>
  <c r="E28" i="53"/>
  <c r="E100" i="45" s="1"/>
  <c r="C28" i="53"/>
  <c r="C100" i="45" s="1"/>
  <c r="O27" i="53"/>
  <c r="O99" i="45" s="1"/>
  <c r="N27" i="53"/>
  <c r="N99" i="45" s="1"/>
  <c r="K27" i="53"/>
  <c r="K99" i="45" s="1"/>
  <c r="G27" i="53"/>
  <c r="G99" i="45" s="1"/>
  <c r="C27" i="53"/>
  <c r="C99" i="45" s="1"/>
  <c r="O26" i="53"/>
  <c r="O98" i="45" s="1"/>
  <c r="K26" i="53"/>
  <c r="K98" i="45" s="1"/>
  <c r="H26" i="53"/>
  <c r="H98" i="45" s="1"/>
  <c r="G26" i="53"/>
  <c r="G98" i="45" s="1"/>
  <c r="D26" i="53"/>
  <c r="D98" i="45" s="1"/>
  <c r="C26" i="53"/>
  <c r="C98" i="45" s="1"/>
  <c r="O25" i="53"/>
  <c r="O97" i="45" s="1"/>
  <c r="L25" i="53"/>
  <c r="L97" i="45" s="1"/>
  <c r="K25" i="53"/>
  <c r="K97" i="45" s="1"/>
  <c r="H25" i="53"/>
  <c r="H97" i="45" s="1"/>
  <c r="G25" i="53"/>
  <c r="G97" i="45" s="1"/>
  <c r="D25" i="53"/>
  <c r="D97" i="45" s="1"/>
  <c r="C25" i="53"/>
  <c r="C97" i="45" s="1"/>
  <c r="O24" i="53"/>
  <c r="O96" i="45" s="1"/>
  <c r="M24" i="53"/>
  <c r="M96" i="45" s="1"/>
  <c r="L24" i="53"/>
  <c r="L96" i="45" s="1"/>
  <c r="K24" i="53"/>
  <c r="K96" i="45" s="1"/>
  <c r="I24" i="53"/>
  <c r="I96" i="45" s="1"/>
  <c r="G24" i="53"/>
  <c r="G96" i="45" s="1"/>
  <c r="E24" i="53"/>
  <c r="E96" i="45" s="1"/>
  <c r="D24" i="53"/>
  <c r="D96" i="45" s="1"/>
  <c r="C24" i="53"/>
  <c r="C96" i="45" s="1"/>
  <c r="O23" i="53"/>
  <c r="O95" i="45" s="1"/>
  <c r="M23" i="53"/>
  <c r="M95" i="45" s="1"/>
  <c r="L23" i="53"/>
  <c r="L95" i="45" s="1"/>
  <c r="K23" i="53"/>
  <c r="K95" i="45" s="1"/>
  <c r="I23" i="53"/>
  <c r="I95" i="45" s="1"/>
  <c r="H23" i="53"/>
  <c r="H95" i="45" s="1"/>
  <c r="G23" i="53"/>
  <c r="G95" i="45" s="1"/>
  <c r="F23" i="53"/>
  <c r="F95" i="45" s="1"/>
  <c r="E23" i="53"/>
  <c r="E95" i="45" s="1"/>
  <c r="D23" i="53"/>
  <c r="D95" i="45" s="1"/>
  <c r="C23" i="53"/>
  <c r="C95" i="45" s="1"/>
  <c r="Q22" i="53"/>
  <c r="Q94" i="45" s="1"/>
  <c r="O22" i="53"/>
  <c r="O94" i="45" s="1"/>
  <c r="L22" i="53"/>
  <c r="L94" i="45" s="1"/>
  <c r="K22" i="53"/>
  <c r="K94" i="45" s="1"/>
  <c r="H22" i="53"/>
  <c r="H94" i="45" s="1"/>
  <c r="G22" i="53"/>
  <c r="G94" i="45" s="1"/>
  <c r="C22" i="53"/>
  <c r="C94" i="45" s="1"/>
  <c r="O21" i="53"/>
  <c r="O93" i="45" s="1"/>
  <c r="M21" i="53"/>
  <c r="M93" i="45" s="1"/>
  <c r="L21" i="53"/>
  <c r="L93" i="45" s="1"/>
  <c r="K21" i="53"/>
  <c r="K93" i="45" s="1"/>
  <c r="I21" i="53"/>
  <c r="I93" i="45" s="1"/>
  <c r="H21" i="53"/>
  <c r="H93" i="45" s="1"/>
  <c r="G21" i="53"/>
  <c r="G93" i="45" s="1"/>
  <c r="E21" i="53"/>
  <c r="E93" i="45" s="1"/>
  <c r="O20" i="53"/>
  <c r="O92" i="45" s="1"/>
  <c r="N20" i="53"/>
  <c r="N92" i="45" s="1"/>
  <c r="M20" i="53"/>
  <c r="M92" i="45" s="1"/>
  <c r="K20" i="53"/>
  <c r="K92" i="45" s="1"/>
  <c r="J20" i="53"/>
  <c r="J92" i="45" s="1"/>
  <c r="I20" i="53"/>
  <c r="I92" i="45" s="1"/>
  <c r="G20" i="53"/>
  <c r="G92" i="45" s="1"/>
  <c r="E20" i="53"/>
  <c r="E92" i="45" s="1"/>
  <c r="C20" i="53"/>
  <c r="C92" i="45" s="1"/>
  <c r="O19" i="53"/>
  <c r="O144" i="44" s="1"/>
  <c r="K19" i="53"/>
  <c r="K144" i="44" s="1"/>
  <c r="J19" i="53"/>
  <c r="J144" i="44" s="1"/>
  <c r="F19" i="53"/>
  <c r="F144" i="44" s="1"/>
  <c r="C19" i="53"/>
  <c r="C144" i="44" s="1"/>
  <c r="O18" i="53"/>
  <c r="O143" i="44" s="1"/>
  <c r="M18" i="53"/>
  <c r="M143" i="44" s="1"/>
  <c r="L18" i="53"/>
  <c r="L143" i="44" s="1"/>
  <c r="K18" i="53"/>
  <c r="K143" i="44" s="1"/>
  <c r="G18" i="53"/>
  <c r="G143" i="44" s="1"/>
  <c r="E18" i="53"/>
  <c r="E143" i="44" s="1"/>
  <c r="D18" i="53"/>
  <c r="D143" i="44" s="1"/>
  <c r="C18" i="53"/>
  <c r="C143" i="44" s="1"/>
  <c r="O17" i="53"/>
  <c r="O142" i="44" s="1"/>
  <c r="M17" i="53"/>
  <c r="M142" i="44" s="1"/>
  <c r="L17" i="53"/>
  <c r="L142" i="44" s="1"/>
  <c r="K17" i="53"/>
  <c r="K142" i="44" s="1"/>
  <c r="I17" i="53"/>
  <c r="I142" i="44" s="1"/>
  <c r="H17" i="53"/>
  <c r="H142" i="44" s="1"/>
  <c r="G17" i="53"/>
  <c r="G142" i="44" s="1"/>
  <c r="E17" i="53"/>
  <c r="E142" i="44" s="1"/>
  <c r="D17" i="53"/>
  <c r="D142" i="44" s="1"/>
  <c r="C17" i="53"/>
  <c r="C142" i="44" s="1"/>
  <c r="O16" i="53"/>
  <c r="O141" i="44" s="1"/>
  <c r="N16" i="53"/>
  <c r="N141" i="44" s="1"/>
  <c r="M16" i="53"/>
  <c r="M141" i="44" s="1"/>
  <c r="K16" i="53"/>
  <c r="K141" i="44" s="1"/>
  <c r="I16" i="53"/>
  <c r="I141" i="44" s="1"/>
  <c r="G16" i="53"/>
  <c r="G141" i="44" s="1"/>
  <c r="F16" i="53"/>
  <c r="F141" i="44" s="1"/>
  <c r="E16" i="53"/>
  <c r="E141" i="44" s="1"/>
  <c r="C16" i="53"/>
  <c r="C141" i="44" s="1"/>
  <c r="O15" i="53"/>
  <c r="O140" i="44" s="1"/>
  <c r="N15" i="53"/>
  <c r="N140" i="44" s="1"/>
  <c r="K15" i="53"/>
  <c r="K140" i="44" s="1"/>
  <c r="J15" i="53"/>
  <c r="J140" i="44" s="1"/>
  <c r="G15" i="53"/>
  <c r="G140" i="44" s="1"/>
  <c r="C15" i="53"/>
  <c r="C140" i="44" s="1"/>
  <c r="O14" i="53"/>
  <c r="O139" i="44" s="1"/>
  <c r="M14" i="53"/>
  <c r="M139" i="44" s="1"/>
  <c r="K14" i="53"/>
  <c r="K139" i="44" s="1"/>
  <c r="I14" i="53"/>
  <c r="I139" i="44" s="1"/>
  <c r="H14" i="53"/>
  <c r="H139" i="44" s="1"/>
  <c r="G14" i="53"/>
  <c r="G139" i="44" s="1"/>
  <c r="E14" i="53"/>
  <c r="E139" i="44" s="1"/>
  <c r="D14" i="53"/>
  <c r="D139" i="44" s="1"/>
  <c r="C14" i="53"/>
  <c r="C139" i="44" s="1"/>
  <c r="O13" i="53"/>
  <c r="O138" i="44" s="1"/>
  <c r="M13" i="53"/>
  <c r="M138" i="44" s="1"/>
  <c r="L13" i="53"/>
  <c r="L138" i="44" s="1"/>
  <c r="K13" i="53"/>
  <c r="K138" i="44" s="1"/>
  <c r="I13" i="53"/>
  <c r="I138" i="44" s="1"/>
  <c r="H13" i="53"/>
  <c r="H138" i="44" s="1"/>
  <c r="G13" i="53"/>
  <c r="G138" i="44" s="1"/>
  <c r="E13" i="53"/>
  <c r="E138" i="44" s="1"/>
  <c r="D13" i="53"/>
  <c r="D138" i="44" s="1"/>
  <c r="C13" i="53"/>
  <c r="C138" i="44" s="1"/>
  <c r="O12" i="53"/>
  <c r="O137" i="44" s="1"/>
  <c r="N12" i="53"/>
  <c r="N137" i="44" s="1"/>
  <c r="M12" i="53"/>
  <c r="M137" i="44" s="1"/>
  <c r="K12" i="53"/>
  <c r="K137" i="44" s="1"/>
  <c r="J12" i="53"/>
  <c r="J137" i="44" s="1"/>
  <c r="I12" i="53"/>
  <c r="I137" i="44" s="1"/>
  <c r="G12" i="53"/>
  <c r="G137" i="44" s="1"/>
  <c r="E12" i="53"/>
  <c r="E137" i="44" s="1"/>
  <c r="C12" i="53"/>
  <c r="C137" i="44" s="1"/>
  <c r="O11" i="53"/>
  <c r="O136" i="44" s="1"/>
  <c r="N11" i="53"/>
  <c r="N136" i="44" s="1"/>
  <c r="K11" i="53"/>
  <c r="K136" i="44" s="1"/>
  <c r="G11" i="53"/>
  <c r="G136" i="44" s="1"/>
  <c r="F11" i="53"/>
  <c r="F136" i="44" s="1"/>
  <c r="C11" i="53"/>
  <c r="C136" i="44" s="1"/>
  <c r="O10" i="53"/>
  <c r="O135" i="44" s="1"/>
  <c r="M10" i="53"/>
  <c r="M135" i="44" s="1"/>
  <c r="L10" i="53"/>
  <c r="L135" i="44" s="1"/>
  <c r="K10" i="53"/>
  <c r="K135" i="44" s="1"/>
  <c r="I10" i="53"/>
  <c r="I135" i="44" s="1"/>
  <c r="H10" i="53"/>
  <c r="H135" i="44" s="1"/>
  <c r="G10" i="53"/>
  <c r="G135" i="44" s="1"/>
  <c r="C10" i="53"/>
  <c r="C135" i="44" s="1"/>
  <c r="O9" i="53"/>
  <c r="O134" i="44" s="1"/>
  <c r="N9" i="53"/>
  <c r="N134" i="44" s="1"/>
  <c r="M9" i="53"/>
  <c r="M134" i="44" s="1"/>
  <c r="K9" i="53"/>
  <c r="K134" i="44" s="1"/>
  <c r="J9" i="53"/>
  <c r="J134" i="44" s="1"/>
  <c r="I9" i="53"/>
  <c r="I134" i="44" s="1"/>
  <c r="G9" i="53"/>
  <c r="G134" i="44" s="1"/>
  <c r="E9" i="53"/>
  <c r="E134" i="44" s="1"/>
  <c r="C9" i="53"/>
  <c r="C134" i="44" s="1"/>
  <c r="O8" i="53"/>
  <c r="O133" i="44" s="1"/>
  <c r="N8" i="53"/>
  <c r="N133" i="44" s="1"/>
  <c r="K8" i="53"/>
  <c r="K133" i="44" s="1"/>
  <c r="G8" i="53"/>
  <c r="G133" i="44" s="1"/>
  <c r="F8" i="53"/>
  <c r="F133" i="44" s="1"/>
  <c r="C8" i="53"/>
  <c r="C133" i="44" s="1"/>
  <c r="O7" i="53"/>
  <c r="O132" i="44" s="1"/>
  <c r="M7" i="53"/>
  <c r="M132" i="44" s="1"/>
  <c r="L7" i="53"/>
  <c r="L132" i="44" s="1"/>
  <c r="K7" i="53"/>
  <c r="K132" i="44" s="1"/>
  <c r="I7" i="53"/>
  <c r="I132" i="44" s="1"/>
  <c r="H7" i="53"/>
  <c r="H132" i="44" s="1"/>
  <c r="G7" i="53"/>
  <c r="G132" i="44" s="1"/>
  <c r="D7" i="53"/>
  <c r="D132" i="44" s="1"/>
  <c r="C7" i="53"/>
  <c r="C132" i="44" s="1"/>
  <c r="O6" i="53"/>
  <c r="O131" i="44" s="1"/>
  <c r="M6" i="53"/>
  <c r="M131" i="44" s="1"/>
  <c r="L6" i="53"/>
  <c r="L131" i="44" s="1"/>
  <c r="K6" i="53"/>
  <c r="K131" i="44" s="1"/>
  <c r="G6" i="53"/>
  <c r="G131" i="44" s="1"/>
  <c r="E6" i="53"/>
  <c r="E131" i="44" s="1"/>
  <c r="D6" i="53"/>
  <c r="D131" i="44" s="1"/>
  <c r="C6" i="53"/>
  <c r="C131" i="44" s="1"/>
  <c r="O5" i="53"/>
  <c r="O130" i="44" s="1"/>
  <c r="N5" i="53"/>
  <c r="N130" i="44" s="1"/>
  <c r="M5" i="53"/>
  <c r="M130" i="44" s="1"/>
  <c r="K5" i="53"/>
  <c r="K130" i="44" s="1"/>
  <c r="I5" i="53"/>
  <c r="I130" i="44" s="1"/>
  <c r="G5" i="53"/>
  <c r="G130" i="44" s="1"/>
  <c r="F5" i="53"/>
  <c r="F130" i="44" s="1"/>
  <c r="E5" i="53"/>
  <c r="E130" i="44" s="1"/>
  <c r="C5" i="53"/>
  <c r="C130" i="44" s="1"/>
  <c r="O4" i="53"/>
  <c r="O129" i="44" s="1"/>
  <c r="K4" i="53"/>
  <c r="K129" i="44" s="1"/>
  <c r="J4" i="53"/>
  <c r="J129" i="44" s="1"/>
  <c r="G4" i="53"/>
  <c r="G129" i="44" s="1"/>
  <c r="F4" i="53"/>
  <c r="F129" i="44" s="1"/>
  <c r="C4" i="53"/>
  <c r="C129" i="44" s="1"/>
  <c r="O3" i="53"/>
  <c r="O128" i="44" s="1"/>
  <c r="M3" i="53"/>
  <c r="M128" i="44" s="1"/>
  <c r="L3" i="53"/>
  <c r="L128" i="44" s="1"/>
  <c r="K3" i="53"/>
  <c r="K128" i="44" s="1"/>
  <c r="I3" i="53"/>
  <c r="I128" i="44" s="1"/>
  <c r="H3" i="53"/>
  <c r="H128" i="44" s="1"/>
  <c r="G3" i="53"/>
  <c r="G128" i="44" s="1"/>
  <c r="E3" i="53"/>
  <c r="E128" i="44" s="1"/>
  <c r="D3" i="53"/>
  <c r="D128" i="44" s="1"/>
  <c r="C3" i="53"/>
  <c r="C128" i="44" s="1"/>
  <c r="O2" i="53"/>
  <c r="O127" i="44" s="1"/>
  <c r="K2" i="53"/>
  <c r="K127" i="44" s="1"/>
  <c r="I2" i="53"/>
  <c r="I127" i="44" s="1"/>
  <c r="H2" i="53"/>
  <c r="H127" i="44" s="1"/>
  <c r="G2" i="53"/>
  <c r="G127" i="44" s="1"/>
  <c r="E2" i="53"/>
  <c r="E127" i="44" s="1"/>
  <c r="D2" i="53"/>
  <c r="D127" i="44" s="1"/>
  <c r="C2" i="53"/>
  <c r="C127" i="44" s="1"/>
  <c r="R83" i="4"/>
  <c r="J23" i="53" l="1"/>
  <c r="J95" i="45" s="1"/>
  <c r="E7" i="53"/>
  <c r="E132" i="44" s="1"/>
  <c r="N34" i="53"/>
  <c r="N98" i="46" s="1"/>
  <c r="H38" i="53"/>
  <c r="H89" i="48" s="1"/>
  <c r="D44" i="53"/>
  <c r="D95" i="48" s="1"/>
  <c r="N46" i="53"/>
  <c r="N101" i="49" s="1"/>
  <c r="L48" i="53"/>
  <c r="L103" i="49" s="1"/>
  <c r="J50" i="53"/>
  <c r="J105" i="49" s="1"/>
  <c r="H52" i="53"/>
  <c r="H107" i="49" s="1"/>
  <c r="F54" i="53"/>
  <c r="F109" i="49" s="1"/>
  <c r="D56" i="53"/>
  <c r="D111" i="49" s="1"/>
  <c r="L60" i="53"/>
  <c r="L97" i="50" s="1"/>
  <c r="H64" i="53"/>
  <c r="H111" i="51" s="1"/>
  <c r="G68" i="53"/>
  <c r="G115" i="51" s="1"/>
  <c r="F69" i="53"/>
  <c r="F116" i="51" s="1"/>
  <c r="G78" i="53"/>
  <c r="G107" i="52" s="1"/>
  <c r="F79" i="53"/>
  <c r="F108" i="52" s="1"/>
  <c r="O82" i="53"/>
  <c r="O111" i="52" s="1"/>
  <c r="E55" i="44"/>
  <c r="D27" i="45"/>
  <c r="D46" i="51"/>
  <c r="D40" i="51"/>
  <c r="D42" i="44"/>
  <c r="D41" i="51"/>
  <c r="D43" i="51"/>
  <c r="I67" i="53"/>
  <c r="I114" i="51" s="1"/>
  <c r="E47" i="44"/>
  <c r="E43" i="44"/>
  <c r="D26" i="45"/>
  <c r="D40" i="49"/>
  <c r="D37" i="50"/>
  <c r="D38" i="50"/>
  <c r="D39" i="49"/>
  <c r="L2" i="53"/>
  <c r="L127" i="44" s="1"/>
  <c r="P10" i="53"/>
  <c r="P135" i="44" s="1"/>
  <c r="F44" i="53"/>
  <c r="F95" i="48" s="1"/>
  <c r="N48" i="53"/>
  <c r="N103" i="49" s="1"/>
  <c r="J52" i="53"/>
  <c r="J107" i="49" s="1"/>
  <c r="E29" i="45"/>
  <c r="E33" i="45"/>
  <c r="D59" i="44"/>
  <c r="D52" i="44"/>
  <c r="D44" i="49"/>
  <c r="D47" i="49"/>
  <c r="D36" i="46"/>
  <c r="N4" i="53"/>
  <c r="N129" i="44" s="1"/>
  <c r="J8" i="53"/>
  <c r="J133" i="44" s="1"/>
  <c r="H6" i="53"/>
  <c r="H131" i="44" s="1"/>
  <c r="D10" i="53"/>
  <c r="D135" i="44" s="1"/>
  <c r="M2" i="53"/>
  <c r="M127" i="44" s="1"/>
  <c r="J5" i="53"/>
  <c r="J130" i="44" s="1"/>
  <c r="I6" i="53"/>
  <c r="I131" i="44" s="1"/>
  <c r="F9" i="53"/>
  <c r="F134" i="44" s="1"/>
  <c r="E10" i="53"/>
  <c r="E135" i="44" s="1"/>
  <c r="L14" i="53"/>
  <c r="L139" i="44" s="1"/>
  <c r="J16" i="53"/>
  <c r="J141" i="44" s="1"/>
  <c r="H18" i="53"/>
  <c r="H143" i="44" s="1"/>
  <c r="G19" i="53"/>
  <c r="G144" i="44" s="1"/>
  <c r="F20" i="53"/>
  <c r="F92" i="45" s="1"/>
  <c r="D22" i="53"/>
  <c r="D94" i="45" s="1"/>
  <c r="N23" i="53"/>
  <c r="N95" i="45" s="1"/>
  <c r="J27" i="53"/>
  <c r="J99" i="45" s="1"/>
  <c r="F33" i="53"/>
  <c r="F97" i="46" s="1"/>
  <c r="E34" i="53"/>
  <c r="E98" i="46" s="1"/>
  <c r="D35" i="53"/>
  <c r="D99" i="46" s="1"/>
  <c r="O36" i="53"/>
  <c r="O100" i="46" s="1"/>
  <c r="K38" i="53"/>
  <c r="K89" i="48" s="1"/>
  <c r="D40" i="53"/>
  <c r="D91" i="48" s="1"/>
  <c r="C41" i="53"/>
  <c r="C92" i="48" s="1"/>
  <c r="O41" i="53"/>
  <c r="O92" i="48" s="1"/>
  <c r="N42" i="53"/>
  <c r="N93" i="48" s="1"/>
  <c r="J68" i="53"/>
  <c r="J115" i="51" s="1"/>
  <c r="J78" i="53"/>
  <c r="J107" i="52" s="1"/>
  <c r="F82" i="53"/>
  <c r="F111" i="52" s="1"/>
  <c r="D33" i="46"/>
  <c r="D32" i="46"/>
  <c r="D58" i="44"/>
  <c r="D44" i="44"/>
  <c r="D43" i="49"/>
  <c r="D38" i="49"/>
  <c r="D46" i="44"/>
  <c r="D37" i="48"/>
  <c r="I18" i="53"/>
  <c r="I143" i="44" s="1"/>
  <c r="L26" i="53"/>
  <c r="L98" i="45" s="1"/>
  <c r="H30" i="53"/>
  <c r="H94" i="46" s="1"/>
  <c r="F34" i="53"/>
  <c r="F98" i="46" s="1"/>
  <c r="L38" i="53"/>
  <c r="L89" i="48" s="1"/>
  <c r="L64" i="53"/>
  <c r="L111" i="51" s="1"/>
  <c r="N65" i="53"/>
  <c r="N112" i="51" s="1"/>
  <c r="K68" i="53"/>
  <c r="K115" i="51" s="1"/>
  <c r="J69" i="53"/>
  <c r="J116" i="51" s="1"/>
  <c r="G71" i="53"/>
  <c r="G118" i="51" s="1"/>
  <c r="F72" i="53"/>
  <c r="F119" i="51" s="1"/>
  <c r="C75" i="53"/>
  <c r="C104" i="52" s="1"/>
  <c r="O75" i="53"/>
  <c r="O104" i="52" s="1"/>
  <c r="N76" i="53"/>
  <c r="N105" i="52" s="1"/>
  <c r="J83" i="53"/>
  <c r="J112" i="52" s="1"/>
  <c r="E59" i="44"/>
  <c r="D35" i="45"/>
  <c r="D57" i="44"/>
  <c r="D51" i="44"/>
  <c r="D36" i="49"/>
  <c r="D39" i="46"/>
  <c r="E44" i="44"/>
  <c r="D37" i="46"/>
  <c r="D45" i="52"/>
  <c r="D34" i="45"/>
  <c r="D56" i="44"/>
  <c r="D47" i="44"/>
  <c r="D35" i="49"/>
  <c r="D35" i="46"/>
  <c r="D40" i="52"/>
  <c r="D36" i="50"/>
  <c r="N77" i="53"/>
  <c r="N106" i="52" s="1"/>
  <c r="J81" i="53"/>
  <c r="J110" i="52" s="1"/>
  <c r="D44" i="52"/>
  <c r="D33" i="45"/>
  <c r="D55" i="44"/>
  <c r="D46" i="49"/>
  <c r="D34" i="49"/>
  <c r="D49" i="44"/>
  <c r="D37" i="52"/>
  <c r="E48" i="44"/>
  <c r="H35" i="53"/>
  <c r="H99" i="46" s="1"/>
  <c r="D43" i="52"/>
  <c r="D32" i="45"/>
  <c r="D54" i="44"/>
  <c r="D43" i="44"/>
  <c r="D40" i="48"/>
  <c r="D45" i="44"/>
  <c r="D42" i="51"/>
  <c r="D37" i="49"/>
  <c r="E30" i="45"/>
  <c r="J46" i="53"/>
  <c r="J101" i="49" s="1"/>
  <c r="F50" i="53"/>
  <c r="F105" i="49" s="1"/>
  <c r="N54" i="53"/>
  <c r="N109" i="49" s="1"/>
  <c r="J58" i="53"/>
  <c r="J113" i="49" s="1"/>
  <c r="H60" i="53"/>
  <c r="H97" i="50" s="1"/>
  <c r="F62" i="53"/>
  <c r="F99" i="50" s="1"/>
  <c r="D64" i="53"/>
  <c r="D111" i="51" s="1"/>
  <c r="J72" i="53"/>
  <c r="J119" i="51" s="1"/>
  <c r="C78" i="53"/>
  <c r="C107" i="52" s="1"/>
  <c r="O78" i="53"/>
  <c r="O107" i="52" s="1"/>
  <c r="N79" i="53"/>
  <c r="N108" i="52" s="1"/>
  <c r="N83" i="53"/>
  <c r="N112" i="52" s="1"/>
  <c r="D42" i="52"/>
  <c r="D31" i="45"/>
  <c r="D53" i="44"/>
  <c r="E34" i="49"/>
  <c r="D39" i="48"/>
  <c r="D50" i="44"/>
  <c r="D38" i="51"/>
  <c r="D42" i="49"/>
  <c r="E52" i="44"/>
  <c r="L45" i="53"/>
  <c r="L100" i="49" s="1"/>
  <c r="H49" i="53"/>
  <c r="H104" i="49" s="1"/>
  <c r="D53" i="53"/>
  <c r="D108" i="49" s="1"/>
  <c r="L57" i="53"/>
  <c r="L112" i="49" s="1"/>
  <c r="H61" i="53"/>
  <c r="H98" i="50" s="1"/>
  <c r="C69" i="53"/>
  <c r="C116" i="51" s="1"/>
  <c r="O69" i="53"/>
  <c r="O116" i="51" s="1"/>
  <c r="E77" i="53"/>
  <c r="E106" i="52" s="1"/>
  <c r="N80" i="53"/>
  <c r="N109" i="52" s="1"/>
  <c r="M81" i="53"/>
  <c r="M110" i="52" s="1"/>
  <c r="E51" i="44"/>
  <c r="D30" i="45"/>
  <c r="D47" i="51"/>
  <c r="D36" i="48"/>
  <c r="E56" i="44"/>
  <c r="D35" i="50"/>
  <c r="D38" i="48"/>
  <c r="E34" i="45"/>
  <c r="J11" i="53"/>
  <c r="J136" i="44" s="1"/>
  <c r="F15" i="53"/>
  <c r="F140" i="44" s="1"/>
  <c r="N19" i="53"/>
  <c r="N144" i="44" s="1"/>
  <c r="H24" i="53"/>
  <c r="H96" i="45" s="1"/>
  <c r="D28" i="53"/>
  <c r="D100" i="45" s="1"/>
  <c r="N32" i="53"/>
  <c r="N96" i="46" s="1"/>
  <c r="F38" i="53"/>
  <c r="F89" i="48" s="1"/>
  <c r="J41" i="53"/>
  <c r="J92" i="48" s="1"/>
  <c r="D38" i="52"/>
  <c r="D29" i="45"/>
  <c r="D39" i="51"/>
  <c r="D39" i="52"/>
  <c r="D38" i="46"/>
  <c r="D49" i="51"/>
  <c r="D41" i="49"/>
  <c r="D45" i="49"/>
  <c r="D34" i="48"/>
  <c r="F12" i="53"/>
  <c r="F137" i="44" s="1"/>
  <c r="F27" i="53"/>
  <c r="F99" i="45" s="1"/>
  <c r="R70" i="53"/>
  <c r="R117" i="51" s="1"/>
  <c r="C25" i="51"/>
  <c r="D48" i="51"/>
  <c r="D28" i="45"/>
  <c r="D34" i="46"/>
  <c r="D44" i="51"/>
  <c r="D48" i="44"/>
  <c r="D45" i="51"/>
  <c r="D41" i="52"/>
  <c r="D35" i="48"/>
  <c r="J2" i="53"/>
  <c r="J127" i="44" s="1"/>
  <c r="H4" i="53"/>
  <c r="H129" i="44" s="1"/>
  <c r="F6" i="53"/>
  <c r="F131" i="44" s="1"/>
  <c r="N6" i="53"/>
  <c r="N131" i="44" s="1"/>
  <c r="D8" i="53"/>
  <c r="D133" i="44" s="1"/>
  <c r="L8" i="53"/>
  <c r="L133" i="44" s="1"/>
  <c r="J10" i="53"/>
  <c r="J135" i="44" s="1"/>
  <c r="D11" i="53"/>
  <c r="D136" i="44" s="1"/>
  <c r="L11" i="53"/>
  <c r="L136" i="44" s="1"/>
  <c r="J13" i="53"/>
  <c r="J138" i="44" s="1"/>
  <c r="H15" i="53"/>
  <c r="H140" i="44" s="1"/>
  <c r="F17" i="53"/>
  <c r="F142" i="44" s="1"/>
  <c r="H19" i="53"/>
  <c r="H144" i="44" s="1"/>
  <c r="F21" i="53"/>
  <c r="F93" i="45" s="1"/>
  <c r="N21" i="53"/>
  <c r="N93" i="45" s="1"/>
  <c r="I22" i="53"/>
  <c r="I94" i="45" s="1"/>
  <c r="F24" i="53"/>
  <c r="F96" i="45" s="1"/>
  <c r="N24" i="53"/>
  <c r="N96" i="45" s="1"/>
  <c r="I25" i="53"/>
  <c r="I97" i="45" s="1"/>
  <c r="J28" i="53"/>
  <c r="J100" i="45" s="1"/>
  <c r="I29" i="53"/>
  <c r="I101" i="45" s="1"/>
  <c r="I35" i="53"/>
  <c r="I99" i="46" s="1"/>
  <c r="M35" i="53"/>
  <c r="M99" i="46" s="1"/>
  <c r="D36" i="53"/>
  <c r="D100" i="46" s="1"/>
  <c r="L36" i="53"/>
  <c r="L100" i="46" s="1"/>
  <c r="F2" i="53"/>
  <c r="F127" i="44" s="1"/>
  <c r="N2" i="53"/>
  <c r="N127" i="44" s="1"/>
  <c r="D4" i="53"/>
  <c r="D129" i="44" s="1"/>
  <c r="L4" i="53"/>
  <c r="L129" i="44" s="1"/>
  <c r="J6" i="53"/>
  <c r="J131" i="44" s="1"/>
  <c r="H8" i="53"/>
  <c r="H133" i="44" s="1"/>
  <c r="F10" i="53"/>
  <c r="F135" i="44" s="1"/>
  <c r="N10" i="53"/>
  <c r="N135" i="44" s="1"/>
  <c r="H11" i="53"/>
  <c r="H136" i="44" s="1"/>
  <c r="F13" i="53"/>
  <c r="F138" i="44" s="1"/>
  <c r="N13" i="53"/>
  <c r="N138" i="44" s="1"/>
  <c r="D15" i="53"/>
  <c r="D140" i="44" s="1"/>
  <c r="L15" i="53"/>
  <c r="L140" i="44" s="1"/>
  <c r="J17" i="53"/>
  <c r="J142" i="44" s="1"/>
  <c r="N17" i="53"/>
  <c r="N142" i="44" s="1"/>
  <c r="D19" i="53"/>
  <c r="D144" i="44" s="1"/>
  <c r="L19" i="53"/>
  <c r="L144" i="44" s="1"/>
  <c r="J21" i="53"/>
  <c r="J93" i="45" s="1"/>
  <c r="E22" i="53"/>
  <c r="E94" i="45" s="1"/>
  <c r="M22" i="53"/>
  <c r="M94" i="45" s="1"/>
  <c r="J24" i="53"/>
  <c r="J96" i="45" s="1"/>
  <c r="E25" i="53"/>
  <c r="E97" i="45" s="1"/>
  <c r="M25" i="53"/>
  <c r="M97" i="45" s="1"/>
  <c r="F28" i="53"/>
  <c r="F100" i="45" s="1"/>
  <c r="N28" i="53"/>
  <c r="N100" i="45" s="1"/>
  <c r="E29" i="53"/>
  <c r="E101" i="45" s="1"/>
  <c r="M29" i="53"/>
  <c r="M101" i="45" s="1"/>
  <c r="L32" i="53"/>
  <c r="L96" i="46" s="1"/>
  <c r="E35" i="53"/>
  <c r="E99" i="46" s="1"/>
  <c r="H36" i="53"/>
  <c r="H100" i="46" s="1"/>
  <c r="O43" i="53"/>
  <c r="O94" i="48" s="1"/>
  <c r="E45" i="53"/>
  <c r="E100" i="49" s="1"/>
  <c r="I45" i="53"/>
  <c r="I100" i="49" s="1"/>
  <c r="M45" i="53"/>
  <c r="M100" i="49" s="1"/>
  <c r="C47" i="53"/>
  <c r="C102" i="49" s="1"/>
  <c r="G47" i="53"/>
  <c r="G102" i="49" s="1"/>
  <c r="K47" i="53"/>
  <c r="K102" i="49" s="1"/>
  <c r="O47" i="53"/>
  <c r="O102" i="49" s="1"/>
  <c r="E49" i="53"/>
  <c r="E104" i="49" s="1"/>
  <c r="I49" i="53"/>
  <c r="I104" i="49" s="1"/>
  <c r="M49" i="53"/>
  <c r="M104" i="49" s="1"/>
  <c r="C51" i="53"/>
  <c r="C106" i="49" s="1"/>
  <c r="G51" i="53"/>
  <c r="G106" i="49" s="1"/>
  <c r="K51" i="53"/>
  <c r="K106" i="49" s="1"/>
  <c r="O51" i="53"/>
  <c r="O106" i="49" s="1"/>
  <c r="E53" i="53"/>
  <c r="E108" i="49" s="1"/>
  <c r="I53" i="53"/>
  <c r="I108" i="49" s="1"/>
  <c r="M53" i="53"/>
  <c r="M108" i="49" s="1"/>
  <c r="C55" i="53"/>
  <c r="C110" i="49" s="1"/>
  <c r="G55" i="53"/>
  <c r="G110" i="49" s="1"/>
  <c r="F3" i="53"/>
  <c r="F128" i="44" s="1"/>
  <c r="J3" i="53"/>
  <c r="J128" i="44" s="1"/>
  <c r="N3" i="53"/>
  <c r="N128" i="44" s="1"/>
  <c r="E4" i="53"/>
  <c r="E129" i="44" s="1"/>
  <c r="I4" i="53"/>
  <c r="I129" i="44" s="1"/>
  <c r="M4" i="53"/>
  <c r="M129" i="44" s="1"/>
  <c r="D5" i="53"/>
  <c r="D130" i="44" s="1"/>
  <c r="H5" i="53"/>
  <c r="H130" i="44" s="1"/>
  <c r="L5" i="53"/>
  <c r="L130" i="44" s="1"/>
  <c r="F7" i="53"/>
  <c r="F132" i="44" s="1"/>
  <c r="J7" i="53"/>
  <c r="J132" i="44" s="1"/>
  <c r="N7" i="53"/>
  <c r="N132" i="44" s="1"/>
  <c r="E8" i="53"/>
  <c r="E133" i="44" s="1"/>
  <c r="I8" i="53"/>
  <c r="I133" i="44" s="1"/>
  <c r="M8" i="53"/>
  <c r="M133" i="44" s="1"/>
  <c r="D9" i="53"/>
  <c r="D134" i="44" s="1"/>
  <c r="H9" i="53"/>
  <c r="H134" i="44" s="1"/>
  <c r="L9" i="53"/>
  <c r="L134" i="44" s="1"/>
  <c r="E11" i="53"/>
  <c r="E136" i="44" s="1"/>
  <c r="I11" i="53"/>
  <c r="I136" i="44" s="1"/>
  <c r="M11" i="53"/>
  <c r="M136" i="44" s="1"/>
  <c r="D12" i="53"/>
  <c r="D137" i="44" s="1"/>
  <c r="H12" i="53"/>
  <c r="H137" i="44" s="1"/>
  <c r="L12" i="53"/>
  <c r="L137" i="44" s="1"/>
  <c r="F14" i="53"/>
  <c r="F139" i="44" s="1"/>
  <c r="J14" i="53"/>
  <c r="J139" i="44" s="1"/>
  <c r="N14" i="53"/>
  <c r="N139" i="44" s="1"/>
  <c r="E15" i="53"/>
  <c r="E140" i="44" s="1"/>
  <c r="I15" i="53"/>
  <c r="I140" i="44" s="1"/>
  <c r="M15" i="53"/>
  <c r="M140" i="44" s="1"/>
  <c r="D16" i="53"/>
  <c r="D141" i="44" s="1"/>
  <c r="H16" i="53"/>
  <c r="H141" i="44" s="1"/>
  <c r="L16" i="53"/>
  <c r="L141" i="44" s="1"/>
  <c r="F18" i="53"/>
  <c r="F143" i="44" s="1"/>
  <c r="J18" i="53"/>
  <c r="J143" i="44" s="1"/>
  <c r="N18" i="53"/>
  <c r="N143" i="44" s="1"/>
  <c r="E19" i="53"/>
  <c r="E144" i="44" s="1"/>
  <c r="I19" i="53"/>
  <c r="I144" i="44" s="1"/>
  <c r="M19" i="53"/>
  <c r="M144" i="44" s="1"/>
  <c r="D20" i="53"/>
  <c r="D92" i="45" s="1"/>
  <c r="H20" i="53"/>
  <c r="H92" i="45" s="1"/>
  <c r="L20" i="53"/>
  <c r="L92" i="45" s="1"/>
  <c r="F22" i="53"/>
  <c r="F94" i="45" s="1"/>
  <c r="J22" i="53"/>
  <c r="J94" i="45" s="1"/>
  <c r="N22" i="53"/>
  <c r="N94" i="45" s="1"/>
  <c r="F25" i="53"/>
  <c r="F97" i="45" s="1"/>
  <c r="J25" i="53"/>
  <c r="J97" i="45" s="1"/>
  <c r="N25" i="53"/>
  <c r="N97" i="45" s="1"/>
  <c r="E26" i="53"/>
  <c r="E98" i="45" s="1"/>
  <c r="I26" i="53"/>
  <c r="I98" i="45" s="1"/>
  <c r="M26" i="53"/>
  <c r="M98" i="45" s="1"/>
  <c r="D27" i="53"/>
  <c r="D99" i="45" s="1"/>
  <c r="H27" i="53"/>
  <c r="H99" i="45" s="1"/>
  <c r="L27" i="53"/>
  <c r="L99" i="45" s="1"/>
  <c r="F29" i="53"/>
  <c r="F101" i="45" s="1"/>
  <c r="J29" i="53"/>
  <c r="J101" i="45" s="1"/>
  <c r="N29" i="53"/>
  <c r="N101" i="45" s="1"/>
  <c r="E30" i="53"/>
  <c r="E94" i="46" s="1"/>
  <c r="I30" i="53"/>
  <c r="I94" i="46" s="1"/>
  <c r="M30" i="53"/>
  <c r="M94" i="46" s="1"/>
  <c r="M31" i="53"/>
  <c r="M95" i="46" s="1"/>
  <c r="M32" i="53"/>
  <c r="M96" i="46" s="1"/>
  <c r="H33" i="53"/>
  <c r="H97" i="46" s="1"/>
  <c r="L33" i="53"/>
  <c r="L97" i="46" s="1"/>
  <c r="C34" i="53"/>
  <c r="C98" i="46" s="1"/>
  <c r="G34" i="53"/>
  <c r="G98" i="46" s="1"/>
  <c r="K34" i="53"/>
  <c r="K98" i="46" s="1"/>
  <c r="O34" i="53"/>
  <c r="O98" i="46" s="1"/>
  <c r="E36" i="53"/>
  <c r="E100" i="46" s="1"/>
  <c r="I36" i="53"/>
  <c r="I100" i="46" s="1"/>
  <c r="M36" i="53"/>
  <c r="M100" i="46" s="1"/>
  <c r="E38" i="53"/>
  <c r="E89" i="48" s="1"/>
  <c r="I38" i="53"/>
  <c r="I89" i="48" s="1"/>
  <c r="M38" i="53"/>
  <c r="M89" i="48" s="1"/>
  <c r="I39" i="53"/>
  <c r="I90" i="48" s="1"/>
  <c r="M39" i="53"/>
  <c r="M90" i="48" s="1"/>
  <c r="E40" i="53"/>
  <c r="E91" i="48" s="1"/>
  <c r="I40" i="53"/>
  <c r="I91" i="48" s="1"/>
  <c r="M40" i="53"/>
  <c r="M91" i="48" s="1"/>
  <c r="D41" i="53"/>
  <c r="D92" i="48" s="1"/>
  <c r="H41" i="53"/>
  <c r="H92" i="48" s="1"/>
  <c r="L41" i="53"/>
  <c r="L92" i="48" s="1"/>
  <c r="L43" i="53"/>
  <c r="L94" i="48" s="1"/>
  <c r="C44" i="53"/>
  <c r="C95" i="48" s="1"/>
  <c r="G44" i="53"/>
  <c r="G95" i="48" s="1"/>
  <c r="K44" i="53"/>
  <c r="K95" i="48" s="1"/>
  <c r="O44" i="53"/>
  <c r="O95" i="48" s="1"/>
  <c r="F45" i="53"/>
  <c r="F100" i="49" s="1"/>
  <c r="J45" i="53"/>
  <c r="J100" i="49" s="1"/>
  <c r="N45" i="53"/>
  <c r="N100" i="49" s="1"/>
  <c r="E46" i="53"/>
  <c r="E101" i="49" s="1"/>
  <c r="I46" i="53"/>
  <c r="I101" i="49" s="1"/>
  <c r="M46" i="53"/>
  <c r="M101" i="49" s="1"/>
  <c r="D47" i="53"/>
  <c r="D102" i="49" s="1"/>
  <c r="H47" i="53"/>
  <c r="H102" i="49" s="1"/>
  <c r="L47" i="53"/>
  <c r="L102" i="49" s="1"/>
  <c r="C48" i="53"/>
  <c r="C103" i="49" s="1"/>
  <c r="G48" i="53"/>
  <c r="G103" i="49" s="1"/>
  <c r="K48" i="53"/>
  <c r="K103" i="49" s="1"/>
  <c r="O48" i="53"/>
  <c r="O103" i="49" s="1"/>
  <c r="F49" i="53"/>
  <c r="F104" i="49" s="1"/>
  <c r="J49" i="53"/>
  <c r="J104" i="49" s="1"/>
  <c r="N49" i="53"/>
  <c r="N104" i="49" s="1"/>
  <c r="E50" i="53"/>
  <c r="E105" i="49" s="1"/>
  <c r="I50" i="53"/>
  <c r="I105" i="49" s="1"/>
  <c r="M50" i="53"/>
  <c r="M105" i="49" s="1"/>
  <c r="D51" i="53"/>
  <c r="D106" i="49" s="1"/>
  <c r="H51" i="53"/>
  <c r="H106" i="49" s="1"/>
  <c r="L51" i="53"/>
  <c r="L106" i="49" s="1"/>
  <c r="C52" i="53"/>
  <c r="C107" i="49" s="1"/>
  <c r="G52" i="53"/>
  <c r="G107" i="49" s="1"/>
  <c r="K52" i="53"/>
  <c r="K107" i="49" s="1"/>
  <c r="O52" i="53"/>
  <c r="O107" i="49" s="1"/>
  <c r="F53" i="53"/>
  <c r="F108" i="49" s="1"/>
  <c r="J53" i="53"/>
  <c r="J108" i="49" s="1"/>
  <c r="N53" i="53"/>
  <c r="N108" i="49" s="1"/>
  <c r="E54" i="53"/>
  <c r="E109" i="49" s="1"/>
  <c r="I54" i="53"/>
  <c r="I109" i="49" s="1"/>
  <c r="M54" i="53"/>
  <c r="M109" i="49" s="1"/>
  <c r="D55" i="53"/>
  <c r="D110" i="49" s="1"/>
  <c r="H55" i="53"/>
  <c r="H110" i="49" s="1"/>
  <c r="L55" i="53"/>
  <c r="L110" i="49" s="1"/>
  <c r="C56" i="53"/>
  <c r="C111" i="49" s="1"/>
  <c r="G56" i="53"/>
  <c r="G111" i="49" s="1"/>
  <c r="K56" i="53"/>
  <c r="K111" i="49" s="1"/>
  <c r="O56" i="53"/>
  <c r="O111" i="49" s="1"/>
  <c r="F57" i="53"/>
  <c r="F112" i="49" s="1"/>
  <c r="J57" i="53"/>
  <c r="J112" i="49" s="1"/>
  <c r="N57" i="53"/>
  <c r="N112" i="49" s="1"/>
  <c r="E58" i="53"/>
  <c r="E113" i="49" s="1"/>
  <c r="I58" i="53"/>
  <c r="I113" i="49" s="1"/>
  <c r="M58" i="53"/>
  <c r="M113" i="49" s="1"/>
  <c r="D59" i="53"/>
  <c r="D96" i="50" s="1"/>
  <c r="H59" i="53"/>
  <c r="H96" i="50" s="1"/>
  <c r="L59" i="53"/>
  <c r="L96" i="50" s="1"/>
  <c r="C60" i="53"/>
  <c r="C97" i="50" s="1"/>
  <c r="G60" i="53"/>
  <c r="G97" i="50" s="1"/>
  <c r="K60" i="53"/>
  <c r="K97" i="50" s="1"/>
  <c r="O60" i="53"/>
  <c r="O97" i="50" s="1"/>
  <c r="F61" i="53"/>
  <c r="F98" i="50" s="1"/>
  <c r="J61" i="53"/>
  <c r="J98" i="50" s="1"/>
  <c r="N61" i="53"/>
  <c r="N98" i="50" s="1"/>
  <c r="E62" i="53"/>
  <c r="E99" i="50" s="1"/>
  <c r="F26" i="53"/>
  <c r="F98" i="45" s="1"/>
  <c r="J26" i="53"/>
  <c r="J98" i="45" s="1"/>
  <c r="N26" i="53"/>
  <c r="N98" i="45" s="1"/>
  <c r="E27" i="53"/>
  <c r="E99" i="45" s="1"/>
  <c r="I27" i="53"/>
  <c r="I99" i="45" s="1"/>
  <c r="M27" i="53"/>
  <c r="M99" i="45" s="1"/>
  <c r="F30" i="53"/>
  <c r="F94" i="46" s="1"/>
  <c r="J30" i="53"/>
  <c r="J94" i="46" s="1"/>
  <c r="N30" i="53"/>
  <c r="N94" i="46" s="1"/>
  <c r="I33" i="53"/>
  <c r="I97" i="46" s="1"/>
  <c r="M33" i="53"/>
  <c r="M97" i="46" s="1"/>
  <c r="D34" i="53"/>
  <c r="D98" i="46" s="1"/>
  <c r="H34" i="53"/>
  <c r="H98" i="46" s="1"/>
  <c r="L34" i="53"/>
  <c r="L98" i="46" s="1"/>
  <c r="E41" i="53"/>
  <c r="E92" i="48" s="1"/>
  <c r="I41" i="53"/>
  <c r="I92" i="48" s="1"/>
  <c r="M41" i="53"/>
  <c r="M92" i="48" s="1"/>
  <c r="M43" i="53"/>
  <c r="M94" i="48" s="1"/>
  <c r="C45" i="53"/>
  <c r="C100" i="49" s="1"/>
  <c r="G45" i="53"/>
  <c r="G100" i="49" s="1"/>
  <c r="K45" i="53"/>
  <c r="K100" i="49" s="1"/>
  <c r="O45" i="53"/>
  <c r="O100" i="49" s="1"/>
  <c r="E47" i="53"/>
  <c r="E102" i="49" s="1"/>
  <c r="I47" i="53"/>
  <c r="I102" i="49" s="1"/>
  <c r="M47" i="53"/>
  <c r="M102" i="49" s="1"/>
  <c r="C49" i="53"/>
  <c r="C104" i="49" s="1"/>
  <c r="G49" i="53"/>
  <c r="G104" i="49" s="1"/>
  <c r="K49" i="53"/>
  <c r="K104" i="49" s="1"/>
  <c r="O49" i="53"/>
  <c r="O104" i="49" s="1"/>
  <c r="E51" i="53"/>
  <c r="E106" i="49" s="1"/>
  <c r="I51" i="53"/>
  <c r="I106" i="49" s="1"/>
  <c r="M51" i="53"/>
  <c r="M106" i="49" s="1"/>
  <c r="C53" i="53"/>
  <c r="C108" i="49" s="1"/>
  <c r="G53" i="53"/>
  <c r="G108" i="49" s="1"/>
  <c r="K53" i="53"/>
  <c r="K108" i="49" s="1"/>
  <c r="O53" i="53"/>
  <c r="O108" i="49" s="1"/>
  <c r="E55" i="53"/>
  <c r="E110" i="49" s="1"/>
  <c r="I55" i="53"/>
  <c r="I110" i="49" s="1"/>
  <c r="M55" i="53"/>
  <c r="M110" i="49" s="1"/>
  <c r="C57" i="53"/>
  <c r="C112" i="49" s="1"/>
  <c r="G57" i="53"/>
  <c r="G112" i="49" s="1"/>
  <c r="K57" i="53"/>
  <c r="K112" i="49" s="1"/>
  <c r="O57" i="53"/>
  <c r="O112" i="49" s="1"/>
  <c r="E59" i="53"/>
  <c r="E96" i="50" s="1"/>
  <c r="I59" i="53"/>
  <c r="I96" i="50" s="1"/>
  <c r="M59" i="53"/>
  <c r="M96" i="50" s="1"/>
  <c r="C61" i="53"/>
  <c r="C98" i="50" s="1"/>
  <c r="G61" i="53"/>
  <c r="G98" i="50" s="1"/>
  <c r="K61" i="53"/>
  <c r="K98" i="50" s="1"/>
  <c r="O61" i="53"/>
  <c r="O98" i="50" s="1"/>
  <c r="E63" i="53"/>
  <c r="E110" i="51" s="1"/>
  <c r="I63" i="53"/>
  <c r="I110" i="51" s="1"/>
  <c r="M63" i="53"/>
  <c r="M110" i="51" s="1"/>
  <c r="E66" i="53"/>
  <c r="E113" i="51" s="1"/>
  <c r="I66" i="53"/>
  <c r="I113" i="51" s="1"/>
  <c r="M66" i="53"/>
  <c r="M113" i="51" s="1"/>
  <c r="D67" i="53"/>
  <c r="D114" i="51" s="1"/>
  <c r="H67" i="53"/>
  <c r="H114" i="51" s="1"/>
  <c r="L67" i="53"/>
  <c r="L114" i="51" s="1"/>
  <c r="E70" i="53"/>
  <c r="E117" i="51" s="1"/>
  <c r="I70" i="53"/>
  <c r="I117" i="51" s="1"/>
  <c r="M70" i="53"/>
  <c r="M117" i="51" s="1"/>
  <c r="E73" i="53"/>
  <c r="E120" i="51" s="1"/>
  <c r="I73" i="53"/>
  <c r="I120" i="51" s="1"/>
  <c r="M73" i="53"/>
  <c r="M120" i="51" s="1"/>
  <c r="D74" i="53"/>
  <c r="D121" i="51" s="1"/>
  <c r="H74" i="53"/>
  <c r="H121" i="51" s="1"/>
  <c r="L74" i="53"/>
  <c r="L121" i="51" s="1"/>
  <c r="D77" i="53"/>
  <c r="D106" i="52" s="1"/>
  <c r="H77" i="53"/>
  <c r="H106" i="52" s="1"/>
  <c r="L77" i="53"/>
  <c r="L106" i="52" s="1"/>
  <c r="E80" i="53"/>
  <c r="E109" i="52" s="1"/>
  <c r="I80" i="53"/>
  <c r="I109" i="52" s="1"/>
  <c r="M80" i="53"/>
  <c r="M109" i="52" s="1"/>
  <c r="D81" i="53"/>
  <c r="D110" i="52" s="1"/>
  <c r="L81" i="53"/>
  <c r="L110" i="52" s="1"/>
  <c r="K55" i="53"/>
  <c r="K110" i="49" s="1"/>
  <c r="O55" i="53"/>
  <c r="O110" i="49" s="1"/>
  <c r="F56" i="53"/>
  <c r="F111" i="49" s="1"/>
  <c r="J56" i="53"/>
  <c r="J111" i="49" s="1"/>
  <c r="N56" i="53"/>
  <c r="N111" i="49" s="1"/>
  <c r="E57" i="53"/>
  <c r="E112" i="49" s="1"/>
  <c r="I57" i="53"/>
  <c r="I112" i="49" s="1"/>
  <c r="M57" i="53"/>
  <c r="M112" i="49" s="1"/>
  <c r="D58" i="53"/>
  <c r="D113" i="49" s="1"/>
  <c r="H58" i="53"/>
  <c r="H113" i="49" s="1"/>
  <c r="L58" i="53"/>
  <c r="L113" i="49" s="1"/>
  <c r="C59" i="53"/>
  <c r="C96" i="50" s="1"/>
  <c r="G59" i="53"/>
  <c r="G96" i="50" s="1"/>
  <c r="K59" i="53"/>
  <c r="K96" i="50" s="1"/>
  <c r="O59" i="53"/>
  <c r="O96" i="50" s="1"/>
  <c r="F60" i="53"/>
  <c r="F97" i="50" s="1"/>
  <c r="J60" i="53"/>
  <c r="J97" i="50" s="1"/>
  <c r="N60" i="53"/>
  <c r="N97" i="50" s="1"/>
  <c r="E61" i="53"/>
  <c r="E98" i="50" s="1"/>
  <c r="I61" i="53"/>
  <c r="I98" i="50" s="1"/>
  <c r="M61" i="53"/>
  <c r="M98" i="50" s="1"/>
  <c r="D62" i="53"/>
  <c r="D99" i="50" s="1"/>
  <c r="H62" i="53"/>
  <c r="H99" i="50" s="1"/>
  <c r="L62" i="53"/>
  <c r="L99" i="50" s="1"/>
  <c r="K63" i="53"/>
  <c r="K110" i="51" s="1"/>
  <c r="O63" i="53"/>
  <c r="O110" i="51" s="1"/>
  <c r="F64" i="53"/>
  <c r="F111" i="51" s="1"/>
  <c r="J64" i="53"/>
  <c r="J111" i="51" s="1"/>
  <c r="N64" i="53"/>
  <c r="N111" i="51" s="1"/>
  <c r="H65" i="53"/>
  <c r="H112" i="51" s="1"/>
  <c r="O66" i="53"/>
  <c r="O113" i="51" s="1"/>
  <c r="E68" i="53"/>
  <c r="E115" i="51" s="1"/>
  <c r="I68" i="53"/>
  <c r="I115" i="51" s="1"/>
  <c r="M68" i="53"/>
  <c r="M115" i="51" s="1"/>
  <c r="D69" i="53"/>
  <c r="D116" i="51" s="1"/>
  <c r="H69" i="53"/>
  <c r="H116" i="51" s="1"/>
  <c r="L69" i="53"/>
  <c r="L116" i="51" s="1"/>
  <c r="C70" i="53"/>
  <c r="C117" i="51" s="1"/>
  <c r="G70" i="53"/>
  <c r="G117" i="51" s="1"/>
  <c r="K70" i="53"/>
  <c r="K117" i="51" s="1"/>
  <c r="O70" i="53"/>
  <c r="O117" i="51" s="1"/>
  <c r="E71" i="53"/>
  <c r="E118" i="51" s="1"/>
  <c r="I71" i="53"/>
  <c r="I118" i="51" s="1"/>
  <c r="M71" i="53"/>
  <c r="M118" i="51" s="1"/>
  <c r="D72" i="53"/>
  <c r="D119" i="51" s="1"/>
  <c r="H72" i="53"/>
  <c r="H119" i="51" s="1"/>
  <c r="L72" i="53"/>
  <c r="L119" i="51" s="1"/>
  <c r="C73" i="53"/>
  <c r="C120" i="51" s="1"/>
  <c r="G73" i="53"/>
  <c r="G120" i="51" s="1"/>
  <c r="K73" i="53"/>
  <c r="K120" i="51" s="1"/>
  <c r="O73" i="53"/>
  <c r="O120" i="51" s="1"/>
  <c r="E75" i="53"/>
  <c r="E104" i="52" s="1"/>
  <c r="I75" i="53"/>
  <c r="I104" i="52" s="1"/>
  <c r="M75" i="53"/>
  <c r="M104" i="52" s="1"/>
  <c r="H76" i="53"/>
  <c r="H105" i="52" s="1"/>
  <c r="L76" i="53"/>
  <c r="L105" i="52" s="1"/>
  <c r="P76" i="53"/>
  <c r="P105" i="52" s="1"/>
  <c r="E78" i="53"/>
  <c r="E107" i="52" s="1"/>
  <c r="I78" i="53"/>
  <c r="I107" i="52" s="1"/>
  <c r="M78" i="53"/>
  <c r="M107" i="52" s="1"/>
  <c r="D79" i="53"/>
  <c r="D108" i="52" s="1"/>
  <c r="H79" i="53"/>
  <c r="H108" i="52" s="1"/>
  <c r="L79" i="53"/>
  <c r="L108" i="52" s="1"/>
  <c r="G80" i="53"/>
  <c r="G109" i="52" s="1"/>
  <c r="K80" i="53"/>
  <c r="K109" i="52" s="1"/>
  <c r="O80" i="53"/>
  <c r="O109" i="52" s="1"/>
  <c r="E82" i="53"/>
  <c r="E111" i="52" s="1"/>
  <c r="M82" i="53"/>
  <c r="M111" i="52" s="1"/>
  <c r="E83" i="53"/>
  <c r="E112" i="52" s="1"/>
  <c r="I62" i="53"/>
  <c r="I99" i="50" s="1"/>
  <c r="M62" i="53"/>
  <c r="M99" i="50" s="1"/>
  <c r="D63" i="53"/>
  <c r="D110" i="51" s="1"/>
  <c r="H63" i="53"/>
  <c r="H110" i="51" s="1"/>
  <c r="L63" i="53"/>
  <c r="L110" i="51" s="1"/>
  <c r="C64" i="53"/>
  <c r="C111" i="51" s="1"/>
  <c r="G64" i="53"/>
  <c r="G111" i="51" s="1"/>
  <c r="K64" i="53"/>
  <c r="K111" i="51" s="1"/>
  <c r="O64" i="53"/>
  <c r="O111" i="51" s="1"/>
  <c r="I65" i="53"/>
  <c r="I112" i="51" s="1"/>
  <c r="D66" i="53"/>
  <c r="D113" i="51" s="1"/>
  <c r="C67" i="53"/>
  <c r="C114" i="51" s="1"/>
  <c r="G67" i="53"/>
  <c r="G114" i="51" s="1"/>
  <c r="K67" i="53"/>
  <c r="K114" i="51" s="1"/>
  <c r="O67" i="53"/>
  <c r="O114" i="51" s="1"/>
  <c r="E69" i="53"/>
  <c r="E116" i="51" s="1"/>
  <c r="I69" i="53"/>
  <c r="I116" i="51" s="1"/>
  <c r="M69" i="53"/>
  <c r="M116" i="51" s="1"/>
  <c r="D70" i="53"/>
  <c r="D117" i="51" s="1"/>
  <c r="H70" i="53"/>
  <c r="H117" i="51" s="1"/>
  <c r="L70" i="53"/>
  <c r="L117" i="51" s="1"/>
  <c r="E72" i="53"/>
  <c r="E119" i="51" s="1"/>
  <c r="I72" i="53"/>
  <c r="I119" i="51" s="1"/>
  <c r="M72" i="53"/>
  <c r="M119" i="51" s="1"/>
  <c r="D73" i="53"/>
  <c r="D120" i="51" s="1"/>
  <c r="H73" i="53"/>
  <c r="H120" i="51" s="1"/>
  <c r="L73" i="53"/>
  <c r="L120" i="51" s="1"/>
  <c r="C74" i="53"/>
  <c r="C121" i="51" s="1"/>
  <c r="G74" i="53"/>
  <c r="G121" i="51" s="1"/>
  <c r="K74" i="53"/>
  <c r="K121" i="51" s="1"/>
  <c r="O74" i="53"/>
  <c r="O121" i="51" s="1"/>
  <c r="E76" i="53"/>
  <c r="E105" i="52" s="1"/>
  <c r="I76" i="53"/>
  <c r="I105" i="52" s="1"/>
  <c r="M76" i="53"/>
  <c r="M105" i="52" s="1"/>
  <c r="C77" i="53"/>
  <c r="C106" i="52" s="1"/>
  <c r="G77" i="53"/>
  <c r="G106" i="52" s="1"/>
  <c r="K77" i="53"/>
  <c r="K106" i="52" s="1"/>
  <c r="O77" i="53"/>
  <c r="O106" i="52" s="1"/>
  <c r="E79" i="53"/>
  <c r="E108" i="52" s="1"/>
  <c r="I79" i="53"/>
  <c r="I108" i="52" s="1"/>
  <c r="M79" i="53"/>
  <c r="M108" i="52" s="1"/>
  <c r="H80" i="53"/>
  <c r="H109" i="52" s="1"/>
  <c r="L80" i="53"/>
  <c r="L109" i="52" s="1"/>
  <c r="C81" i="53"/>
  <c r="C110" i="52" s="1"/>
  <c r="G81" i="53"/>
  <c r="G110" i="52" s="1"/>
  <c r="K81" i="53"/>
  <c r="K110" i="52" s="1"/>
  <c r="O81" i="53"/>
  <c r="O110" i="52" s="1"/>
  <c r="M83" i="53"/>
  <c r="M112" i="52" s="1"/>
  <c r="E65" i="53"/>
  <c r="E112" i="51" s="1"/>
  <c r="Q16" i="55"/>
  <c r="Q221" i="44" s="1"/>
  <c r="Q33" i="55"/>
  <c r="Q156" i="46" s="1"/>
  <c r="Q39" i="55"/>
  <c r="Q138" i="48" s="1"/>
  <c r="Q71" i="55"/>
  <c r="Q175" i="51" s="1"/>
  <c r="Q22" i="55"/>
  <c r="Q147" i="45" s="1"/>
  <c r="Q64" i="55"/>
  <c r="Q168" i="51" s="1"/>
  <c r="Q41" i="55"/>
  <c r="Q140" i="48" s="1"/>
  <c r="Q73" i="55"/>
  <c r="Q177" i="51" s="1"/>
  <c r="Q62" i="55"/>
  <c r="Q139" i="50" s="1"/>
  <c r="P83" i="55"/>
  <c r="P160" i="52" s="1"/>
  <c r="Q14" i="55"/>
  <c r="Q219" i="44" s="1"/>
  <c r="Q15" i="55"/>
  <c r="Q220" i="44" s="1"/>
  <c r="Q32" i="55"/>
  <c r="Q155" i="46" s="1"/>
  <c r="Q67" i="55"/>
  <c r="Q171" i="51" s="1"/>
  <c r="Q44" i="55"/>
  <c r="Q143" i="48" s="1"/>
  <c r="Q76" i="55"/>
  <c r="Q153" i="52" s="1"/>
  <c r="Q53" i="55"/>
  <c r="Q173" i="49" s="1"/>
  <c r="Q42" i="55"/>
  <c r="Q141" i="48" s="1"/>
  <c r="Q74" i="55"/>
  <c r="Q178" i="51" s="1"/>
  <c r="Q4" i="55"/>
  <c r="Q209" i="44" s="1"/>
  <c r="Q5" i="55"/>
  <c r="Q210" i="44" s="1"/>
  <c r="Q21" i="55"/>
  <c r="Q146" i="45" s="1"/>
  <c r="Q28" i="55"/>
  <c r="Q153" i="45" s="1"/>
  <c r="Q47" i="55"/>
  <c r="Q167" i="49" s="1"/>
  <c r="Q79" i="55"/>
  <c r="Q156" i="52" s="1"/>
  <c r="Q40" i="55"/>
  <c r="Q139" i="48" s="1"/>
  <c r="Q72" i="55"/>
  <c r="Q176" i="51" s="1"/>
  <c r="Q49" i="55"/>
  <c r="Q169" i="49" s="1"/>
  <c r="Q81" i="55"/>
  <c r="Q158" i="52" s="1"/>
  <c r="Q54" i="55"/>
  <c r="Q174" i="49" s="1"/>
  <c r="G83" i="53"/>
  <c r="G112" i="52" s="1"/>
  <c r="D21" i="53"/>
  <c r="D93" i="45" s="1"/>
  <c r="D33" i="53"/>
  <c r="D97" i="46" s="1"/>
  <c r="L65" i="53"/>
  <c r="L112" i="51" s="1"/>
  <c r="H66" i="53"/>
  <c r="H113" i="51" s="1"/>
  <c r="L66" i="53"/>
  <c r="L113" i="51" s="1"/>
  <c r="D76" i="53"/>
  <c r="D105" i="52" s="1"/>
  <c r="D80" i="53"/>
  <c r="D109" i="52" s="1"/>
  <c r="H81" i="53"/>
  <c r="H110" i="52" s="1"/>
  <c r="Q3" i="55"/>
  <c r="Q208" i="44" s="1"/>
  <c r="Q19" i="55"/>
  <c r="Q224" i="44" s="1"/>
  <c r="Q24" i="55"/>
  <c r="Q149" i="45" s="1"/>
  <c r="Q43" i="55"/>
  <c r="Q142" i="48" s="1"/>
  <c r="Q75" i="55"/>
  <c r="Q152" i="52" s="1"/>
  <c r="Q30" i="55"/>
  <c r="Q153" i="46" s="1"/>
  <c r="Q68" i="55"/>
  <c r="Q172" i="51" s="1"/>
  <c r="Q61" i="55"/>
  <c r="Q138" i="50" s="1"/>
  <c r="Q66" i="55"/>
  <c r="Q170" i="51" s="1"/>
  <c r="Q77" i="55"/>
  <c r="Q154" i="52" s="1"/>
  <c r="C33" i="53"/>
  <c r="C97" i="46" s="1"/>
  <c r="C66" i="53"/>
  <c r="C113" i="51" s="1"/>
  <c r="G66" i="53"/>
  <c r="G113" i="51" s="1"/>
  <c r="G76" i="53"/>
  <c r="G105" i="52" s="1"/>
  <c r="C80" i="53"/>
  <c r="C109" i="52" s="1"/>
  <c r="R82" i="55"/>
  <c r="R159" i="52" s="1"/>
  <c r="Q12" i="55"/>
  <c r="Q217" i="44" s="1"/>
  <c r="Q20" i="55"/>
  <c r="Q145" i="45" s="1"/>
  <c r="Q9" i="55"/>
  <c r="Q214" i="44" s="1"/>
  <c r="Q55" i="55"/>
  <c r="Q175" i="49" s="1"/>
  <c r="Q2" i="55"/>
  <c r="Q207" i="44" s="1"/>
  <c r="Q48" i="55"/>
  <c r="Q168" i="49" s="1"/>
  <c r="Q80" i="55"/>
  <c r="Q157" i="52" s="1"/>
  <c r="Q57" i="55"/>
  <c r="Q177" i="49" s="1"/>
  <c r="Q46" i="55"/>
  <c r="Q166" i="49" s="1"/>
  <c r="Q78" i="55"/>
  <c r="Q155" i="52" s="1"/>
  <c r="Q8" i="55"/>
  <c r="Q213" i="44" s="1"/>
  <c r="Q7" i="55"/>
  <c r="Q212" i="44" s="1"/>
  <c r="Q23" i="55"/>
  <c r="Q148" i="45" s="1"/>
  <c r="Q51" i="55"/>
  <c r="Q171" i="49" s="1"/>
  <c r="Q18" i="55"/>
  <c r="Q223" i="44" s="1"/>
  <c r="Q60" i="55"/>
  <c r="Q137" i="50" s="1"/>
  <c r="Q37" i="55"/>
  <c r="Q160" i="46" s="1"/>
  <c r="Q69" i="55"/>
  <c r="Q173" i="51" s="1"/>
  <c r="Q58" i="55"/>
  <c r="Q178" i="49" s="1"/>
  <c r="Q31" i="55"/>
  <c r="Q154" i="46" s="1"/>
  <c r="Q26" i="55"/>
  <c r="Q151" i="45" s="1"/>
  <c r="Q13" i="55"/>
  <c r="Q218" i="44" s="1"/>
  <c r="Q29" i="55"/>
  <c r="Q154" i="45" s="1"/>
  <c r="Q25" i="55"/>
  <c r="Q150" i="45" s="1"/>
  <c r="Q63" i="55"/>
  <c r="Q167" i="51" s="1"/>
  <c r="Q10" i="55"/>
  <c r="Q215" i="44" s="1"/>
  <c r="Q56" i="55"/>
  <c r="Q176" i="49" s="1"/>
  <c r="Q34" i="55"/>
  <c r="Q157" i="46" s="1"/>
  <c r="Q65" i="55"/>
  <c r="Q169" i="51" s="1"/>
  <c r="Q38" i="55"/>
  <c r="Q137" i="48" s="1"/>
  <c r="Q70" i="55"/>
  <c r="Q174" i="51" s="1"/>
  <c r="L37" i="53"/>
  <c r="L101" i="46" s="1"/>
  <c r="H45" i="53"/>
  <c r="H100" i="49" s="1"/>
  <c r="M65" i="53"/>
  <c r="M112" i="51" s="1"/>
  <c r="J63" i="53"/>
  <c r="J110" i="51" s="1"/>
  <c r="J65" i="53"/>
  <c r="J112" i="51" s="1"/>
  <c r="F76" i="53"/>
  <c r="F105" i="52" s="1"/>
  <c r="J82" i="53"/>
  <c r="J111" i="52" s="1"/>
  <c r="Q35" i="55"/>
  <c r="Q158" i="46" s="1"/>
  <c r="Q11" i="55"/>
  <c r="Q216" i="44" s="1"/>
  <c r="Q27" i="55"/>
  <c r="Q152" i="45" s="1"/>
  <c r="Q17" i="55"/>
  <c r="Q222" i="44" s="1"/>
  <c r="Q59" i="55"/>
  <c r="Q136" i="50" s="1"/>
  <c r="Q6" i="55"/>
  <c r="Q211" i="44" s="1"/>
  <c r="Q52" i="55"/>
  <c r="Q172" i="49" s="1"/>
  <c r="Q45" i="55"/>
  <c r="Q165" i="49" s="1"/>
  <c r="Q50" i="55"/>
  <c r="Q170" i="49" s="1"/>
  <c r="Q36" i="55"/>
  <c r="Q159" i="46" s="1"/>
  <c r="H83" i="53"/>
  <c r="H112" i="52" s="1"/>
  <c r="E33" i="53"/>
  <c r="E97" i="46" s="1"/>
  <c r="D65" i="53"/>
  <c r="D112" i="51" s="1"/>
  <c r="D83" i="53"/>
  <c r="D112" i="52" s="1"/>
  <c r="J43" i="53"/>
  <c r="J94" i="48" s="1"/>
  <c r="C41" i="49"/>
  <c r="C31" i="49"/>
  <c r="C45" i="52"/>
  <c r="Q83" i="53"/>
  <c r="Q112" i="52" s="1"/>
  <c r="C14" i="45"/>
  <c r="C43" i="52"/>
  <c r="Q83" i="4"/>
  <c r="P83" i="4"/>
  <c r="R82" i="4"/>
  <c r="C24" i="52" s="1"/>
  <c r="Q82" i="4"/>
  <c r="P82" i="4"/>
  <c r="R81" i="4"/>
  <c r="C23" i="52" s="1"/>
  <c r="Q81" i="4"/>
  <c r="P81" i="4"/>
  <c r="R80" i="4"/>
  <c r="C22" i="52" s="1"/>
  <c r="Q80" i="4"/>
  <c r="P80" i="4"/>
  <c r="R79" i="4"/>
  <c r="C21" i="52" s="1"/>
  <c r="Q79" i="4"/>
  <c r="P79" i="4"/>
  <c r="R78" i="4"/>
  <c r="Q78" i="4"/>
  <c r="P78" i="4"/>
  <c r="R77" i="4"/>
  <c r="C19" i="52" s="1"/>
  <c r="Q77" i="4"/>
  <c r="P77" i="4"/>
  <c r="R76" i="4"/>
  <c r="C18" i="52" s="1"/>
  <c r="Q76" i="4"/>
  <c r="R75" i="4"/>
  <c r="C17" i="52" s="1"/>
  <c r="Q75" i="4"/>
  <c r="P75" i="4"/>
  <c r="R74" i="4"/>
  <c r="C29" i="51" s="1"/>
  <c r="Q74" i="4"/>
  <c r="P74" i="4"/>
  <c r="R73" i="4"/>
  <c r="C28" i="51" s="1"/>
  <c r="Q73" i="4"/>
  <c r="P73" i="4"/>
  <c r="R72" i="4"/>
  <c r="C27" i="51" s="1"/>
  <c r="Q72" i="4"/>
  <c r="P72" i="4"/>
  <c r="R71" i="4"/>
  <c r="C26" i="51" s="1"/>
  <c r="Q71" i="4"/>
  <c r="P71" i="4"/>
  <c r="Q70" i="4"/>
  <c r="P70" i="4"/>
  <c r="R69" i="4"/>
  <c r="C24" i="51" s="1"/>
  <c r="Q69" i="4"/>
  <c r="P69" i="4"/>
  <c r="R68" i="4"/>
  <c r="C23" i="51" s="1"/>
  <c r="Q68" i="4"/>
  <c r="P68" i="4"/>
  <c r="R67" i="4"/>
  <c r="C22" i="51" s="1"/>
  <c r="Q67" i="4"/>
  <c r="P67" i="4"/>
  <c r="R66" i="4"/>
  <c r="C21" i="51" s="1"/>
  <c r="Q66" i="4"/>
  <c r="P66" i="4"/>
  <c r="R65" i="4"/>
  <c r="C20" i="51" s="1"/>
  <c r="Q65" i="4"/>
  <c r="P65" i="4"/>
  <c r="R64" i="4"/>
  <c r="Q64" i="4"/>
  <c r="P64" i="4"/>
  <c r="R63" i="4"/>
  <c r="C18" i="51" s="1"/>
  <c r="Q63" i="4"/>
  <c r="P63" i="4"/>
  <c r="R62" i="4"/>
  <c r="C21" i="50" s="1"/>
  <c r="Q62" i="4"/>
  <c r="P62" i="4"/>
  <c r="R61" i="4"/>
  <c r="C20" i="50" s="1"/>
  <c r="Q61" i="4"/>
  <c r="P61" i="4"/>
  <c r="R60" i="4"/>
  <c r="C19" i="50" s="1"/>
  <c r="Q60" i="4"/>
  <c r="P60" i="4"/>
  <c r="R59" i="4"/>
  <c r="C18" i="50" s="1"/>
  <c r="Q59" i="4"/>
  <c r="P59" i="4"/>
  <c r="R58" i="4"/>
  <c r="Q58" i="4"/>
  <c r="P58" i="4"/>
  <c r="R57" i="4"/>
  <c r="C30" i="49" s="1"/>
  <c r="Q57" i="4"/>
  <c r="P57" i="4"/>
  <c r="R56" i="4"/>
  <c r="C29" i="49" s="1"/>
  <c r="Q56" i="4"/>
  <c r="P56" i="4"/>
  <c r="R55" i="4"/>
  <c r="C28" i="49" s="1"/>
  <c r="Q55" i="4"/>
  <c r="P55" i="4"/>
  <c r="R54" i="4"/>
  <c r="C27" i="49" s="1"/>
  <c r="Q54" i="4"/>
  <c r="P54" i="4"/>
  <c r="R53" i="4"/>
  <c r="C26" i="49" s="1"/>
  <c r="Q53" i="4"/>
  <c r="P53" i="4"/>
  <c r="R52" i="4"/>
  <c r="C25" i="49" s="1"/>
  <c r="Q52" i="4"/>
  <c r="P52" i="4"/>
  <c r="R51" i="4"/>
  <c r="C24" i="49" s="1"/>
  <c r="Q51" i="4"/>
  <c r="P51" i="4"/>
  <c r="R50" i="4"/>
  <c r="C23" i="49" s="1"/>
  <c r="Q50" i="4"/>
  <c r="P50" i="4"/>
  <c r="R49" i="4"/>
  <c r="C22" i="49" s="1"/>
  <c r="Q49" i="4"/>
  <c r="P49" i="4"/>
  <c r="R48" i="4"/>
  <c r="Q48" i="4"/>
  <c r="P48" i="4"/>
  <c r="R47" i="4"/>
  <c r="C20" i="49" s="1"/>
  <c r="Q47" i="4"/>
  <c r="P47" i="4"/>
  <c r="R46" i="4"/>
  <c r="C19" i="49" s="1"/>
  <c r="Q46" i="4"/>
  <c r="P46" i="4"/>
  <c r="R45" i="4"/>
  <c r="C18" i="49" s="1"/>
  <c r="Q45" i="4"/>
  <c r="P45" i="4"/>
  <c r="R44" i="4"/>
  <c r="C25" i="48" s="1"/>
  <c r="Q44" i="4"/>
  <c r="P44" i="4"/>
  <c r="R43" i="4"/>
  <c r="C24" i="48" s="1"/>
  <c r="Q43" i="4"/>
  <c r="P43" i="4"/>
  <c r="R42" i="4"/>
  <c r="Q42" i="4"/>
  <c r="P42" i="4"/>
  <c r="R41" i="4"/>
  <c r="C22" i="48" s="1"/>
  <c r="Q41" i="4"/>
  <c r="P41" i="4"/>
  <c r="R40" i="4"/>
  <c r="C21" i="48" s="1"/>
  <c r="Q40" i="4"/>
  <c r="P40" i="4"/>
  <c r="R39" i="4"/>
  <c r="C20" i="48" s="1"/>
  <c r="Q39" i="4"/>
  <c r="P39" i="4"/>
  <c r="R38" i="4"/>
  <c r="C19" i="48" s="1"/>
  <c r="Q38" i="4"/>
  <c r="P38" i="4"/>
  <c r="R37" i="4"/>
  <c r="C24" i="46" s="1"/>
  <c r="Q37" i="4"/>
  <c r="P37" i="4"/>
  <c r="R36" i="4"/>
  <c r="C23" i="46" s="1"/>
  <c r="Q36" i="4"/>
  <c r="P36" i="4"/>
  <c r="R35" i="4"/>
  <c r="C22" i="46" s="1"/>
  <c r="Q35" i="4"/>
  <c r="P35" i="4"/>
  <c r="R34" i="4"/>
  <c r="Q34" i="4"/>
  <c r="P34" i="4"/>
  <c r="R33" i="4"/>
  <c r="C20" i="46" s="1"/>
  <c r="Q33" i="4"/>
  <c r="P33" i="4"/>
  <c r="R32" i="4"/>
  <c r="Q32" i="4"/>
  <c r="P32" i="4"/>
  <c r="R31" i="4"/>
  <c r="C18" i="46" s="1"/>
  <c r="Q31" i="4"/>
  <c r="P31" i="4"/>
  <c r="R30" i="4"/>
  <c r="C17" i="46" s="1"/>
  <c r="Q30" i="4"/>
  <c r="P30" i="4"/>
  <c r="R29" i="4"/>
  <c r="C23" i="45" s="1"/>
  <c r="Q29" i="4"/>
  <c r="P29" i="4"/>
  <c r="R28" i="4"/>
  <c r="C22" i="45" s="1"/>
  <c r="Q28" i="4"/>
  <c r="P28" i="4"/>
  <c r="R27" i="4"/>
  <c r="C21" i="45" s="1"/>
  <c r="Q27" i="4"/>
  <c r="P27" i="4"/>
  <c r="R26" i="4"/>
  <c r="C20" i="45" s="1"/>
  <c r="Q26" i="4"/>
  <c r="P26" i="4"/>
  <c r="R25" i="4"/>
  <c r="C19" i="45" s="1"/>
  <c r="Q25" i="4"/>
  <c r="P25" i="4"/>
  <c r="R24" i="4"/>
  <c r="C18" i="45" s="1"/>
  <c r="Q24" i="4"/>
  <c r="P24" i="4"/>
  <c r="R23" i="4"/>
  <c r="C17" i="45" s="1"/>
  <c r="Q23" i="4"/>
  <c r="P23" i="4"/>
  <c r="R22" i="4"/>
  <c r="P22" i="4"/>
  <c r="P22" i="53" s="1"/>
  <c r="P94" i="45" s="1"/>
  <c r="R21" i="4"/>
  <c r="C15" i="45" s="1"/>
  <c r="Q21" i="4"/>
  <c r="P21" i="4"/>
  <c r="R20" i="4"/>
  <c r="Q20" i="4"/>
  <c r="P20" i="4"/>
  <c r="R19" i="4"/>
  <c r="C39" i="44" s="1"/>
  <c r="Q19" i="4"/>
  <c r="P19" i="4"/>
  <c r="R18" i="4"/>
  <c r="C38" i="44" s="1"/>
  <c r="Q18" i="4"/>
  <c r="P18" i="4"/>
  <c r="R17" i="4"/>
  <c r="Q17" i="4"/>
  <c r="P17" i="4"/>
  <c r="R16" i="4"/>
  <c r="C36" i="44" s="1"/>
  <c r="Q16" i="4"/>
  <c r="P16" i="4"/>
  <c r="R15" i="4"/>
  <c r="C35" i="44" s="1"/>
  <c r="Q15" i="4"/>
  <c r="P15" i="4"/>
  <c r="R14" i="4"/>
  <c r="C34" i="44" s="1"/>
  <c r="Q14" i="4"/>
  <c r="P14" i="4"/>
  <c r="R13" i="4"/>
  <c r="C33" i="44" s="1"/>
  <c r="Q13" i="4"/>
  <c r="P13" i="4"/>
  <c r="R12" i="4"/>
  <c r="C32" i="44" s="1"/>
  <c r="Q12" i="4"/>
  <c r="P12" i="4"/>
  <c r="R11" i="4"/>
  <c r="C31" i="44" s="1"/>
  <c r="Q11" i="4"/>
  <c r="P11" i="4"/>
  <c r="R10" i="4"/>
  <c r="C30" i="44" s="1"/>
  <c r="Q10" i="4"/>
  <c r="R9" i="4"/>
  <c r="C29" i="44" s="1"/>
  <c r="Q9" i="4"/>
  <c r="P9" i="4"/>
  <c r="R8" i="4"/>
  <c r="C28" i="44" s="1"/>
  <c r="Q8" i="4"/>
  <c r="P8" i="4"/>
  <c r="R7" i="4"/>
  <c r="C27" i="44" s="1"/>
  <c r="Q7" i="4"/>
  <c r="P7" i="4"/>
  <c r="R6" i="4"/>
  <c r="C26" i="44" s="1"/>
  <c r="Q6" i="4"/>
  <c r="P6" i="4"/>
  <c r="R5" i="4"/>
  <c r="C25" i="44" s="1"/>
  <c r="Q5" i="4"/>
  <c r="P5" i="4"/>
  <c r="R4" i="4"/>
  <c r="C24" i="44" s="1"/>
  <c r="Q4" i="4"/>
  <c r="P4" i="4"/>
  <c r="R3" i="4"/>
  <c r="C23" i="44" s="1"/>
  <c r="Q3" i="4"/>
  <c r="P3" i="4"/>
  <c r="R2" i="4"/>
  <c r="C22" i="44" s="1"/>
  <c r="Q2" i="4"/>
  <c r="P2" i="4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D83" i="22"/>
  <c r="C83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C82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Q68" i="22"/>
  <c r="P68" i="22"/>
  <c r="O68" i="22"/>
  <c r="N68" i="22"/>
  <c r="M68" i="22"/>
  <c r="L68" i="22"/>
  <c r="K68" i="22"/>
  <c r="J68" i="22"/>
  <c r="I68" i="22"/>
  <c r="H68" i="22"/>
  <c r="G68" i="22"/>
  <c r="Q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Q64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D64" i="22"/>
  <c r="C64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Q37" i="22"/>
  <c r="P37" i="22"/>
  <c r="O37" i="22"/>
  <c r="N37" i="22"/>
  <c r="M37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Q32" i="22"/>
  <c r="P32" i="22"/>
  <c r="O32" i="22"/>
  <c r="N32" i="22"/>
  <c r="M32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R83" i="53" l="1"/>
  <c r="R112" i="52" s="1"/>
  <c r="C25" i="52"/>
  <c r="R17" i="53"/>
  <c r="R142" i="44" s="1"/>
  <c r="C37" i="44"/>
  <c r="R78" i="53"/>
  <c r="R107" i="52" s="1"/>
  <c r="C20" i="52"/>
  <c r="R22" i="53"/>
  <c r="R94" i="45" s="1"/>
  <c r="C16" i="45"/>
  <c r="R34" i="53"/>
  <c r="R98" i="46" s="1"/>
  <c r="C21" i="46"/>
  <c r="R42" i="53"/>
  <c r="R93" i="48" s="1"/>
  <c r="C23" i="48"/>
  <c r="R32" i="53"/>
  <c r="R96" i="46" s="1"/>
  <c r="C19" i="46"/>
  <c r="R48" i="53"/>
  <c r="R103" i="49" s="1"/>
  <c r="C21" i="49"/>
  <c r="R64" i="53"/>
  <c r="R111" i="51" s="1"/>
  <c r="C19" i="51"/>
  <c r="R5" i="53"/>
  <c r="R130" i="44" s="1"/>
  <c r="R9" i="53"/>
  <c r="R134" i="44" s="1"/>
  <c r="R12" i="53"/>
  <c r="R137" i="44" s="1"/>
  <c r="R16" i="53"/>
  <c r="R141" i="44" s="1"/>
  <c r="R23" i="53"/>
  <c r="R95" i="45" s="1"/>
  <c r="R27" i="53"/>
  <c r="R99" i="45" s="1"/>
  <c r="R31" i="53"/>
  <c r="R95" i="46" s="1"/>
  <c r="R39" i="53"/>
  <c r="R90" i="48" s="1"/>
  <c r="R43" i="53"/>
  <c r="R94" i="48" s="1"/>
  <c r="R47" i="53"/>
  <c r="R102" i="49" s="1"/>
  <c r="R51" i="53"/>
  <c r="R106" i="49" s="1"/>
  <c r="R59" i="53"/>
  <c r="R96" i="50" s="1"/>
  <c r="R63" i="53"/>
  <c r="R110" i="51" s="1"/>
  <c r="R67" i="53"/>
  <c r="R114" i="51" s="1"/>
  <c r="R77" i="53"/>
  <c r="R106" i="52" s="1"/>
  <c r="R46" i="53"/>
  <c r="R101" i="49" s="1"/>
  <c r="R83" i="54"/>
  <c r="R138" i="52" s="1"/>
  <c r="P70" i="53"/>
  <c r="P117" i="51" s="1"/>
  <c r="Q70" i="53"/>
  <c r="Q117" i="51" s="1"/>
  <c r="P50" i="55"/>
  <c r="P170" i="49" s="1"/>
  <c r="P52" i="55"/>
  <c r="P172" i="49" s="1"/>
  <c r="P59" i="55"/>
  <c r="P136" i="50" s="1"/>
  <c r="P27" i="55"/>
  <c r="P152" i="45" s="1"/>
  <c r="P35" i="55"/>
  <c r="P158" i="46" s="1"/>
  <c r="P38" i="55"/>
  <c r="P137" i="48" s="1"/>
  <c r="P34" i="55"/>
  <c r="P157" i="46" s="1"/>
  <c r="P10" i="55"/>
  <c r="P215" i="44" s="1"/>
  <c r="P25" i="55"/>
  <c r="P150" i="45" s="1"/>
  <c r="P13" i="55"/>
  <c r="P218" i="44" s="1"/>
  <c r="P31" i="55"/>
  <c r="P154" i="46" s="1"/>
  <c r="P69" i="55"/>
  <c r="P173" i="51" s="1"/>
  <c r="P60" i="55"/>
  <c r="P137" i="50" s="1"/>
  <c r="P51" i="55"/>
  <c r="P171" i="49" s="1"/>
  <c r="P7" i="55"/>
  <c r="P212" i="44" s="1"/>
  <c r="P78" i="55"/>
  <c r="P155" i="52" s="1"/>
  <c r="P57" i="55"/>
  <c r="P177" i="49" s="1"/>
  <c r="P48" i="55"/>
  <c r="P168" i="49" s="1"/>
  <c r="P55" i="55"/>
  <c r="P175" i="49" s="1"/>
  <c r="P20" i="55"/>
  <c r="P145" i="45" s="1"/>
  <c r="Q82" i="55"/>
  <c r="Q159" i="52" s="1"/>
  <c r="P81" i="55"/>
  <c r="P158" i="52" s="1"/>
  <c r="P72" i="55"/>
  <c r="P176" i="51" s="1"/>
  <c r="P79" i="55"/>
  <c r="P156" i="52" s="1"/>
  <c r="P28" i="55"/>
  <c r="P153" i="45" s="1"/>
  <c r="P5" i="55"/>
  <c r="P210" i="44" s="1"/>
  <c r="P74" i="55"/>
  <c r="P178" i="51" s="1"/>
  <c r="P53" i="55"/>
  <c r="P173" i="49" s="1"/>
  <c r="P44" i="55"/>
  <c r="P143" i="48" s="1"/>
  <c r="P32" i="55"/>
  <c r="P155" i="46" s="1"/>
  <c r="P14" i="55"/>
  <c r="P219" i="44" s="1"/>
  <c r="P62" i="55"/>
  <c r="P139" i="50" s="1"/>
  <c r="P41" i="55"/>
  <c r="P140" i="48" s="1"/>
  <c r="P22" i="55"/>
  <c r="P147" i="45" s="1"/>
  <c r="P39" i="55"/>
  <c r="P138" i="48" s="1"/>
  <c r="P16" i="55"/>
  <c r="P221" i="44" s="1"/>
  <c r="R2" i="53"/>
  <c r="R127" i="44" s="1"/>
  <c r="R6" i="53"/>
  <c r="R131" i="44" s="1"/>
  <c r="R13" i="53"/>
  <c r="R138" i="44" s="1"/>
  <c r="R21" i="53"/>
  <c r="R93" i="45" s="1"/>
  <c r="R24" i="53"/>
  <c r="R96" i="45" s="1"/>
  <c r="R28" i="53"/>
  <c r="R100" i="45" s="1"/>
  <c r="R36" i="53"/>
  <c r="R100" i="46" s="1"/>
  <c r="R40" i="53"/>
  <c r="R91" i="48" s="1"/>
  <c r="R44" i="53"/>
  <c r="R95" i="48" s="1"/>
  <c r="R52" i="53"/>
  <c r="R107" i="49" s="1"/>
  <c r="R56" i="53"/>
  <c r="R111" i="49" s="1"/>
  <c r="R60" i="53"/>
  <c r="R97" i="50" s="1"/>
  <c r="R68" i="53"/>
  <c r="R115" i="51" s="1"/>
  <c r="R71" i="53"/>
  <c r="R118" i="51" s="1"/>
  <c r="R75" i="53"/>
  <c r="R104" i="52" s="1"/>
  <c r="R82" i="53"/>
  <c r="R111" i="52" s="1"/>
  <c r="R81" i="54"/>
  <c r="R136" i="52" s="1"/>
  <c r="Q20" i="53"/>
  <c r="Q92" i="45" s="1"/>
  <c r="R20" i="53"/>
  <c r="R92" i="45" s="1"/>
  <c r="R58" i="53"/>
  <c r="R113" i="49" s="1"/>
  <c r="P77" i="55"/>
  <c r="P154" i="52" s="1"/>
  <c r="P61" i="55"/>
  <c r="P138" i="50" s="1"/>
  <c r="P30" i="55"/>
  <c r="P153" i="46" s="1"/>
  <c r="P43" i="55"/>
  <c r="P142" i="48" s="1"/>
  <c r="P19" i="55"/>
  <c r="P224" i="44" s="1"/>
  <c r="R3" i="53"/>
  <c r="R128" i="44" s="1"/>
  <c r="R7" i="53"/>
  <c r="R132" i="44" s="1"/>
  <c r="Q10" i="53"/>
  <c r="Q135" i="44" s="1"/>
  <c r="R10" i="53"/>
  <c r="R135" i="44" s="1"/>
  <c r="R14" i="53"/>
  <c r="R139" i="44" s="1"/>
  <c r="R18" i="53"/>
  <c r="R143" i="44" s="1"/>
  <c r="R25" i="53"/>
  <c r="R97" i="45" s="1"/>
  <c r="R29" i="53"/>
  <c r="R101" i="45" s="1"/>
  <c r="R33" i="53"/>
  <c r="R97" i="46" s="1"/>
  <c r="R37" i="53"/>
  <c r="R101" i="46" s="1"/>
  <c r="R41" i="53"/>
  <c r="R92" i="48" s="1"/>
  <c r="R45" i="53"/>
  <c r="R100" i="49" s="1"/>
  <c r="R49" i="53"/>
  <c r="R104" i="49" s="1"/>
  <c r="R53" i="53"/>
  <c r="R108" i="49" s="1"/>
  <c r="R57" i="53"/>
  <c r="R112" i="49" s="1"/>
  <c r="R61" i="53"/>
  <c r="R98" i="50" s="1"/>
  <c r="R65" i="53"/>
  <c r="R112" i="51" s="1"/>
  <c r="R69" i="53"/>
  <c r="R116" i="51" s="1"/>
  <c r="R72" i="53"/>
  <c r="R119" i="51" s="1"/>
  <c r="R79" i="53"/>
  <c r="R108" i="52" s="1"/>
  <c r="R52" i="54"/>
  <c r="R140" i="49" s="1"/>
  <c r="Q55" i="53"/>
  <c r="Q110" i="49" s="1"/>
  <c r="R55" i="53"/>
  <c r="R110" i="49" s="1"/>
  <c r="Q35" i="53"/>
  <c r="Q99" i="46" s="1"/>
  <c r="R35" i="53"/>
  <c r="R99" i="46" s="1"/>
  <c r="R4" i="53"/>
  <c r="R129" i="44" s="1"/>
  <c r="P36" i="55"/>
  <c r="P159" i="46" s="1"/>
  <c r="P45" i="55"/>
  <c r="P165" i="49" s="1"/>
  <c r="P6" i="55"/>
  <c r="P211" i="44" s="1"/>
  <c r="P17" i="55"/>
  <c r="P222" i="44" s="1"/>
  <c r="P11" i="55"/>
  <c r="P216" i="44" s="1"/>
  <c r="P70" i="55"/>
  <c r="P174" i="51" s="1"/>
  <c r="P65" i="55"/>
  <c r="P169" i="51" s="1"/>
  <c r="P56" i="55"/>
  <c r="P176" i="49" s="1"/>
  <c r="P63" i="55"/>
  <c r="P167" i="51" s="1"/>
  <c r="P29" i="55"/>
  <c r="P154" i="45" s="1"/>
  <c r="P26" i="55"/>
  <c r="P151" i="45" s="1"/>
  <c r="P58" i="55"/>
  <c r="P178" i="49" s="1"/>
  <c r="P37" i="55"/>
  <c r="P160" i="46" s="1"/>
  <c r="P18" i="55"/>
  <c r="P223" i="44" s="1"/>
  <c r="P23" i="55"/>
  <c r="P148" i="45" s="1"/>
  <c r="P8" i="55"/>
  <c r="P213" i="44" s="1"/>
  <c r="P46" i="55"/>
  <c r="P166" i="49" s="1"/>
  <c r="P80" i="55"/>
  <c r="P157" i="52" s="1"/>
  <c r="P2" i="55"/>
  <c r="P207" i="44" s="1"/>
  <c r="P9" i="55"/>
  <c r="P214" i="44" s="1"/>
  <c r="P12" i="55"/>
  <c r="P217" i="44" s="1"/>
  <c r="P54" i="55"/>
  <c r="P174" i="49" s="1"/>
  <c r="P49" i="55"/>
  <c r="P169" i="49" s="1"/>
  <c r="P40" i="55"/>
  <c r="P139" i="48" s="1"/>
  <c r="P47" i="55"/>
  <c r="P167" i="49" s="1"/>
  <c r="P21" i="55"/>
  <c r="P146" i="45" s="1"/>
  <c r="P4" i="55"/>
  <c r="P209" i="44" s="1"/>
  <c r="P42" i="55"/>
  <c r="P141" i="48" s="1"/>
  <c r="P76" i="55"/>
  <c r="P153" i="52" s="1"/>
  <c r="P67" i="55"/>
  <c r="P171" i="51" s="1"/>
  <c r="P15" i="55"/>
  <c r="P220" i="44" s="1"/>
  <c r="O83" i="55"/>
  <c r="O160" i="52" s="1"/>
  <c r="P73" i="55"/>
  <c r="P177" i="51" s="1"/>
  <c r="P64" i="55"/>
  <c r="P168" i="51" s="1"/>
  <c r="P71" i="55"/>
  <c r="P175" i="51" s="1"/>
  <c r="P33" i="55"/>
  <c r="P156" i="46" s="1"/>
  <c r="R8" i="53"/>
  <c r="R133" i="44" s="1"/>
  <c r="R11" i="53"/>
  <c r="R136" i="44" s="1"/>
  <c r="R15" i="53"/>
  <c r="R140" i="44" s="1"/>
  <c r="R19" i="53"/>
  <c r="R144" i="44" s="1"/>
  <c r="R26" i="53"/>
  <c r="R98" i="45" s="1"/>
  <c r="R30" i="53"/>
  <c r="R94" i="46" s="1"/>
  <c r="R50" i="53"/>
  <c r="R105" i="49" s="1"/>
  <c r="R54" i="53"/>
  <c r="R109" i="49" s="1"/>
  <c r="R62" i="53"/>
  <c r="R99" i="50" s="1"/>
  <c r="R66" i="53"/>
  <c r="R113" i="51" s="1"/>
  <c r="R73" i="53"/>
  <c r="R120" i="51" s="1"/>
  <c r="Q76" i="53"/>
  <c r="Q105" i="52" s="1"/>
  <c r="R76" i="53"/>
  <c r="R105" i="52" s="1"/>
  <c r="R80" i="53"/>
  <c r="R109" i="52" s="1"/>
  <c r="Q81" i="53"/>
  <c r="Q110" i="52" s="1"/>
  <c r="R81" i="53"/>
  <c r="R110" i="52" s="1"/>
  <c r="Q74" i="53"/>
  <c r="Q121" i="51" s="1"/>
  <c r="R74" i="53"/>
  <c r="R121" i="51" s="1"/>
  <c r="R38" i="53"/>
  <c r="R89" i="48" s="1"/>
  <c r="P66" i="55"/>
  <c r="P170" i="51" s="1"/>
  <c r="P68" i="55"/>
  <c r="P172" i="51" s="1"/>
  <c r="P75" i="55"/>
  <c r="P152" i="52" s="1"/>
  <c r="P24" i="55"/>
  <c r="P149" i="45" s="1"/>
  <c r="P3" i="55"/>
  <c r="P208" i="44" s="1"/>
  <c r="P83" i="53"/>
  <c r="P112" i="52" s="1"/>
  <c r="P55" i="53"/>
  <c r="P110" i="49" s="1"/>
  <c r="P74" i="53"/>
  <c r="P121" i="51" s="1"/>
  <c r="C42" i="52"/>
  <c r="P81" i="53"/>
  <c r="P110" i="52" s="1"/>
  <c r="P20" i="53"/>
  <c r="P92" i="45" s="1"/>
  <c r="P35" i="53"/>
  <c r="P99" i="46" s="1"/>
  <c r="Q83" i="26"/>
  <c r="P83" i="26"/>
  <c r="O83" i="26"/>
  <c r="N83" i="26"/>
  <c r="M83" i="26"/>
  <c r="L83" i="26"/>
  <c r="K83" i="26"/>
  <c r="J83" i="26"/>
  <c r="H83" i="26"/>
  <c r="G83" i="26"/>
  <c r="F83" i="26"/>
  <c r="E83" i="26"/>
  <c r="D83" i="26"/>
  <c r="C83" i="26"/>
  <c r="Q82" i="26"/>
  <c r="P82" i="26"/>
  <c r="O82" i="26"/>
  <c r="N82" i="26"/>
  <c r="M82" i="26"/>
  <c r="L82" i="26"/>
  <c r="K82" i="26"/>
  <c r="J82" i="26"/>
  <c r="H82" i="26"/>
  <c r="G82" i="26"/>
  <c r="F82" i="26"/>
  <c r="E82" i="26"/>
  <c r="D82" i="26"/>
  <c r="C82" i="26"/>
  <c r="Q81" i="26"/>
  <c r="P81" i="26"/>
  <c r="O81" i="26"/>
  <c r="N81" i="26"/>
  <c r="M81" i="26"/>
  <c r="L81" i="26"/>
  <c r="K81" i="26"/>
  <c r="J81" i="26"/>
  <c r="H81" i="26"/>
  <c r="G81" i="26"/>
  <c r="F81" i="26"/>
  <c r="E81" i="26"/>
  <c r="D81" i="26"/>
  <c r="C81" i="26"/>
  <c r="Q80" i="26"/>
  <c r="P80" i="26"/>
  <c r="O80" i="26"/>
  <c r="N80" i="26"/>
  <c r="M80" i="26"/>
  <c r="L80" i="26"/>
  <c r="K80" i="26"/>
  <c r="J80" i="26"/>
  <c r="H80" i="26"/>
  <c r="G80" i="26"/>
  <c r="F80" i="26"/>
  <c r="E80" i="26"/>
  <c r="D80" i="26"/>
  <c r="C80" i="26"/>
  <c r="Q79" i="26"/>
  <c r="P79" i="26"/>
  <c r="O79" i="26"/>
  <c r="N79" i="26"/>
  <c r="M79" i="26"/>
  <c r="L79" i="26"/>
  <c r="K79" i="26"/>
  <c r="J79" i="26"/>
  <c r="H79" i="26"/>
  <c r="G79" i="26"/>
  <c r="F79" i="26"/>
  <c r="E79" i="26"/>
  <c r="D79" i="26"/>
  <c r="C79" i="26"/>
  <c r="Q78" i="26"/>
  <c r="P78" i="26"/>
  <c r="O78" i="26"/>
  <c r="N78" i="26"/>
  <c r="M78" i="26"/>
  <c r="L78" i="26"/>
  <c r="K78" i="26"/>
  <c r="J78" i="26"/>
  <c r="H78" i="26"/>
  <c r="G78" i="26"/>
  <c r="F78" i="26"/>
  <c r="E78" i="26"/>
  <c r="D78" i="26"/>
  <c r="C78" i="26"/>
  <c r="Q77" i="26"/>
  <c r="P77" i="26"/>
  <c r="O77" i="26"/>
  <c r="N77" i="26"/>
  <c r="M77" i="26"/>
  <c r="L77" i="26"/>
  <c r="K77" i="26"/>
  <c r="J77" i="26"/>
  <c r="H77" i="26"/>
  <c r="G77" i="26"/>
  <c r="F77" i="26"/>
  <c r="E77" i="26"/>
  <c r="D77" i="26"/>
  <c r="C77" i="26"/>
  <c r="Q76" i="26"/>
  <c r="P76" i="26"/>
  <c r="O76" i="26"/>
  <c r="N76" i="26"/>
  <c r="M76" i="26"/>
  <c r="L76" i="26"/>
  <c r="K76" i="26"/>
  <c r="J76" i="26"/>
  <c r="H76" i="26"/>
  <c r="G76" i="26"/>
  <c r="F76" i="26"/>
  <c r="E76" i="26"/>
  <c r="D76" i="26"/>
  <c r="C76" i="26"/>
  <c r="Q75" i="26"/>
  <c r="P75" i="26"/>
  <c r="O75" i="26"/>
  <c r="N75" i="26"/>
  <c r="M75" i="26"/>
  <c r="L75" i="26"/>
  <c r="K75" i="26"/>
  <c r="J75" i="26"/>
  <c r="H75" i="26"/>
  <c r="G75" i="26"/>
  <c r="F75" i="26"/>
  <c r="E75" i="26"/>
  <c r="D75" i="26"/>
  <c r="C75" i="26"/>
  <c r="Q74" i="26"/>
  <c r="P74" i="26"/>
  <c r="O74" i="26"/>
  <c r="N74" i="26"/>
  <c r="M74" i="26"/>
  <c r="L74" i="26"/>
  <c r="K74" i="26"/>
  <c r="J74" i="26"/>
  <c r="H74" i="26"/>
  <c r="G74" i="26"/>
  <c r="F74" i="26"/>
  <c r="E74" i="26"/>
  <c r="D74" i="26"/>
  <c r="C74" i="26"/>
  <c r="Q73" i="26"/>
  <c r="P73" i="26"/>
  <c r="O73" i="26"/>
  <c r="N73" i="26"/>
  <c r="M73" i="26"/>
  <c r="L73" i="26"/>
  <c r="K73" i="26"/>
  <c r="J73" i="26"/>
  <c r="H73" i="26"/>
  <c r="G73" i="26"/>
  <c r="F73" i="26"/>
  <c r="E73" i="26"/>
  <c r="D73" i="26"/>
  <c r="C73" i="26"/>
  <c r="Q72" i="26"/>
  <c r="P72" i="26"/>
  <c r="O72" i="26"/>
  <c r="N72" i="26"/>
  <c r="M72" i="26"/>
  <c r="L72" i="26"/>
  <c r="K72" i="26"/>
  <c r="J72" i="26"/>
  <c r="H72" i="26"/>
  <c r="G72" i="26"/>
  <c r="F72" i="26"/>
  <c r="E72" i="26"/>
  <c r="D72" i="26"/>
  <c r="C72" i="26"/>
  <c r="Q71" i="26"/>
  <c r="P71" i="26"/>
  <c r="O71" i="26"/>
  <c r="N71" i="26"/>
  <c r="M71" i="26"/>
  <c r="L71" i="26"/>
  <c r="K71" i="26"/>
  <c r="J71" i="26"/>
  <c r="H71" i="26"/>
  <c r="G71" i="26"/>
  <c r="F71" i="26"/>
  <c r="E71" i="26"/>
  <c r="D71" i="26"/>
  <c r="C71" i="26"/>
  <c r="Q70" i="26"/>
  <c r="P70" i="26"/>
  <c r="O70" i="26"/>
  <c r="N70" i="26"/>
  <c r="M70" i="26"/>
  <c r="L70" i="26"/>
  <c r="K70" i="26"/>
  <c r="J70" i="26"/>
  <c r="H70" i="26"/>
  <c r="G70" i="26"/>
  <c r="F70" i="26"/>
  <c r="E70" i="26"/>
  <c r="D70" i="26"/>
  <c r="C70" i="26"/>
  <c r="Q69" i="26"/>
  <c r="P69" i="26"/>
  <c r="O69" i="26"/>
  <c r="N69" i="26"/>
  <c r="M69" i="26"/>
  <c r="L69" i="26"/>
  <c r="K69" i="26"/>
  <c r="J69" i="26"/>
  <c r="H69" i="26"/>
  <c r="G69" i="26"/>
  <c r="F69" i="26"/>
  <c r="E69" i="26"/>
  <c r="D69" i="26"/>
  <c r="C69" i="26"/>
  <c r="Q68" i="26"/>
  <c r="P68" i="26"/>
  <c r="O68" i="26"/>
  <c r="N68" i="26"/>
  <c r="M68" i="26"/>
  <c r="L68" i="26"/>
  <c r="K68" i="26"/>
  <c r="J68" i="26"/>
  <c r="H68" i="26"/>
  <c r="G68" i="26"/>
  <c r="F68" i="26"/>
  <c r="E68" i="26"/>
  <c r="D68" i="26"/>
  <c r="C68" i="26"/>
  <c r="Q67" i="26"/>
  <c r="P67" i="26"/>
  <c r="O67" i="26"/>
  <c r="N67" i="26"/>
  <c r="M67" i="26"/>
  <c r="L67" i="26"/>
  <c r="K67" i="26"/>
  <c r="J67" i="26"/>
  <c r="H67" i="26"/>
  <c r="G67" i="26"/>
  <c r="F67" i="26"/>
  <c r="E67" i="26"/>
  <c r="D67" i="26"/>
  <c r="C67" i="26"/>
  <c r="Q66" i="26"/>
  <c r="P66" i="26"/>
  <c r="O66" i="26"/>
  <c r="N66" i="26"/>
  <c r="M66" i="26"/>
  <c r="L66" i="26"/>
  <c r="K66" i="26"/>
  <c r="J66" i="26"/>
  <c r="H66" i="26"/>
  <c r="G66" i="26"/>
  <c r="F66" i="26"/>
  <c r="E66" i="26"/>
  <c r="D66" i="26"/>
  <c r="C66" i="26"/>
  <c r="Q65" i="26"/>
  <c r="P65" i="26"/>
  <c r="O65" i="26"/>
  <c r="N65" i="26"/>
  <c r="M65" i="26"/>
  <c r="L65" i="26"/>
  <c r="K65" i="26"/>
  <c r="J65" i="26"/>
  <c r="H65" i="26"/>
  <c r="G65" i="26"/>
  <c r="F65" i="26"/>
  <c r="E65" i="26"/>
  <c r="D65" i="26"/>
  <c r="C65" i="26"/>
  <c r="Q64" i="26"/>
  <c r="P64" i="26"/>
  <c r="O64" i="26"/>
  <c r="N64" i="26"/>
  <c r="M64" i="26"/>
  <c r="L64" i="26"/>
  <c r="K64" i="26"/>
  <c r="J64" i="26"/>
  <c r="H64" i="26"/>
  <c r="G64" i="26"/>
  <c r="F64" i="26"/>
  <c r="E64" i="26"/>
  <c r="D64" i="26"/>
  <c r="C64" i="26"/>
  <c r="Q63" i="26"/>
  <c r="P63" i="26"/>
  <c r="O63" i="26"/>
  <c r="N63" i="26"/>
  <c r="M63" i="26"/>
  <c r="L63" i="26"/>
  <c r="K63" i="26"/>
  <c r="J63" i="26"/>
  <c r="H63" i="26"/>
  <c r="G63" i="26"/>
  <c r="F63" i="26"/>
  <c r="E63" i="26"/>
  <c r="D63" i="26"/>
  <c r="C63" i="26"/>
  <c r="Q62" i="26"/>
  <c r="P62" i="26"/>
  <c r="O62" i="26"/>
  <c r="N62" i="26"/>
  <c r="M62" i="26"/>
  <c r="L62" i="26"/>
  <c r="K62" i="26"/>
  <c r="J62" i="26"/>
  <c r="H62" i="26"/>
  <c r="G62" i="26"/>
  <c r="F62" i="26"/>
  <c r="E62" i="26"/>
  <c r="D62" i="26"/>
  <c r="C62" i="26"/>
  <c r="Q61" i="26"/>
  <c r="P61" i="26"/>
  <c r="O61" i="26"/>
  <c r="N61" i="26"/>
  <c r="M61" i="26"/>
  <c r="L61" i="26"/>
  <c r="K61" i="26"/>
  <c r="J61" i="26"/>
  <c r="H61" i="26"/>
  <c r="G61" i="26"/>
  <c r="F61" i="26"/>
  <c r="E61" i="26"/>
  <c r="D61" i="26"/>
  <c r="C61" i="26"/>
  <c r="Q60" i="26"/>
  <c r="P60" i="26"/>
  <c r="O60" i="26"/>
  <c r="N60" i="26"/>
  <c r="M60" i="26"/>
  <c r="L60" i="26"/>
  <c r="K60" i="26"/>
  <c r="J60" i="26"/>
  <c r="H60" i="26"/>
  <c r="G60" i="26"/>
  <c r="F60" i="26"/>
  <c r="E60" i="26"/>
  <c r="D60" i="26"/>
  <c r="C60" i="26"/>
  <c r="Q59" i="26"/>
  <c r="P59" i="26"/>
  <c r="O59" i="26"/>
  <c r="N59" i="26"/>
  <c r="M59" i="26"/>
  <c r="L59" i="26"/>
  <c r="K59" i="26"/>
  <c r="J59" i="26"/>
  <c r="H59" i="26"/>
  <c r="G59" i="26"/>
  <c r="F59" i="26"/>
  <c r="E59" i="26"/>
  <c r="D59" i="26"/>
  <c r="C59" i="26"/>
  <c r="Q58" i="26"/>
  <c r="P58" i="26"/>
  <c r="O58" i="26"/>
  <c r="N58" i="26"/>
  <c r="M58" i="26"/>
  <c r="L58" i="26"/>
  <c r="K58" i="26"/>
  <c r="J58" i="26"/>
  <c r="H58" i="26"/>
  <c r="G58" i="26"/>
  <c r="F58" i="26"/>
  <c r="E58" i="26"/>
  <c r="D58" i="26"/>
  <c r="C58" i="26"/>
  <c r="Q57" i="26"/>
  <c r="P57" i="26"/>
  <c r="O57" i="26"/>
  <c r="N57" i="26"/>
  <c r="M57" i="26"/>
  <c r="L57" i="26"/>
  <c r="K57" i="26"/>
  <c r="J57" i="26"/>
  <c r="H57" i="26"/>
  <c r="G57" i="26"/>
  <c r="F57" i="26"/>
  <c r="E57" i="26"/>
  <c r="D57" i="26"/>
  <c r="C57" i="26"/>
  <c r="Q56" i="26"/>
  <c r="P56" i="26"/>
  <c r="O56" i="26"/>
  <c r="N56" i="26"/>
  <c r="M56" i="26"/>
  <c r="L56" i="26"/>
  <c r="K56" i="26"/>
  <c r="J56" i="26"/>
  <c r="H56" i="26"/>
  <c r="G56" i="26"/>
  <c r="F56" i="26"/>
  <c r="E56" i="26"/>
  <c r="D56" i="26"/>
  <c r="C56" i="26"/>
  <c r="Q55" i="26"/>
  <c r="P55" i="26"/>
  <c r="O55" i="26"/>
  <c r="N55" i="26"/>
  <c r="M55" i="26"/>
  <c r="L55" i="26"/>
  <c r="K55" i="26"/>
  <c r="J55" i="26"/>
  <c r="H55" i="26"/>
  <c r="G55" i="26"/>
  <c r="F55" i="26"/>
  <c r="E55" i="26"/>
  <c r="D55" i="26"/>
  <c r="C55" i="26"/>
  <c r="Q54" i="26"/>
  <c r="P54" i="26"/>
  <c r="O54" i="26"/>
  <c r="N54" i="26"/>
  <c r="M54" i="26"/>
  <c r="L54" i="26"/>
  <c r="K54" i="26"/>
  <c r="J54" i="26"/>
  <c r="H54" i="26"/>
  <c r="G54" i="26"/>
  <c r="F54" i="26"/>
  <c r="E54" i="26"/>
  <c r="D54" i="26"/>
  <c r="C54" i="26"/>
  <c r="Q53" i="26"/>
  <c r="P53" i="26"/>
  <c r="O53" i="26"/>
  <c r="N53" i="26"/>
  <c r="M53" i="26"/>
  <c r="L53" i="26"/>
  <c r="K53" i="26"/>
  <c r="J53" i="26"/>
  <c r="H53" i="26"/>
  <c r="G53" i="26"/>
  <c r="F53" i="26"/>
  <c r="E53" i="26"/>
  <c r="D53" i="26"/>
  <c r="C53" i="26"/>
  <c r="Q52" i="26"/>
  <c r="P52" i="26"/>
  <c r="O52" i="26"/>
  <c r="N52" i="26"/>
  <c r="M52" i="26"/>
  <c r="L52" i="26"/>
  <c r="K52" i="26"/>
  <c r="J52" i="26"/>
  <c r="H52" i="26"/>
  <c r="G52" i="26"/>
  <c r="F52" i="26"/>
  <c r="E52" i="26"/>
  <c r="D52" i="26"/>
  <c r="C52" i="26"/>
  <c r="Q51" i="26"/>
  <c r="P51" i="26"/>
  <c r="O51" i="26"/>
  <c r="N51" i="26"/>
  <c r="M51" i="26"/>
  <c r="L51" i="26"/>
  <c r="K51" i="26"/>
  <c r="J51" i="26"/>
  <c r="H51" i="26"/>
  <c r="G51" i="26"/>
  <c r="F51" i="26"/>
  <c r="E51" i="26"/>
  <c r="D51" i="26"/>
  <c r="C51" i="26"/>
  <c r="Q50" i="26"/>
  <c r="P50" i="26"/>
  <c r="O50" i="26"/>
  <c r="N50" i="26"/>
  <c r="M50" i="26"/>
  <c r="L50" i="26"/>
  <c r="K50" i="26"/>
  <c r="J50" i="26"/>
  <c r="H50" i="26"/>
  <c r="G50" i="26"/>
  <c r="F50" i="26"/>
  <c r="E50" i="26"/>
  <c r="D50" i="26"/>
  <c r="C50" i="26"/>
  <c r="Q49" i="26"/>
  <c r="P49" i="26"/>
  <c r="O49" i="26"/>
  <c r="N49" i="26"/>
  <c r="M49" i="26"/>
  <c r="L49" i="26"/>
  <c r="K49" i="26"/>
  <c r="J49" i="26"/>
  <c r="H49" i="26"/>
  <c r="G49" i="26"/>
  <c r="F49" i="26"/>
  <c r="E49" i="26"/>
  <c r="D49" i="26"/>
  <c r="C49" i="26"/>
  <c r="Q48" i="26"/>
  <c r="P48" i="26"/>
  <c r="O48" i="26"/>
  <c r="N48" i="26"/>
  <c r="M48" i="26"/>
  <c r="L48" i="26"/>
  <c r="K48" i="26"/>
  <c r="J48" i="26"/>
  <c r="H48" i="26"/>
  <c r="G48" i="26"/>
  <c r="F48" i="26"/>
  <c r="E48" i="26"/>
  <c r="D48" i="26"/>
  <c r="C48" i="26"/>
  <c r="Q47" i="26"/>
  <c r="P47" i="26"/>
  <c r="O47" i="26"/>
  <c r="N47" i="26"/>
  <c r="M47" i="26"/>
  <c r="L47" i="26"/>
  <c r="K47" i="26"/>
  <c r="J47" i="26"/>
  <c r="E4" i="45" l="1"/>
  <c r="E11" i="45"/>
  <c r="E3" i="49"/>
  <c r="E12" i="44"/>
  <c r="E3" i="45"/>
  <c r="E5" i="50"/>
  <c r="E10" i="52"/>
  <c r="E13" i="51"/>
  <c r="E10" i="51"/>
  <c r="E8" i="45"/>
  <c r="E3" i="48"/>
  <c r="E4" i="52"/>
  <c r="E7" i="45"/>
  <c r="E9" i="46"/>
  <c r="E11" i="49"/>
  <c r="E3" i="51"/>
  <c r="E9" i="51"/>
  <c r="E4" i="50"/>
  <c r="E17" i="44"/>
  <c r="E4" i="51"/>
  <c r="E16" i="44"/>
  <c r="E12" i="49"/>
  <c r="E18" i="44"/>
  <c r="E7" i="49"/>
  <c r="E3" i="50"/>
  <c r="E5" i="44"/>
  <c r="E2" i="50"/>
  <c r="E9" i="49"/>
  <c r="E7" i="44"/>
  <c r="E11" i="44"/>
  <c r="E15" i="44"/>
  <c r="E6" i="48"/>
  <c r="E5" i="49"/>
  <c r="E10" i="49"/>
  <c r="E15" i="49"/>
  <c r="E8" i="49"/>
  <c r="E2" i="48"/>
  <c r="E2" i="46"/>
  <c r="E5" i="48"/>
  <c r="E4" i="49"/>
  <c r="E7" i="48"/>
  <c r="E5" i="52"/>
  <c r="E2" i="51"/>
  <c r="E10" i="45"/>
  <c r="E14" i="44"/>
  <c r="E13" i="44"/>
  <c r="E2" i="49"/>
  <c r="E19" i="44"/>
  <c r="E6" i="45"/>
  <c r="E10" i="44"/>
  <c r="E3" i="52"/>
  <c r="E6" i="46"/>
  <c r="E3" i="44"/>
  <c r="E2" i="45"/>
  <c r="E6" i="44"/>
  <c r="E11" i="51"/>
  <c r="E4" i="46"/>
  <c r="E14" i="49"/>
  <c r="E5" i="46"/>
  <c r="E4" i="48"/>
  <c r="E8" i="51"/>
  <c r="E4" i="44"/>
  <c r="E8" i="46"/>
  <c r="E6" i="52"/>
  <c r="E8" i="44"/>
  <c r="E7" i="52"/>
  <c r="E8" i="48"/>
  <c r="E13" i="49"/>
  <c r="E12" i="51"/>
  <c r="E2" i="44"/>
  <c r="E9" i="44"/>
  <c r="E5" i="45"/>
  <c r="E5" i="51"/>
  <c r="E6" i="51"/>
  <c r="E9" i="52"/>
  <c r="E2" i="52"/>
  <c r="E9" i="45"/>
  <c r="E7" i="51"/>
  <c r="E8" i="52"/>
  <c r="E7" i="46"/>
  <c r="E6" i="49"/>
  <c r="P48" i="53"/>
  <c r="P103" i="49" s="1"/>
  <c r="Q48" i="53"/>
  <c r="Q103" i="49" s="1"/>
  <c r="P64" i="53"/>
  <c r="P111" i="51" s="1"/>
  <c r="Q64" i="53"/>
  <c r="Q111" i="51" s="1"/>
  <c r="O3" i="55"/>
  <c r="O208" i="44" s="1"/>
  <c r="O75" i="55"/>
  <c r="O152" i="52" s="1"/>
  <c r="O66" i="55"/>
  <c r="O170" i="51" s="1"/>
  <c r="P80" i="53"/>
  <c r="P109" i="52" s="1"/>
  <c r="Q80" i="53"/>
  <c r="Q109" i="52" s="1"/>
  <c r="P73" i="53"/>
  <c r="P120" i="51" s="1"/>
  <c r="Q73" i="53"/>
  <c r="Q120" i="51" s="1"/>
  <c r="P62" i="53"/>
  <c r="P99" i="50" s="1"/>
  <c r="Q62" i="53"/>
  <c r="Q99" i="50" s="1"/>
  <c r="P50" i="53"/>
  <c r="P105" i="49" s="1"/>
  <c r="Q50" i="53"/>
  <c r="Q105" i="49" s="1"/>
  <c r="P26" i="53"/>
  <c r="P98" i="45" s="1"/>
  <c r="Q26" i="53"/>
  <c r="Q98" i="45" s="1"/>
  <c r="P15" i="53"/>
  <c r="P140" i="44" s="1"/>
  <c r="Q15" i="53"/>
  <c r="Q140" i="44" s="1"/>
  <c r="P8" i="53"/>
  <c r="P133" i="44" s="1"/>
  <c r="Q8" i="53"/>
  <c r="Q133" i="44" s="1"/>
  <c r="O71" i="55"/>
  <c r="O175" i="51" s="1"/>
  <c r="O73" i="55"/>
  <c r="O177" i="51" s="1"/>
  <c r="O15" i="55"/>
  <c r="O220" i="44" s="1"/>
  <c r="O76" i="55"/>
  <c r="O153" i="52" s="1"/>
  <c r="O4" i="55"/>
  <c r="O209" i="44" s="1"/>
  <c r="O47" i="55"/>
  <c r="O167" i="49" s="1"/>
  <c r="O49" i="55"/>
  <c r="O169" i="49" s="1"/>
  <c r="O12" i="55"/>
  <c r="O217" i="44" s="1"/>
  <c r="O2" i="55"/>
  <c r="O207" i="44" s="1"/>
  <c r="O46" i="55"/>
  <c r="O166" i="49" s="1"/>
  <c r="O23" i="55"/>
  <c r="O148" i="45" s="1"/>
  <c r="O37" i="55"/>
  <c r="O160" i="46" s="1"/>
  <c r="O26" i="55"/>
  <c r="O151" i="45" s="1"/>
  <c r="O63" i="55"/>
  <c r="O167" i="51" s="1"/>
  <c r="O65" i="55"/>
  <c r="O169" i="51" s="1"/>
  <c r="O11" i="55"/>
  <c r="O216" i="44" s="1"/>
  <c r="O6" i="55"/>
  <c r="O211" i="44" s="1"/>
  <c r="O36" i="55"/>
  <c r="O159" i="46" s="1"/>
  <c r="Q52" i="54"/>
  <c r="Q140" i="49" s="1"/>
  <c r="P72" i="53"/>
  <c r="P119" i="51" s="1"/>
  <c r="Q72" i="53"/>
  <c r="Q119" i="51" s="1"/>
  <c r="P65" i="53"/>
  <c r="P112" i="51" s="1"/>
  <c r="Q65" i="53"/>
  <c r="Q112" i="51" s="1"/>
  <c r="P57" i="53"/>
  <c r="P112" i="49" s="1"/>
  <c r="Q57" i="53"/>
  <c r="Q112" i="49" s="1"/>
  <c r="P49" i="53"/>
  <c r="P104" i="49" s="1"/>
  <c r="Q49" i="53"/>
  <c r="Q104" i="49" s="1"/>
  <c r="P41" i="53"/>
  <c r="P92" i="48" s="1"/>
  <c r="Q41" i="53"/>
  <c r="Q92" i="48" s="1"/>
  <c r="P33" i="53"/>
  <c r="P97" i="46" s="1"/>
  <c r="Q33" i="53"/>
  <c r="Q97" i="46" s="1"/>
  <c r="P25" i="53"/>
  <c r="P97" i="45" s="1"/>
  <c r="Q25" i="53"/>
  <c r="Q97" i="45" s="1"/>
  <c r="P14" i="53"/>
  <c r="P139" i="44" s="1"/>
  <c r="Q14" i="53"/>
  <c r="Q139" i="44" s="1"/>
  <c r="P7" i="53"/>
  <c r="P132" i="44" s="1"/>
  <c r="Q7" i="53"/>
  <c r="Q132" i="44" s="1"/>
  <c r="O39" i="55"/>
  <c r="O138" i="48" s="1"/>
  <c r="O41" i="55"/>
  <c r="O140" i="48" s="1"/>
  <c r="O14" i="55"/>
  <c r="O219" i="44" s="1"/>
  <c r="O44" i="55"/>
  <c r="O143" i="48" s="1"/>
  <c r="O74" i="55"/>
  <c r="O178" i="51" s="1"/>
  <c r="O28" i="55"/>
  <c r="O153" i="45" s="1"/>
  <c r="O72" i="55"/>
  <c r="O176" i="51" s="1"/>
  <c r="P82" i="55"/>
  <c r="P159" i="52" s="1"/>
  <c r="O55" i="55"/>
  <c r="O175" i="49" s="1"/>
  <c r="O57" i="55"/>
  <c r="O177" i="49" s="1"/>
  <c r="O7" i="55"/>
  <c r="O212" i="44" s="1"/>
  <c r="O60" i="55"/>
  <c r="O137" i="50" s="1"/>
  <c r="O31" i="55"/>
  <c r="O154" i="46" s="1"/>
  <c r="O25" i="55"/>
  <c r="O150" i="45" s="1"/>
  <c r="O34" i="55"/>
  <c r="O157" i="46" s="1"/>
  <c r="O35" i="55"/>
  <c r="O158" i="46" s="1"/>
  <c r="O59" i="55"/>
  <c r="O136" i="50" s="1"/>
  <c r="O50" i="55"/>
  <c r="O170" i="49" s="1"/>
  <c r="Q83" i="54"/>
  <c r="Q138" i="52" s="1"/>
  <c r="P77" i="53"/>
  <c r="P106" i="52" s="1"/>
  <c r="Q77" i="53"/>
  <c r="Q106" i="52" s="1"/>
  <c r="P63" i="53"/>
  <c r="P110" i="51" s="1"/>
  <c r="Q63" i="53"/>
  <c r="Q110" i="51" s="1"/>
  <c r="P51" i="53"/>
  <c r="P106" i="49" s="1"/>
  <c r="Q51" i="53"/>
  <c r="Q106" i="49" s="1"/>
  <c r="P43" i="53"/>
  <c r="P94" i="48" s="1"/>
  <c r="P31" i="53"/>
  <c r="P95" i="46" s="1"/>
  <c r="Q31" i="53"/>
  <c r="Q95" i="46" s="1"/>
  <c r="P23" i="53"/>
  <c r="P95" i="45" s="1"/>
  <c r="Q23" i="53"/>
  <c r="Q95" i="45" s="1"/>
  <c r="P12" i="53"/>
  <c r="P137" i="44" s="1"/>
  <c r="Q12" i="53"/>
  <c r="Q137" i="44" s="1"/>
  <c r="P5" i="53"/>
  <c r="P130" i="44" s="1"/>
  <c r="Q5" i="53"/>
  <c r="Q130" i="44" s="1"/>
  <c r="P32" i="53"/>
  <c r="P96" i="46" s="1"/>
  <c r="Q32" i="53"/>
  <c r="Q96" i="46" s="1"/>
  <c r="R80" i="54"/>
  <c r="R135" i="52" s="1"/>
  <c r="P17" i="53"/>
  <c r="P142" i="44" s="1"/>
  <c r="Q17" i="53"/>
  <c r="Q142" i="44" s="1"/>
  <c r="P42" i="53"/>
  <c r="P93" i="48" s="1"/>
  <c r="Q42" i="53"/>
  <c r="Q93" i="48" s="1"/>
  <c r="O43" i="55"/>
  <c r="O142" i="48" s="1"/>
  <c r="O61" i="55"/>
  <c r="O138" i="50" s="1"/>
  <c r="P58" i="53"/>
  <c r="P113" i="49" s="1"/>
  <c r="Q58" i="53"/>
  <c r="Q113" i="49" s="1"/>
  <c r="Q81" i="54"/>
  <c r="Q136" i="52" s="1"/>
  <c r="P75" i="53"/>
  <c r="P104" i="52" s="1"/>
  <c r="Q75" i="53"/>
  <c r="Q104" i="52" s="1"/>
  <c r="P68" i="53"/>
  <c r="P115" i="51" s="1"/>
  <c r="Q68" i="53"/>
  <c r="Q115" i="51" s="1"/>
  <c r="P56" i="53"/>
  <c r="P111" i="49" s="1"/>
  <c r="Q56" i="53"/>
  <c r="Q111" i="49" s="1"/>
  <c r="P44" i="53"/>
  <c r="P95" i="48" s="1"/>
  <c r="Q44" i="53"/>
  <c r="Q95" i="48" s="1"/>
  <c r="P36" i="53"/>
  <c r="P100" i="46" s="1"/>
  <c r="Q36" i="53"/>
  <c r="Q100" i="46" s="1"/>
  <c r="P24" i="53"/>
  <c r="P96" i="45" s="1"/>
  <c r="Q24" i="53"/>
  <c r="Q96" i="45" s="1"/>
  <c r="P13" i="53"/>
  <c r="P138" i="44" s="1"/>
  <c r="Q13" i="53"/>
  <c r="Q138" i="44" s="1"/>
  <c r="P2" i="53"/>
  <c r="P127" i="44" s="1"/>
  <c r="Q2" i="53"/>
  <c r="Q127" i="44" s="1"/>
  <c r="P34" i="53"/>
  <c r="P98" i="46" s="1"/>
  <c r="Q34" i="53"/>
  <c r="Q98" i="46" s="1"/>
  <c r="O24" i="55"/>
  <c r="O149" i="45" s="1"/>
  <c r="O68" i="55"/>
  <c r="O172" i="51" s="1"/>
  <c r="P38" i="53"/>
  <c r="P89" i="48" s="1"/>
  <c r="Q38" i="53"/>
  <c r="Q89" i="48" s="1"/>
  <c r="P66" i="53"/>
  <c r="P113" i="51" s="1"/>
  <c r="Q66" i="53"/>
  <c r="Q113" i="51" s="1"/>
  <c r="P54" i="53"/>
  <c r="P109" i="49" s="1"/>
  <c r="Q54" i="53"/>
  <c r="Q109" i="49" s="1"/>
  <c r="P30" i="53"/>
  <c r="P94" i="46" s="1"/>
  <c r="P19" i="53"/>
  <c r="P144" i="44" s="1"/>
  <c r="Q19" i="53"/>
  <c r="Q144" i="44" s="1"/>
  <c r="P11" i="53"/>
  <c r="P136" i="44" s="1"/>
  <c r="Q11" i="53"/>
  <c r="Q136" i="44" s="1"/>
  <c r="O33" i="55"/>
  <c r="O156" i="46" s="1"/>
  <c r="O64" i="55"/>
  <c r="O168" i="51" s="1"/>
  <c r="N83" i="55"/>
  <c r="N160" i="52" s="1"/>
  <c r="O67" i="55"/>
  <c r="O171" i="51" s="1"/>
  <c r="O42" i="55"/>
  <c r="O141" i="48" s="1"/>
  <c r="O21" i="55"/>
  <c r="O146" i="45" s="1"/>
  <c r="O40" i="55"/>
  <c r="O139" i="48" s="1"/>
  <c r="O54" i="55"/>
  <c r="O174" i="49" s="1"/>
  <c r="O9" i="55"/>
  <c r="O214" i="44" s="1"/>
  <c r="O80" i="55"/>
  <c r="O157" i="52" s="1"/>
  <c r="O8" i="55"/>
  <c r="O213" i="44" s="1"/>
  <c r="O18" i="55"/>
  <c r="O223" i="44" s="1"/>
  <c r="O58" i="55"/>
  <c r="O178" i="49" s="1"/>
  <c r="O29" i="55"/>
  <c r="O154" i="45" s="1"/>
  <c r="O56" i="55"/>
  <c r="O176" i="49" s="1"/>
  <c r="O70" i="55"/>
  <c r="O174" i="51" s="1"/>
  <c r="O17" i="55"/>
  <c r="O222" i="44" s="1"/>
  <c r="O45" i="55"/>
  <c r="O165" i="49" s="1"/>
  <c r="P4" i="53"/>
  <c r="P129" i="44" s="1"/>
  <c r="Q4" i="53"/>
  <c r="Q129" i="44" s="1"/>
  <c r="P79" i="53"/>
  <c r="P108" i="52" s="1"/>
  <c r="Q79" i="53"/>
  <c r="Q108" i="52" s="1"/>
  <c r="P69" i="53"/>
  <c r="P116" i="51" s="1"/>
  <c r="Q69" i="53"/>
  <c r="Q116" i="51" s="1"/>
  <c r="P61" i="53"/>
  <c r="P98" i="50" s="1"/>
  <c r="Q61" i="53"/>
  <c r="Q98" i="50" s="1"/>
  <c r="P53" i="53"/>
  <c r="P108" i="49" s="1"/>
  <c r="Q53" i="53"/>
  <c r="Q108" i="49" s="1"/>
  <c r="P45" i="53"/>
  <c r="P100" i="49" s="1"/>
  <c r="Q45" i="53"/>
  <c r="Q100" i="49" s="1"/>
  <c r="P37" i="53"/>
  <c r="P101" i="46" s="1"/>
  <c r="Q37" i="53"/>
  <c r="Q101" i="46" s="1"/>
  <c r="P29" i="53"/>
  <c r="P101" i="45" s="1"/>
  <c r="Q29" i="53"/>
  <c r="Q101" i="45" s="1"/>
  <c r="P18" i="53"/>
  <c r="P143" i="44" s="1"/>
  <c r="Q18" i="53"/>
  <c r="Q143" i="44" s="1"/>
  <c r="P3" i="53"/>
  <c r="P128" i="44" s="1"/>
  <c r="Q3" i="53"/>
  <c r="Q128" i="44" s="1"/>
  <c r="O16" i="55"/>
  <c r="O221" i="44" s="1"/>
  <c r="O22" i="55"/>
  <c r="O147" i="45" s="1"/>
  <c r="O62" i="55"/>
  <c r="O139" i="50" s="1"/>
  <c r="O32" i="55"/>
  <c r="O155" i="46" s="1"/>
  <c r="O53" i="55"/>
  <c r="O173" i="49" s="1"/>
  <c r="O5" i="55"/>
  <c r="O210" i="44" s="1"/>
  <c r="O79" i="55"/>
  <c r="O156" i="52" s="1"/>
  <c r="O81" i="55"/>
  <c r="O158" i="52" s="1"/>
  <c r="O20" i="55"/>
  <c r="O145" i="45" s="1"/>
  <c r="O48" i="55"/>
  <c r="O168" i="49" s="1"/>
  <c r="O78" i="55"/>
  <c r="O155" i="52" s="1"/>
  <c r="O51" i="55"/>
  <c r="O171" i="49" s="1"/>
  <c r="O69" i="55"/>
  <c r="O173" i="51" s="1"/>
  <c r="O13" i="55"/>
  <c r="O218" i="44" s="1"/>
  <c r="O10" i="55"/>
  <c r="O215" i="44" s="1"/>
  <c r="O38" i="55"/>
  <c r="O137" i="48" s="1"/>
  <c r="O27" i="55"/>
  <c r="O152" i="45" s="1"/>
  <c r="O52" i="55"/>
  <c r="O172" i="49" s="1"/>
  <c r="P46" i="53"/>
  <c r="P101" i="49" s="1"/>
  <c r="Q46" i="53"/>
  <c r="Q101" i="49" s="1"/>
  <c r="P67" i="53"/>
  <c r="P114" i="51" s="1"/>
  <c r="Q67" i="53"/>
  <c r="Q114" i="51" s="1"/>
  <c r="P59" i="53"/>
  <c r="P96" i="50" s="1"/>
  <c r="Q59" i="53"/>
  <c r="Q96" i="50" s="1"/>
  <c r="P47" i="53"/>
  <c r="P102" i="49" s="1"/>
  <c r="Q47" i="53"/>
  <c r="Q102" i="49" s="1"/>
  <c r="P27" i="53"/>
  <c r="P99" i="45" s="1"/>
  <c r="Q27" i="53"/>
  <c r="Q99" i="45" s="1"/>
  <c r="P16" i="53"/>
  <c r="P141" i="44" s="1"/>
  <c r="Q16" i="53"/>
  <c r="Q141" i="44" s="1"/>
  <c r="P9" i="53"/>
  <c r="P134" i="44" s="1"/>
  <c r="Q9" i="53"/>
  <c r="Q134" i="44" s="1"/>
  <c r="P78" i="53"/>
  <c r="P107" i="52" s="1"/>
  <c r="Q78" i="53"/>
  <c r="Q107" i="52" s="1"/>
  <c r="O19" i="55"/>
  <c r="O224" i="44" s="1"/>
  <c r="O30" i="55"/>
  <c r="O153" i="46" s="1"/>
  <c r="O77" i="55"/>
  <c r="O154" i="52" s="1"/>
  <c r="P82" i="53"/>
  <c r="P111" i="52" s="1"/>
  <c r="Q82" i="53"/>
  <c r="Q111" i="52" s="1"/>
  <c r="P71" i="53"/>
  <c r="P118" i="51" s="1"/>
  <c r="Q71" i="53"/>
  <c r="Q118" i="51" s="1"/>
  <c r="P60" i="53"/>
  <c r="P97" i="50" s="1"/>
  <c r="Q60" i="53"/>
  <c r="Q97" i="50" s="1"/>
  <c r="P52" i="53"/>
  <c r="P107" i="49" s="1"/>
  <c r="Q52" i="53"/>
  <c r="Q107" i="49" s="1"/>
  <c r="P40" i="53"/>
  <c r="P91" i="48" s="1"/>
  <c r="Q40" i="53"/>
  <c r="Q91" i="48" s="1"/>
  <c r="P28" i="53"/>
  <c r="P100" i="45" s="1"/>
  <c r="Q28" i="53"/>
  <c r="Q100" i="45" s="1"/>
  <c r="P21" i="53"/>
  <c r="P93" i="45" s="1"/>
  <c r="Q21" i="53"/>
  <c r="Q93" i="45" s="1"/>
  <c r="P6" i="53"/>
  <c r="P131" i="44" s="1"/>
  <c r="Q6" i="53"/>
  <c r="Q131" i="44" s="1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H47" i="26"/>
  <c r="G47" i="26"/>
  <c r="F47" i="26"/>
  <c r="E47" i="26"/>
  <c r="D47" i="26"/>
  <c r="C47" i="26"/>
  <c r="Q46" i="26"/>
  <c r="P46" i="26"/>
  <c r="O46" i="26"/>
  <c r="N46" i="26"/>
  <c r="M46" i="26"/>
  <c r="L46" i="26"/>
  <c r="K46" i="26"/>
  <c r="J46" i="26"/>
  <c r="H46" i="26"/>
  <c r="G46" i="26"/>
  <c r="F46" i="26"/>
  <c r="E46" i="26"/>
  <c r="D46" i="26"/>
  <c r="C46" i="26"/>
  <c r="Q45" i="26"/>
  <c r="P45" i="26"/>
  <c r="O45" i="26"/>
  <c r="N45" i="26"/>
  <c r="M45" i="26"/>
  <c r="L45" i="26"/>
  <c r="K45" i="26"/>
  <c r="J45" i="26"/>
  <c r="H45" i="26"/>
  <c r="G45" i="26"/>
  <c r="F45" i="26"/>
  <c r="E45" i="26"/>
  <c r="D45" i="26"/>
  <c r="C45" i="26"/>
  <c r="Q44" i="26"/>
  <c r="P44" i="26"/>
  <c r="O44" i="26"/>
  <c r="N44" i="26"/>
  <c r="M44" i="26"/>
  <c r="L44" i="26"/>
  <c r="K44" i="26"/>
  <c r="J44" i="26"/>
  <c r="H44" i="26"/>
  <c r="G44" i="26"/>
  <c r="F44" i="26"/>
  <c r="E44" i="26"/>
  <c r="D44" i="26"/>
  <c r="C44" i="26"/>
  <c r="Q43" i="26"/>
  <c r="P43" i="26"/>
  <c r="O43" i="26"/>
  <c r="N43" i="26"/>
  <c r="M43" i="26"/>
  <c r="L43" i="26"/>
  <c r="K43" i="26"/>
  <c r="J43" i="26"/>
  <c r="H43" i="26"/>
  <c r="G43" i="26"/>
  <c r="F43" i="26"/>
  <c r="E43" i="26"/>
  <c r="D43" i="26"/>
  <c r="C43" i="26"/>
  <c r="Q42" i="26"/>
  <c r="P42" i="26"/>
  <c r="O42" i="26"/>
  <c r="N42" i="26"/>
  <c r="M42" i="26"/>
  <c r="L42" i="26"/>
  <c r="K42" i="26"/>
  <c r="J42" i="26"/>
  <c r="H42" i="26"/>
  <c r="G42" i="26"/>
  <c r="F42" i="26"/>
  <c r="E42" i="26"/>
  <c r="D42" i="26"/>
  <c r="C42" i="26"/>
  <c r="Q41" i="26"/>
  <c r="P41" i="26"/>
  <c r="O41" i="26"/>
  <c r="N41" i="26"/>
  <c r="M41" i="26"/>
  <c r="L41" i="26"/>
  <c r="K41" i="26"/>
  <c r="J41" i="26"/>
  <c r="H41" i="26"/>
  <c r="G41" i="26"/>
  <c r="F41" i="26"/>
  <c r="E41" i="26"/>
  <c r="D41" i="26"/>
  <c r="C41" i="26"/>
  <c r="Q40" i="26"/>
  <c r="P40" i="26"/>
  <c r="O40" i="26"/>
  <c r="N40" i="26"/>
  <c r="M40" i="26"/>
  <c r="L40" i="26"/>
  <c r="K40" i="26"/>
  <c r="J40" i="26"/>
  <c r="H40" i="26"/>
  <c r="G40" i="26"/>
  <c r="F40" i="26"/>
  <c r="E40" i="26"/>
  <c r="D40" i="26"/>
  <c r="C40" i="26"/>
  <c r="Q39" i="26"/>
  <c r="P39" i="26"/>
  <c r="O39" i="26"/>
  <c r="N39" i="26"/>
  <c r="M39" i="26"/>
  <c r="L39" i="26"/>
  <c r="K39" i="26"/>
  <c r="J39" i="26"/>
  <c r="H39" i="26"/>
  <c r="G39" i="26"/>
  <c r="F39" i="26"/>
  <c r="E39" i="26"/>
  <c r="D39" i="26"/>
  <c r="C39" i="26"/>
  <c r="Q38" i="26"/>
  <c r="P38" i="26"/>
  <c r="O38" i="26"/>
  <c r="N38" i="26"/>
  <c r="M38" i="26"/>
  <c r="L38" i="26"/>
  <c r="K38" i="26"/>
  <c r="J38" i="26"/>
  <c r="H38" i="26"/>
  <c r="G38" i="26"/>
  <c r="F38" i="26"/>
  <c r="E38" i="26"/>
  <c r="D38" i="26"/>
  <c r="C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K36" i="26"/>
  <c r="J36" i="26"/>
  <c r="H36" i="26"/>
  <c r="G36" i="26"/>
  <c r="F36" i="26"/>
  <c r="E36" i="26"/>
  <c r="D36" i="26"/>
  <c r="C36" i="26"/>
  <c r="Q35" i="26"/>
  <c r="P35" i="26"/>
  <c r="O35" i="26"/>
  <c r="N35" i="26"/>
  <c r="M35" i="26"/>
  <c r="L35" i="26"/>
  <c r="K35" i="26"/>
  <c r="J35" i="26"/>
  <c r="H35" i="26"/>
  <c r="G35" i="26"/>
  <c r="F35" i="26"/>
  <c r="E35" i="26"/>
  <c r="D35" i="26"/>
  <c r="C35" i="26"/>
  <c r="Q34" i="26"/>
  <c r="P34" i="26"/>
  <c r="O34" i="26"/>
  <c r="N34" i="26"/>
  <c r="M34" i="26"/>
  <c r="L34" i="26"/>
  <c r="K34" i="26"/>
  <c r="J34" i="26"/>
  <c r="H34" i="26"/>
  <c r="G34" i="26"/>
  <c r="F34" i="26"/>
  <c r="E34" i="26"/>
  <c r="D34" i="26"/>
  <c r="C34" i="26"/>
  <c r="Q33" i="26"/>
  <c r="P33" i="26"/>
  <c r="O33" i="26"/>
  <c r="N33" i="26"/>
  <c r="M33" i="26"/>
  <c r="L33" i="26"/>
  <c r="K33" i="26"/>
  <c r="J33" i="26"/>
  <c r="H33" i="26"/>
  <c r="G33" i="26"/>
  <c r="F33" i="26"/>
  <c r="E33" i="26"/>
  <c r="D33" i="26"/>
  <c r="C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K31" i="26"/>
  <c r="J31" i="26"/>
  <c r="H31" i="26"/>
  <c r="G31" i="26"/>
  <c r="F31" i="26"/>
  <c r="E31" i="26"/>
  <c r="D31" i="26"/>
  <c r="C31" i="26"/>
  <c r="Q30" i="26"/>
  <c r="P30" i="26"/>
  <c r="O30" i="26"/>
  <c r="N30" i="26"/>
  <c r="M30" i="26"/>
  <c r="L30" i="26"/>
  <c r="K30" i="26"/>
  <c r="J30" i="26"/>
  <c r="H30" i="26"/>
  <c r="G30" i="26"/>
  <c r="F30" i="26"/>
  <c r="E30" i="26"/>
  <c r="D30" i="26"/>
  <c r="C30" i="26"/>
  <c r="Q29" i="26"/>
  <c r="P29" i="26"/>
  <c r="O29" i="26"/>
  <c r="N29" i="26"/>
  <c r="M29" i="26"/>
  <c r="L29" i="26"/>
  <c r="K29" i="26"/>
  <c r="J29" i="26"/>
  <c r="H29" i="26"/>
  <c r="G29" i="26"/>
  <c r="F29" i="26"/>
  <c r="E29" i="26"/>
  <c r="D29" i="26"/>
  <c r="C29" i="26"/>
  <c r="Q28" i="26"/>
  <c r="P28" i="26"/>
  <c r="O28" i="26"/>
  <c r="N28" i="26"/>
  <c r="M28" i="26"/>
  <c r="L28" i="26"/>
  <c r="K28" i="26"/>
  <c r="J28" i="26"/>
  <c r="H28" i="26"/>
  <c r="G28" i="26"/>
  <c r="F28" i="26"/>
  <c r="E28" i="26"/>
  <c r="D28" i="26"/>
  <c r="C28" i="26"/>
  <c r="Q27" i="26"/>
  <c r="P27" i="26"/>
  <c r="O27" i="26"/>
  <c r="N27" i="26"/>
  <c r="M27" i="26"/>
  <c r="L27" i="26"/>
  <c r="K27" i="26"/>
  <c r="J27" i="26"/>
  <c r="H27" i="26"/>
  <c r="G27" i="26"/>
  <c r="F27" i="26"/>
  <c r="E27" i="26"/>
  <c r="D27" i="26"/>
  <c r="C27" i="26"/>
  <c r="Q26" i="26"/>
  <c r="P26" i="26"/>
  <c r="O26" i="26"/>
  <c r="N26" i="26"/>
  <c r="M26" i="26"/>
  <c r="L26" i="26"/>
  <c r="K26" i="26"/>
  <c r="J26" i="26"/>
  <c r="H26" i="26"/>
  <c r="G26" i="26"/>
  <c r="F26" i="26"/>
  <c r="E26" i="26"/>
  <c r="D26" i="26"/>
  <c r="C26" i="26"/>
  <c r="Q25" i="26"/>
  <c r="P25" i="26"/>
  <c r="O25" i="26"/>
  <c r="N25" i="26"/>
  <c r="M25" i="26"/>
  <c r="L25" i="26"/>
  <c r="K25" i="26"/>
  <c r="J25" i="26"/>
  <c r="H25" i="26"/>
  <c r="G25" i="26"/>
  <c r="F25" i="26"/>
  <c r="E25" i="26"/>
  <c r="D25" i="26"/>
  <c r="C25" i="26"/>
  <c r="Q24" i="26"/>
  <c r="P24" i="26"/>
  <c r="O24" i="26"/>
  <c r="N24" i="26"/>
  <c r="M24" i="26"/>
  <c r="L24" i="26"/>
  <c r="K24" i="26"/>
  <c r="J24" i="26"/>
  <c r="H24" i="26"/>
  <c r="G24" i="26"/>
  <c r="F24" i="26"/>
  <c r="E24" i="26"/>
  <c r="D24" i="26"/>
  <c r="C24" i="26"/>
  <c r="Q23" i="26"/>
  <c r="P23" i="26"/>
  <c r="O23" i="26"/>
  <c r="N23" i="26"/>
  <c r="M23" i="26"/>
  <c r="L23" i="26"/>
  <c r="K23" i="26"/>
  <c r="J23" i="26"/>
  <c r="H23" i="26"/>
  <c r="G23" i="26"/>
  <c r="F23" i="26"/>
  <c r="E23" i="26"/>
  <c r="D23" i="26"/>
  <c r="C23" i="26"/>
  <c r="Q22" i="26"/>
  <c r="P22" i="26"/>
  <c r="O22" i="26"/>
  <c r="N22" i="26"/>
  <c r="M22" i="26"/>
  <c r="L22" i="26"/>
  <c r="K22" i="26"/>
  <c r="J22" i="26"/>
  <c r="H22" i="26"/>
  <c r="G22" i="26"/>
  <c r="F22" i="26"/>
  <c r="E22" i="26"/>
  <c r="D22" i="26"/>
  <c r="C22" i="26"/>
  <c r="Q21" i="26"/>
  <c r="P21" i="26"/>
  <c r="O21" i="26"/>
  <c r="N21" i="26"/>
  <c r="M21" i="26"/>
  <c r="L21" i="26"/>
  <c r="K21" i="26"/>
  <c r="J21" i="26"/>
  <c r="H21" i="26"/>
  <c r="G21" i="26"/>
  <c r="F21" i="26"/>
  <c r="E21" i="26"/>
  <c r="D21" i="26"/>
  <c r="C21" i="26"/>
  <c r="Q20" i="26"/>
  <c r="P20" i="26"/>
  <c r="O20" i="26"/>
  <c r="N20" i="26"/>
  <c r="M20" i="26"/>
  <c r="L20" i="26"/>
  <c r="K20" i="26"/>
  <c r="J20" i="26"/>
  <c r="H20" i="26"/>
  <c r="G20" i="26"/>
  <c r="F20" i="26"/>
  <c r="E20" i="26"/>
  <c r="D20" i="26"/>
  <c r="C20" i="26"/>
  <c r="Q19" i="26"/>
  <c r="P19" i="26"/>
  <c r="O19" i="26"/>
  <c r="N19" i="26"/>
  <c r="M19" i="26"/>
  <c r="L19" i="26"/>
  <c r="K19" i="26"/>
  <c r="J19" i="26"/>
  <c r="H19" i="26"/>
  <c r="G19" i="26"/>
  <c r="F19" i="26"/>
  <c r="E19" i="26"/>
  <c r="D19" i="26"/>
  <c r="C19" i="26"/>
  <c r="Q18" i="26"/>
  <c r="P18" i="26"/>
  <c r="O18" i="26"/>
  <c r="N18" i="26"/>
  <c r="M18" i="26"/>
  <c r="L18" i="26"/>
  <c r="K18" i="26"/>
  <c r="J18" i="26"/>
  <c r="H18" i="26"/>
  <c r="G18" i="26"/>
  <c r="F18" i="26"/>
  <c r="E18" i="26"/>
  <c r="D18" i="26"/>
  <c r="C18" i="26"/>
  <c r="Q17" i="26"/>
  <c r="P17" i="26"/>
  <c r="O17" i="26"/>
  <c r="N17" i="26"/>
  <c r="M17" i="26"/>
  <c r="L17" i="26"/>
  <c r="K17" i="26"/>
  <c r="J17" i="26"/>
  <c r="H17" i="26"/>
  <c r="G17" i="26"/>
  <c r="F17" i="26"/>
  <c r="E17" i="26"/>
  <c r="D17" i="26"/>
  <c r="C17" i="26"/>
  <c r="Q16" i="26"/>
  <c r="P16" i="26"/>
  <c r="O16" i="26"/>
  <c r="N16" i="26"/>
  <c r="M16" i="26"/>
  <c r="L16" i="26"/>
  <c r="K16" i="26"/>
  <c r="J16" i="26"/>
  <c r="H16" i="26"/>
  <c r="G16" i="26"/>
  <c r="F16" i="26"/>
  <c r="E16" i="26"/>
  <c r="D16" i="26"/>
  <c r="C16" i="26"/>
  <c r="Q15" i="26"/>
  <c r="P15" i="26"/>
  <c r="O15" i="26"/>
  <c r="N15" i="26"/>
  <c r="M15" i="26"/>
  <c r="L15" i="26"/>
  <c r="K15" i="26"/>
  <c r="J15" i="26"/>
  <c r="H15" i="26"/>
  <c r="G15" i="26"/>
  <c r="F15" i="26"/>
  <c r="E15" i="26"/>
  <c r="D15" i="26"/>
  <c r="C15" i="26"/>
  <c r="Q14" i="26"/>
  <c r="P14" i="26"/>
  <c r="O14" i="26"/>
  <c r="N14" i="26"/>
  <c r="M14" i="26"/>
  <c r="L14" i="26"/>
  <c r="K14" i="26"/>
  <c r="J14" i="26"/>
  <c r="H14" i="26"/>
  <c r="G14" i="26"/>
  <c r="F14" i="26"/>
  <c r="E14" i="26"/>
  <c r="D14" i="26"/>
  <c r="C14" i="26"/>
  <c r="Q13" i="26"/>
  <c r="P13" i="26"/>
  <c r="O13" i="26"/>
  <c r="N13" i="26"/>
  <c r="M13" i="26"/>
  <c r="L13" i="26"/>
  <c r="K13" i="26"/>
  <c r="J13" i="26"/>
  <c r="H13" i="26"/>
  <c r="G13" i="26"/>
  <c r="F13" i="26"/>
  <c r="E13" i="26"/>
  <c r="D13" i="26"/>
  <c r="C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Q10" i="26"/>
  <c r="P10" i="26"/>
  <c r="O10" i="26"/>
  <c r="N10" i="26"/>
  <c r="M10" i="26"/>
  <c r="L10" i="26"/>
  <c r="K10" i="26"/>
  <c r="J10" i="26"/>
  <c r="H10" i="26"/>
  <c r="G10" i="26"/>
  <c r="F10" i="26"/>
  <c r="E10" i="26"/>
  <c r="D10" i="26"/>
  <c r="C10" i="26"/>
  <c r="Q9" i="26"/>
  <c r="P9" i="26"/>
  <c r="O9" i="26"/>
  <c r="N9" i="26"/>
  <c r="M9" i="26"/>
  <c r="L9" i="26"/>
  <c r="K9" i="26"/>
  <c r="J9" i="26"/>
  <c r="H9" i="26"/>
  <c r="G9" i="26"/>
  <c r="F9" i="26"/>
  <c r="E9" i="26"/>
  <c r="D9" i="26"/>
  <c r="C9" i="26"/>
  <c r="Q8" i="26"/>
  <c r="P8" i="26"/>
  <c r="O8" i="26"/>
  <c r="N8" i="26"/>
  <c r="M8" i="26"/>
  <c r="L8" i="26"/>
  <c r="K8" i="26"/>
  <c r="J8" i="26"/>
  <c r="H8" i="26"/>
  <c r="G8" i="26"/>
  <c r="F8" i="26"/>
  <c r="E8" i="26"/>
  <c r="D8" i="26"/>
  <c r="C8" i="26"/>
  <c r="Q7" i="26"/>
  <c r="P7" i="26"/>
  <c r="O7" i="26"/>
  <c r="N7" i="26"/>
  <c r="M7" i="26"/>
  <c r="L7" i="26"/>
  <c r="K7" i="26"/>
  <c r="J7" i="26"/>
  <c r="H7" i="26"/>
  <c r="G7" i="26"/>
  <c r="F7" i="26"/>
  <c r="E7" i="26"/>
  <c r="D7" i="26"/>
  <c r="C7" i="26"/>
  <c r="D15" i="49" l="1"/>
  <c r="D14" i="49"/>
  <c r="D7" i="52"/>
  <c r="D7" i="51"/>
  <c r="D13" i="49"/>
  <c r="D9" i="52"/>
  <c r="D8" i="51"/>
  <c r="D6" i="52"/>
  <c r="D5" i="49"/>
  <c r="D6" i="51"/>
  <c r="D5" i="52"/>
  <c r="D5" i="51"/>
  <c r="D11" i="49"/>
  <c r="D9" i="51"/>
  <c r="D8" i="52"/>
  <c r="D12" i="49"/>
  <c r="D4" i="52"/>
  <c r="D4" i="51"/>
  <c r="D10" i="49"/>
  <c r="E3" i="46"/>
  <c r="D3" i="52"/>
  <c r="D3" i="51"/>
  <c r="D9" i="49"/>
  <c r="D2" i="51"/>
  <c r="D8" i="49"/>
  <c r="D2" i="52"/>
  <c r="D13" i="51"/>
  <c r="D5" i="50"/>
  <c r="D7" i="49"/>
  <c r="D12" i="51"/>
  <c r="D4" i="50"/>
  <c r="D6" i="49"/>
  <c r="D3" i="50"/>
  <c r="D10" i="52"/>
  <c r="D10" i="51"/>
  <c r="D2" i="50"/>
  <c r="D11" i="51"/>
  <c r="I28" i="26"/>
  <c r="I43" i="26"/>
  <c r="N30" i="55"/>
  <c r="N153" i="46" s="1"/>
  <c r="N27" i="55"/>
  <c r="N152" i="45" s="1"/>
  <c r="N10" i="55"/>
  <c r="N215" i="44" s="1"/>
  <c r="N69" i="55"/>
  <c r="N173" i="51" s="1"/>
  <c r="N78" i="55"/>
  <c r="N155" i="52" s="1"/>
  <c r="N20" i="55"/>
  <c r="N145" i="45" s="1"/>
  <c r="N79" i="55"/>
  <c r="N156" i="52" s="1"/>
  <c r="N53" i="55"/>
  <c r="N173" i="49" s="1"/>
  <c r="N62" i="55"/>
  <c r="N139" i="50" s="1"/>
  <c r="N16" i="55"/>
  <c r="N221" i="44" s="1"/>
  <c r="N17" i="55"/>
  <c r="N222" i="44" s="1"/>
  <c r="N56" i="55"/>
  <c r="N176" i="49" s="1"/>
  <c r="N58" i="55"/>
  <c r="N178" i="49" s="1"/>
  <c r="N8" i="55"/>
  <c r="N213" i="44" s="1"/>
  <c r="N9" i="55"/>
  <c r="N214" i="44" s="1"/>
  <c r="N40" i="55"/>
  <c r="N139" i="48" s="1"/>
  <c r="N42" i="55"/>
  <c r="N141" i="48" s="1"/>
  <c r="M83" i="55"/>
  <c r="M160" i="52" s="1"/>
  <c r="N33" i="55"/>
  <c r="N156" i="46" s="1"/>
  <c r="N24" i="55"/>
  <c r="N149" i="45" s="1"/>
  <c r="P81" i="54"/>
  <c r="P136" i="52" s="1"/>
  <c r="N61" i="55"/>
  <c r="N138" i="50" s="1"/>
  <c r="Q80" i="54"/>
  <c r="Q135" i="52" s="1"/>
  <c r="P83" i="54"/>
  <c r="P138" i="52" s="1"/>
  <c r="N59" i="55"/>
  <c r="N136" i="50" s="1"/>
  <c r="N34" i="55"/>
  <c r="N157" i="46" s="1"/>
  <c r="N31" i="55"/>
  <c r="N154" i="46" s="1"/>
  <c r="N7" i="55"/>
  <c r="N212" i="44" s="1"/>
  <c r="N55" i="55"/>
  <c r="N175" i="49" s="1"/>
  <c r="N72" i="55"/>
  <c r="N176" i="51" s="1"/>
  <c r="N74" i="55"/>
  <c r="N178" i="51" s="1"/>
  <c r="N14" i="55"/>
  <c r="N219" i="44" s="1"/>
  <c r="N39" i="55"/>
  <c r="N138" i="48" s="1"/>
  <c r="P52" i="54"/>
  <c r="P140" i="49" s="1"/>
  <c r="N6" i="55"/>
  <c r="N211" i="44" s="1"/>
  <c r="N65" i="55"/>
  <c r="N169" i="51" s="1"/>
  <c r="N26" i="55"/>
  <c r="N151" i="45" s="1"/>
  <c r="N23" i="55"/>
  <c r="N148" i="45" s="1"/>
  <c r="N2" i="55"/>
  <c r="N207" i="44" s="1"/>
  <c r="N49" i="55"/>
  <c r="N169" i="49" s="1"/>
  <c r="N4" i="55"/>
  <c r="N209" i="44" s="1"/>
  <c r="N15" i="55"/>
  <c r="N220" i="44" s="1"/>
  <c r="N71" i="55"/>
  <c r="N175" i="51" s="1"/>
  <c r="N66" i="55"/>
  <c r="N170" i="51" s="1"/>
  <c r="N3" i="55"/>
  <c r="N208" i="44" s="1"/>
  <c r="I30" i="26"/>
  <c r="I34" i="26"/>
  <c r="I36" i="26"/>
  <c r="I45" i="26"/>
  <c r="I47" i="26"/>
  <c r="N77" i="55"/>
  <c r="N154" i="52" s="1"/>
  <c r="N19" i="55"/>
  <c r="N224" i="44" s="1"/>
  <c r="N52" i="55"/>
  <c r="N172" i="49" s="1"/>
  <c r="N38" i="55"/>
  <c r="N137" i="48" s="1"/>
  <c r="N13" i="55"/>
  <c r="N218" i="44" s="1"/>
  <c r="N51" i="55"/>
  <c r="N171" i="49" s="1"/>
  <c r="N48" i="55"/>
  <c r="N168" i="49" s="1"/>
  <c r="N81" i="55"/>
  <c r="N158" i="52" s="1"/>
  <c r="N5" i="55"/>
  <c r="N210" i="44" s="1"/>
  <c r="M32" i="55"/>
  <c r="M155" i="46" s="1"/>
  <c r="N32" i="55"/>
  <c r="N155" i="46" s="1"/>
  <c r="N22" i="55"/>
  <c r="N147" i="45" s="1"/>
  <c r="N45" i="55"/>
  <c r="N165" i="49" s="1"/>
  <c r="N70" i="55"/>
  <c r="N174" i="51" s="1"/>
  <c r="N29" i="55"/>
  <c r="N154" i="45" s="1"/>
  <c r="N18" i="55"/>
  <c r="N223" i="44" s="1"/>
  <c r="N80" i="55"/>
  <c r="N157" i="52" s="1"/>
  <c r="N54" i="55"/>
  <c r="N174" i="49" s="1"/>
  <c r="N21" i="55"/>
  <c r="N146" i="45" s="1"/>
  <c r="N67" i="55"/>
  <c r="N171" i="51" s="1"/>
  <c r="N64" i="55"/>
  <c r="N168" i="51" s="1"/>
  <c r="N68" i="55"/>
  <c r="N172" i="51" s="1"/>
  <c r="N43" i="55"/>
  <c r="N142" i="48" s="1"/>
  <c r="N50" i="55"/>
  <c r="N170" i="49" s="1"/>
  <c r="N35" i="55"/>
  <c r="N158" i="46" s="1"/>
  <c r="N25" i="55"/>
  <c r="N150" i="45" s="1"/>
  <c r="N60" i="55"/>
  <c r="N137" i="50" s="1"/>
  <c r="N57" i="55"/>
  <c r="N177" i="49" s="1"/>
  <c r="O82" i="55"/>
  <c r="O159" i="52" s="1"/>
  <c r="N28" i="55"/>
  <c r="N153" i="45" s="1"/>
  <c r="N44" i="55"/>
  <c r="N143" i="48" s="1"/>
  <c r="N41" i="55"/>
  <c r="N140" i="48" s="1"/>
  <c r="N36" i="55"/>
  <c r="N159" i="46" s="1"/>
  <c r="N11" i="55"/>
  <c r="N216" i="44" s="1"/>
  <c r="N63" i="55"/>
  <c r="N167" i="51" s="1"/>
  <c r="M37" i="55"/>
  <c r="M160" i="46" s="1"/>
  <c r="N37" i="55"/>
  <c r="N160" i="46" s="1"/>
  <c r="N46" i="55"/>
  <c r="N166" i="49" s="1"/>
  <c r="N12" i="55"/>
  <c r="N217" i="44" s="1"/>
  <c r="N47" i="55"/>
  <c r="N167" i="49" s="1"/>
  <c r="N76" i="55"/>
  <c r="N153" i="52" s="1"/>
  <c r="N73" i="55"/>
  <c r="N177" i="51" s="1"/>
  <c r="N75" i="55"/>
  <c r="N152" i="52" s="1"/>
  <c r="I29" i="26"/>
  <c r="I33" i="26"/>
  <c r="I35" i="26"/>
  <c r="I19" i="26"/>
  <c r="I21" i="26"/>
  <c r="I23" i="26"/>
  <c r="I25" i="26"/>
  <c r="I27" i="26"/>
  <c r="I31" i="26"/>
  <c r="I42" i="26"/>
  <c r="I46" i="26"/>
  <c r="I20" i="26"/>
  <c r="I22" i="26"/>
  <c r="I24" i="26"/>
  <c r="I26" i="26"/>
  <c r="I44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L32" i="47"/>
  <c r="I38" i="26"/>
  <c r="I39" i="26"/>
  <c r="I40" i="26"/>
  <c r="I41" i="26"/>
  <c r="L37" i="47"/>
  <c r="Q6" i="26"/>
  <c r="P6" i="26"/>
  <c r="O6" i="26"/>
  <c r="N6" i="26"/>
  <c r="M6" i="26"/>
  <c r="L6" i="26"/>
  <c r="K6" i="26"/>
  <c r="J6" i="26"/>
  <c r="H6" i="26"/>
  <c r="G6" i="26"/>
  <c r="F6" i="26"/>
  <c r="E6" i="26"/>
  <c r="D6" i="26"/>
  <c r="C6" i="26"/>
  <c r="Q5" i="26"/>
  <c r="P5" i="26"/>
  <c r="O5" i="26"/>
  <c r="N5" i="26"/>
  <c r="M5" i="26"/>
  <c r="L5" i="26"/>
  <c r="K5" i="26"/>
  <c r="J5" i="26"/>
  <c r="H5" i="26"/>
  <c r="G5" i="26"/>
  <c r="F5" i="26"/>
  <c r="E5" i="26"/>
  <c r="D5" i="26"/>
  <c r="C5" i="26"/>
  <c r="Q4" i="26"/>
  <c r="P4" i="26"/>
  <c r="O4" i="26"/>
  <c r="N4" i="26"/>
  <c r="M4" i="26"/>
  <c r="L4" i="26"/>
  <c r="K4" i="26"/>
  <c r="J4" i="26"/>
  <c r="H4" i="26"/>
  <c r="G4" i="26"/>
  <c r="F4" i="26"/>
  <c r="E4" i="26"/>
  <c r="D4" i="26"/>
  <c r="C4" i="26"/>
  <c r="Q3" i="26"/>
  <c r="P3" i="26"/>
  <c r="O3" i="26"/>
  <c r="N3" i="26"/>
  <c r="M3" i="26"/>
  <c r="L3" i="26"/>
  <c r="K3" i="26"/>
  <c r="J3" i="26"/>
  <c r="H3" i="26"/>
  <c r="D2" i="48" l="1"/>
  <c r="D8" i="48"/>
  <c r="D18" i="44"/>
  <c r="D4" i="49"/>
  <c r="D6" i="48"/>
  <c r="D7" i="48"/>
  <c r="D17" i="44"/>
  <c r="D6" i="46"/>
  <c r="D7" i="46"/>
  <c r="D15" i="44"/>
  <c r="D6" i="45"/>
  <c r="D7" i="45"/>
  <c r="D13" i="44"/>
  <c r="D9" i="46"/>
  <c r="D9" i="45"/>
  <c r="D2" i="45"/>
  <c r="D16" i="44"/>
  <c r="D3" i="46"/>
  <c r="D12" i="44"/>
  <c r="D4" i="46"/>
  <c r="D8" i="44"/>
  <c r="D11" i="44"/>
  <c r="D8" i="45"/>
  <c r="D5" i="45"/>
  <c r="D4" i="48"/>
  <c r="D2" i="46"/>
  <c r="D10" i="44"/>
  <c r="D3" i="45"/>
  <c r="D14" i="44"/>
  <c r="D9" i="44"/>
  <c r="D5" i="48"/>
  <c r="D4" i="45"/>
  <c r="D19" i="44"/>
  <c r="D3" i="48"/>
  <c r="D7" i="44"/>
  <c r="D5" i="46"/>
  <c r="D10" i="45"/>
  <c r="D2" i="49"/>
  <c r="D11" i="45"/>
  <c r="D8" i="46"/>
  <c r="M75" i="55"/>
  <c r="M152" i="52" s="1"/>
  <c r="M76" i="55"/>
  <c r="M153" i="52" s="1"/>
  <c r="M12" i="55"/>
  <c r="M217" i="44" s="1"/>
  <c r="M11" i="55"/>
  <c r="M216" i="44" s="1"/>
  <c r="M41" i="55"/>
  <c r="M140" i="48" s="1"/>
  <c r="M28" i="55"/>
  <c r="M153" i="45" s="1"/>
  <c r="M57" i="55"/>
  <c r="M177" i="49" s="1"/>
  <c r="M25" i="55"/>
  <c r="M150" i="45" s="1"/>
  <c r="M50" i="55"/>
  <c r="M170" i="49" s="1"/>
  <c r="M68" i="55"/>
  <c r="M172" i="51" s="1"/>
  <c r="M67" i="55"/>
  <c r="M171" i="51" s="1"/>
  <c r="M54" i="55"/>
  <c r="M174" i="49" s="1"/>
  <c r="M18" i="55"/>
  <c r="M223" i="44" s="1"/>
  <c r="M70" i="55"/>
  <c r="M174" i="51" s="1"/>
  <c r="M22" i="55"/>
  <c r="M147" i="45" s="1"/>
  <c r="M5" i="55"/>
  <c r="M210" i="44" s="1"/>
  <c r="M48" i="55"/>
  <c r="M168" i="49" s="1"/>
  <c r="M13" i="55"/>
  <c r="M218" i="44" s="1"/>
  <c r="M52" i="55"/>
  <c r="M172" i="49" s="1"/>
  <c r="M77" i="55"/>
  <c r="M154" i="52" s="1"/>
  <c r="M3" i="55"/>
  <c r="M208" i="44" s="1"/>
  <c r="M71" i="55"/>
  <c r="M175" i="51" s="1"/>
  <c r="M4" i="55"/>
  <c r="M209" i="44" s="1"/>
  <c r="M2" i="55"/>
  <c r="M207" i="44" s="1"/>
  <c r="M26" i="55"/>
  <c r="M151" i="45" s="1"/>
  <c r="M6" i="55"/>
  <c r="M211" i="44" s="1"/>
  <c r="M39" i="55"/>
  <c r="M138" i="48" s="1"/>
  <c r="M74" i="55"/>
  <c r="M178" i="51" s="1"/>
  <c r="M55" i="55"/>
  <c r="M175" i="49" s="1"/>
  <c r="M31" i="55"/>
  <c r="M154" i="46" s="1"/>
  <c r="M59" i="55"/>
  <c r="M136" i="50" s="1"/>
  <c r="P80" i="54"/>
  <c r="P135" i="52" s="1"/>
  <c r="O81" i="54"/>
  <c r="O136" i="52" s="1"/>
  <c r="M33" i="55"/>
  <c r="M156" i="46" s="1"/>
  <c r="M42" i="55"/>
  <c r="M141" i="48" s="1"/>
  <c r="M9" i="55"/>
  <c r="M214" i="44" s="1"/>
  <c r="M58" i="55"/>
  <c r="M178" i="49" s="1"/>
  <c r="M17" i="55"/>
  <c r="M222" i="44" s="1"/>
  <c r="M62" i="55"/>
  <c r="M139" i="50" s="1"/>
  <c r="M79" i="55"/>
  <c r="M156" i="52" s="1"/>
  <c r="M78" i="55"/>
  <c r="M155" i="52" s="1"/>
  <c r="M10" i="55"/>
  <c r="M215" i="44" s="1"/>
  <c r="M30" i="55"/>
  <c r="M153" i="46" s="1"/>
  <c r="M73" i="55"/>
  <c r="M177" i="51" s="1"/>
  <c r="M47" i="55"/>
  <c r="M167" i="49" s="1"/>
  <c r="M46" i="55"/>
  <c r="M166" i="49" s="1"/>
  <c r="M63" i="55"/>
  <c r="M167" i="51" s="1"/>
  <c r="M36" i="55"/>
  <c r="M159" i="46" s="1"/>
  <c r="M44" i="55"/>
  <c r="M143" i="48" s="1"/>
  <c r="N82" i="55"/>
  <c r="N159" i="52" s="1"/>
  <c r="M60" i="55"/>
  <c r="M137" i="50" s="1"/>
  <c r="M35" i="55"/>
  <c r="M158" i="46" s="1"/>
  <c r="M43" i="55"/>
  <c r="M142" i="48" s="1"/>
  <c r="M64" i="55"/>
  <c r="M168" i="51" s="1"/>
  <c r="M21" i="55"/>
  <c r="M146" i="45" s="1"/>
  <c r="M80" i="55"/>
  <c r="M157" i="52" s="1"/>
  <c r="M29" i="55"/>
  <c r="M154" i="45" s="1"/>
  <c r="M45" i="55"/>
  <c r="M165" i="49" s="1"/>
  <c r="M81" i="55"/>
  <c r="M158" i="52" s="1"/>
  <c r="M51" i="55"/>
  <c r="M171" i="49" s="1"/>
  <c r="M38" i="55"/>
  <c r="M137" i="48" s="1"/>
  <c r="M19" i="55"/>
  <c r="M224" i="44" s="1"/>
  <c r="M66" i="55"/>
  <c r="M170" i="51" s="1"/>
  <c r="M15" i="55"/>
  <c r="M220" i="44" s="1"/>
  <c r="M49" i="55"/>
  <c r="M169" i="49" s="1"/>
  <c r="M23" i="55"/>
  <c r="M148" i="45" s="1"/>
  <c r="M65" i="55"/>
  <c r="M169" i="51" s="1"/>
  <c r="O52" i="54"/>
  <c r="O140" i="49" s="1"/>
  <c r="M14" i="55"/>
  <c r="M219" i="44" s="1"/>
  <c r="M72" i="55"/>
  <c r="M176" i="51" s="1"/>
  <c r="M7" i="55"/>
  <c r="M212" i="44" s="1"/>
  <c r="M34" i="55"/>
  <c r="M157" i="46" s="1"/>
  <c r="O83" i="54"/>
  <c r="O138" i="52" s="1"/>
  <c r="M61" i="55"/>
  <c r="M138" i="50" s="1"/>
  <c r="M24" i="55"/>
  <c r="M149" i="45" s="1"/>
  <c r="L83" i="55"/>
  <c r="L160" i="52" s="1"/>
  <c r="M40" i="55"/>
  <c r="M139" i="48" s="1"/>
  <c r="M8" i="55"/>
  <c r="M213" i="44" s="1"/>
  <c r="M56" i="55"/>
  <c r="M176" i="49" s="1"/>
  <c r="M16" i="55"/>
  <c r="M221" i="44" s="1"/>
  <c r="M53" i="55"/>
  <c r="M173" i="49" s="1"/>
  <c r="M20" i="55"/>
  <c r="M145" i="45" s="1"/>
  <c r="M69" i="55"/>
  <c r="M173" i="51" s="1"/>
  <c r="M27" i="55"/>
  <c r="M152" i="45" s="1"/>
  <c r="I3" i="26"/>
  <c r="I4" i="26"/>
  <c r="I5" i="26"/>
  <c r="I6" i="26"/>
  <c r="G3" i="26"/>
  <c r="F3" i="26"/>
  <c r="E3" i="26"/>
  <c r="D3" i="26"/>
  <c r="C3" i="26"/>
  <c r="Q2" i="26"/>
  <c r="P2" i="26"/>
  <c r="O2" i="26"/>
  <c r="N2" i="26"/>
  <c r="M2" i="26"/>
  <c r="L2" i="26"/>
  <c r="K2" i="26"/>
  <c r="J2" i="26"/>
  <c r="H2" i="26"/>
  <c r="G2" i="26"/>
  <c r="F2" i="26"/>
  <c r="E2" i="26"/>
  <c r="D2" i="26"/>
  <c r="C2" i="26"/>
  <c r="D3" i="49" l="1"/>
  <c r="D6" i="44"/>
  <c r="D5" i="44"/>
  <c r="D4" i="44"/>
  <c r="I2" i="26"/>
  <c r="L69" i="55"/>
  <c r="L173" i="51" s="1"/>
  <c r="L53" i="55"/>
  <c r="L173" i="49" s="1"/>
  <c r="L56" i="55"/>
  <c r="L176" i="49" s="1"/>
  <c r="L40" i="55"/>
  <c r="L139" i="48" s="1"/>
  <c r="L24" i="55"/>
  <c r="L149" i="45" s="1"/>
  <c r="N83" i="54"/>
  <c r="N138" i="52" s="1"/>
  <c r="L7" i="55"/>
  <c r="L212" i="44" s="1"/>
  <c r="L14" i="55"/>
  <c r="L219" i="44" s="1"/>
  <c r="L65" i="55"/>
  <c r="L169" i="51" s="1"/>
  <c r="L49" i="55"/>
  <c r="L169" i="49" s="1"/>
  <c r="L66" i="55"/>
  <c r="L170" i="51" s="1"/>
  <c r="L38" i="55"/>
  <c r="L137" i="48" s="1"/>
  <c r="L81" i="55"/>
  <c r="L158" i="52" s="1"/>
  <c r="L29" i="55"/>
  <c r="L154" i="45" s="1"/>
  <c r="L21" i="55"/>
  <c r="L146" i="45" s="1"/>
  <c r="L43" i="55"/>
  <c r="L142" i="48" s="1"/>
  <c r="L60" i="55"/>
  <c r="L137" i="50" s="1"/>
  <c r="L44" i="55"/>
  <c r="L143" i="48" s="1"/>
  <c r="L63" i="55"/>
  <c r="L167" i="51" s="1"/>
  <c r="L47" i="55"/>
  <c r="L167" i="49" s="1"/>
  <c r="L30" i="55"/>
  <c r="L153" i="46" s="1"/>
  <c r="L78" i="55"/>
  <c r="L155" i="52" s="1"/>
  <c r="L62" i="55"/>
  <c r="L139" i="50" s="1"/>
  <c r="L58" i="55"/>
  <c r="L178" i="49" s="1"/>
  <c r="L42" i="55"/>
  <c r="L141" i="48" s="1"/>
  <c r="N81" i="54"/>
  <c r="N136" i="52" s="1"/>
  <c r="L59" i="55"/>
  <c r="L136" i="50" s="1"/>
  <c r="L55" i="55"/>
  <c r="L175" i="49" s="1"/>
  <c r="L39" i="55"/>
  <c r="L138" i="48" s="1"/>
  <c r="L26" i="55"/>
  <c r="L151" i="45" s="1"/>
  <c r="L4" i="55"/>
  <c r="L209" i="44" s="1"/>
  <c r="L3" i="55"/>
  <c r="L208" i="44" s="1"/>
  <c r="L52" i="55"/>
  <c r="L172" i="49" s="1"/>
  <c r="L48" i="55"/>
  <c r="L168" i="49" s="1"/>
  <c r="L22" i="55"/>
  <c r="L147" i="45" s="1"/>
  <c r="L18" i="55"/>
  <c r="L223" i="44" s="1"/>
  <c r="L67" i="55"/>
  <c r="L171" i="51" s="1"/>
  <c r="L50" i="55"/>
  <c r="L170" i="49" s="1"/>
  <c r="L57" i="55"/>
  <c r="L177" i="49" s="1"/>
  <c r="L41" i="55"/>
  <c r="L140" i="48" s="1"/>
  <c r="L12" i="55"/>
  <c r="L217" i="44" s="1"/>
  <c r="L75" i="55"/>
  <c r="L152" i="52" s="1"/>
  <c r="L27" i="55"/>
  <c r="L152" i="45" s="1"/>
  <c r="L16" i="55"/>
  <c r="L221" i="44" s="1"/>
  <c r="L61" i="55"/>
  <c r="L138" i="50" s="1"/>
  <c r="L72" i="55"/>
  <c r="L176" i="51" s="1"/>
  <c r="N52" i="54"/>
  <c r="N140" i="49" s="1"/>
  <c r="L15" i="55"/>
  <c r="L220" i="44" s="1"/>
  <c r="L19" i="55"/>
  <c r="L224" i="44" s="1"/>
  <c r="L51" i="55"/>
  <c r="L171" i="49" s="1"/>
  <c r="L45" i="55"/>
  <c r="L165" i="49" s="1"/>
  <c r="L80" i="55"/>
  <c r="L157" i="52" s="1"/>
  <c r="L64" i="55"/>
  <c r="L168" i="51" s="1"/>
  <c r="L35" i="55"/>
  <c r="L158" i="46" s="1"/>
  <c r="M82" i="55"/>
  <c r="M159" i="52" s="1"/>
  <c r="L36" i="55"/>
  <c r="L159" i="46" s="1"/>
  <c r="L46" i="55"/>
  <c r="L166" i="49" s="1"/>
  <c r="L73" i="55"/>
  <c r="L177" i="51" s="1"/>
  <c r="L10" i="55"/>
  <c r="L215" i="44" s="1"/>
  <c r="L79" i="55"/>
  <c r="L156" i="52" s="1"/>
  <c r="L17" i="55"/>
  <c r="L222" i="44" s="1"/>
  <c r="L9" i="55"/>
  <c r="L214" i="44" s="1"/>
  <c r="L33" i="55"/>
  <c r="L156" i="46" s="1"/>
  <c r="O80" i="54"/>
  <c r="O135" i="52" s="1"/>
  <c r="L31" i="55"/>
  <c r="L154" i="46" s="1"/>
  <c r="L74" i="55"/>
  <c r="L178" i="51" s="1"/>
  <c r="L6" i="55"/>
  <c r="L211" i="44" s="1"/>
  <c r="L2" i="55"/>
  <c r="L207" i="44" s="1"/>
  <c r="L71" i="55"/>
  <c r="L175" i="51" s="1"/>
  <c r="L77" i="55"/>
  <c r="L154" i="52" s="1"/>
  <c r="L13" i="55"/>
  <c r="L218" i="44" s="1"/>
  <c r="L5" i="55"/>
  <c r="L210" i="44" s="1"/>
  <c r="L70" i="55"/>
  <c r="L174" i="51" s="1"/>
  <c r="L54" i="55"/>
  <c r="L174" i="49" s="1"/>
  <c r="L68" i="55"/>
  <c r="L172" i="51" s="1"/>
  <c r="L25" i="55"/>
  <c r="L150" i="45" s="1"/>
  <c r="L28" i="55"/>
  <c r="L153" i="45" s="1"/>
  <c r="L11" i="55"/>
  <c r="L216" i="44" s="1"/>
  <c r="L76" i="55"/>
  <c r="L153" i="52" s="1"/>
  <c r="L20" i="55"/>
  <c r="L145" i="45" s="1"/>
  <c r="L8" i="55"/>
  <c r="L213" i="44" s="1"/>
  <c r="K83" i="55"/>
  <c r="K160" i="52" s="1"/>
  <c r="L34" i="55"/>
  <c r="L157" i="46" s="1"/>
  <c r="L23" i="55"/>
  <c r="L148" i="45" s="1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Q75" i="24"/>
  <c r="P75" i="24"/>
  <c r="O75" i="24"/>
  <c r="N75" i="24"/>
  <c r="M75" i="24"/>
  <c r="L75" i="24"/>
  <c r="K75" i="24"/>
  <c r="J75" i="24"/>
  <c r="I75" i="24"/>
  <c r="H75" i="24"/>
  <c r="G75" i="24"/>
  <c r="F75" i="24"/>
  <c r="E75" i="24"/>
  <c r="D75" i="24"/>
  <c r="C75" i="24"/>
  <c r="Q74" i="24"/>
  <c r="P74" i="24"/>
  <c r="O74" i="24"/>
  <c r="N74" i="24"/>
  <c r="M74" i="24"/>
  <c r="L74" i="24"/>
  <c r="K74" i="24"/>
  <c r="J74" i="24"/>
  <c r="I74" i="24"/>
  <c r="H74" i="24"/>
  <c r="G74" i="24"/>
  <c r="F74" i="24"/>
  <c r="E74" i="24"/>
  <c r="D74" i="24"/>
  <c r="C74" i="24"/>
  <c r="Q73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C73" i="24"/>
  <c r="Q72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Q70" i="24"/>
  <c r="P70" i="24"/>
  <c r="O70" i="24"/>
  <c r="N70" i="24"/>
  <c r="M70" i="24"/>
  <c r="L70" i="24"/>
  <c r="K70" i="24"/>
  <c r="J70" i="24"/>
  <c r="I70" i="24"/>
  <c r="H70" i="24"/>
  <c r="G70" i="24"/>
  <c r="F70" i="24"/>
  <c r="E70" i="24"/>
  <c r="D70" i="24"/>
  <c r="C70" i="24"/>
  <c r="Q69" i="24"/>
  <c r="P69" i="24"/>
  <c r="O69" i="24"/>
  <c r="N69" i="24"/>
  <c r="M69" i="24"/>
  <c r="L69" i="24"/>
  <c r="K69" i="24"/>
  <c r="J69" i="24"/>
  <c r="I69" i="24"/>
  <c r="H69" i="24"/>
  <c r="G69" i="24"/>
  <c r="F69" i="24"/>
  <c r="E69" i="24"/>
  <c r="D69" i="24"/>
  <c r="C69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C56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Q37" i="24"/>
  <c r="P37" i="24"/>
  <c r="O37" i="24"/>
  <c r="N37" i="24"/>
  <c r="M37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Q32" i="24"/>
  <c r="P32" i="24"/>
  <c r="O32" i="24"/>
  <c r="N32" i="24"/>
  <c r="M32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I84" i="21"/>
  <c r="I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6" i="25"/>
  <c r="H35" i="25"/>
  <c r="H34" i="25"/>
  <c r="H33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O53" i="12"/>
  <c r="O53" i="31" s="1"/>
  <c r="N53" i="12"/>
  <c r="M53" i="12"/>
  <c r="L53" i="12"/>
  <c r="L53" i="31" s="1"/>
  <c r="K53" i="12"/>
  <c r="J53" i="12"/>
  <c r="J84" i="12" s="1"/>
  <c r="I53" i="12"/>
  <c r="H53" i="12"/>
  <c r="H53" i="31" s="1"/>
  <c r="G53" i="12"/>
  <c r="F53" i="12"/>
  <c r="E53" i="12"/>
  <c r="D53" i="12"/>
  <c r="D53" i="31" s="1"/>
  <c r="C53" i="12"/>
  <c r="C3" i="12"/>
  <c r="C3" i="31" s="1"/>
  <c r="C2" i="12"/>
  <c r="I84" i="15"/>
  <c r="D3" i="44" l="1"/>
  <c r="K34" i="55"/>
  <c r="K157" i="46" s="1"/>
  <c r="K8" i="55"/>
  <c r="K213" i="44" s="1"/>
  <c r="K76" i="55"/>
  <c r="K153" i="52" s="1"/>
  <c r="K28" i="55"/>
  <c r="K153" i="45" s="1"/>
  <c r="K68" i="55"/>
  <c r="K172" i="51" s="1"/>
  <c r="K70" i="55"/>
  <c r="K174" i="51" s="1"/>
  <c r="K13" i="55"/>
  <c r="K218" i="44" s="1"/>
  <c r="K71" i="55"/>
  <c r="K175" i="51" s="1"/>
  <c r="K6" i="55"/>
  <c r="K211" i="44" s="1"/>
  <c r="K31" i="55"/>
  <c r="K154" i="46" s="1"/>
  <c r="K33" i="55"/>
  <c r="K156" i="46" s="1"/>
  <c r="K17" i="55"/>
  <c r="K222" i="44" s="1"/>
  <c r="K10" i="55"/>
  <c r="K215" i="44" s="1"/>
  <c r="K46" i="55"/>
  <c r="K166" i="49" s="1"/>
  <c r="L82" i="55"/>
  <c r="L159" i="52" s="1"/>
  <c r="K64" i="55"/>
  <c r="K168" i="51" s="1"/>
  <c r="K45" i="55"/>
  <c r="K165" i="49" s="1"/>
  <c r="K19" i="55"/>
  <c r="K224" i="44" s="1"/>
  <c r="M52" i="54"/>
  <c r="M140" i="49" s="1"/>
  <c r="K61" i="55"/>
  <c r="K138" i="50" s="1"/>
  <c r="K27" i="55"/>
  <c r="K152" i="45" s="1"/>
  <c r="K12" i="55"/>
  <c r="K217" i="44" s="1"/>
  <c r="K57" i="55"/>
  <c r="K177" i="49" s="1"/>
  <c r="K67" i="55"/>
  <c r="K171" i="51" s="1"/>
  <c r="K22" i="55"/>
  <c r="K147" i="45" s="1"/>
  <c r="K52" i="55"/>
  <c r="K172" i="49" s="1"/>
  <c r="K4" i="55"/>
  <c r="K209" i="44" s="1"/>
  <c r="K39" i="55"/>
  <c r="K138" i="48" s="1"/>
  <c r="K59" i="55"/>
  <c r="K136" i="50" s="1"/>
  <c r="K42" i="55"/>
  <c r="K141" i="48" s="1"/>
  <c r="K62" i="55"/>
  <c r="K139" i="50" s="1"/>
  <c r="K30" i="55"/>
  <c r="K153" i="46" s="1"/>
  <c r="K63" i="55"/>
  <c r="K167" i="51" s="1"/>
  <c r="K60" i="55"/>
  <c r="K137" i="50" s="1"/>
  <c r="K21" i="55"/>
  <c r="K146" i="45" s="1"/>
  <c r="K81" i="55"/>
  <c r="K158" i="52" s="1"/>
  <c r="K66" i="55"/>
  <c r="K170" i="51" s="1"/>
  <c r="K65" i="55"/>
  <c r="K169" i="51" s="1"/>
  <c r="K7" i="55"/>
  <c r="K212" i="44" s="1"/>
  <c r="K24" i="55"/>
  <c r="K149" i="45" s="1"/>
  <c r="K56" i="55"/>
  <c r="K176" i="49" s="1"/>
  <c r="K69" i="55"/>
  <c r="K173" i="51" s="1"/>
  <c r="K23" i="55"/>
  <c r="K148" i="45" s="1"/>
  <c r="J83" i="55"/>
  <c r="J160" i="52" s="1"/>
  <c r="K20" i="55"/>
  <c r="K145" i="45" s="1"/>
  <c r="K11" i="55"/>
  <c r="K216" i="44" s="1"/>
  <c r="K25" i="55"/>
  <c r="K150" i="45" s="1"/>
  <c r="K54" i="55"/>
  <c r="K174" i="49" s="1"/>
  <c r="K5" i="55"/>
  <c r="K210" i="44" s="1"/>
  <c r="K77" i="55"/>
  <c r="K154" i="52" s="1"/>
  <c r="K2" i="55"/>
  <c r="K207" i="44" s="1"/>
  <c r="K74" i="55"/>
  <c r="K178" i="51" s="1"/>
  <c r="N80" i="54"/>
  <c r="N135" i="52" s="1"/>
  <c r="K9" i="55"/>
  <c r="K214" i="44" s="1"/>
  <c r="K79" i="55"/>
  <c r="K156" i="52" s="1"/>
  <c r="K73" i="55"/>
  <c r="K177" i="51" s="1"/>
  <c r="K36" i="55"/>
  <c r="K159" i="46" s="1"/>
  <c r="K35" i="55"/>
  <c r="K158" i="46" s="1"/>
  <c r="K80" i="55"/>
  <c r="K157" i="52" s="1"/>
  <c r="K51" i="55"/>
  <c r="K171" i="49" s="1"/>
  <c r="K15" i="55"/>
  <c r="K220" i="44" s="1"/>
  <c r="K72" i="55"/>
  <c r="K176" i="51" s="1"/>
  <c r="K16" i="55"/>
  <c r="K221" i="44" s="1"/>
  <c r="K75" i="55"/>
  <c r="K152" i="52" s="1"/>
  <c r="K41" i="55"/>
  <c r="K140" i="48" s="1"/>
  <c r="K50" i="55"/>
  <c r="K170" i="49" s="1"/>
  <c r="K18" i="55"/>
  <c r="K223" i="44" s="1"/>
  <c r="K48" i="55"/>
  <c r="K168" i="49" s="1"/>
  <c r="K3" i="55"/>
  <c r="K208" i="44" s="1"/>
  <c r="K26" i="55"/>
  <c r="K151" i="45" s="1"/>
  <c r="K55" i="55"/>
  <c r="K175" i="49" s="1"/>
  <c r="M81" i="54"/>
  <c r="M136" i="52" s="1"/>
  <c r="K58" i="55"/>
  <c r="K178" i="49" s="1"/>
  <c r="K78" i="55"/>
  <c r="K155" i="52" s="1"/>
  <c r="K47" i="55"/>
  <c r="K167" i="49" s="1"/>
  <c r="K44" i="55"/>
  <c r="K143" i="48" s="1"/>
  <c r="K43" i="55"/>
  <c r="K142" i="48" s="1"/>
  <c r="K29" i="55"/>
  <c r="K154" i="45" s="1"/>
  <c r="K38" i="55"/>
  <c r="K137" i="48" s="1"/>
  <c r="K49" i="55"/>
  <c r="K169" i="49" s="1"/>
  <c r="K14" i="55"/>
  <c r="K219" i="44" s="1"/>
  <c r="M83" i="54"/>
  <c r="M138" i="52" s="1"/>
  <c r="K40" i="55"/>
  <c r="K139" i="48" s="1"/>
  <c r="K53" i="55"/>
  <c r="K173" i="49" s="1"/>
  <c r="C2" i="31"/>
  <c r="C53" i="31"/>
  <c r="C53" i="54" s="1"/>
  <c r="C141" i="49" s="1"/>
  <c r="G53" i="31"/>
  <c r="F53" i="31" s="1"/>
  <c r="E53" i="31" s="1"/>
  <c r="K53" i="31"/>
  <c r="J53" i="31" s="1"/>
  <c r="I53" i="31" s="1"/>
  <c r="C3" i="54"/>
  <c r="C168" i="44" s="1"/>
  <c r="C43" i="44"/>
  <c r="N53" i="31"/>
  <c r="M53" i="31" s="1"/>
  <c r="D35" i="47"/>
  <c r="D72" i="46" s="1"/>
  <c r="I84" i="13"/>
  <c r="CA84" i="11"/>
  <c r="BV84" i="11"/>
  <c r="BQ84" i="11"/>
  <c r="BL84" i="11"/>
  <c r="BG84" i="11"/>
  <c r="BB84" i="11"/>
  <c r="AR84" i="11"/>
  <c r="AM84" i="11"/>
  <c r="AC84" i="11"/>
  <c r="X84" i="11"/>
  <c r="S84" i="11"/>
  <c r="N84" i="11"/>
  <c r="CA83" i="11"/>
  <c r="BV83" i="11"/>
  <c r="BQ83" i="11"/>
  <c r="BL83" i="11"/>
  <c r="BG83" i="11"/>
  <c r="BB83" i="11"/>
  <c r="AW83" i="11"/>
  <c r="AC83" i="11"/>
  <c r="X83" i="11"/>
  <c r="S83" i="11"/>
  <c r="N83" i="11"/>
  <c r="I83" i="11"/>
  <c r="CA82" i="11"/>
  <c r="BV82" i="11"/>
  <c r="BQ82" i="11"/>
  <c r="BL82" i="11"/>
  <c r="BB82" i="11"/>
  <c r="AW82" i="11"/>
  <c r="AR82" i="11"/>
  <c r="AM82" i="11"/>
  <c r="AH82" i="11"/>
  <c r="X82" i="11"/>
  <c r="S82" i="11"/>
  <c r="N82" i="11"/>
  <c r="I82" i="11"/>
  <c r="D82" i="11"/>
  <c r="CA81" i="11"/>
  <c r="BV81" i="11"/>
  <c r="BQ81" i="11"/>
  <c r="BL81" i="11"/>
  <c r="BG81" i="11"/>
  <c r="BB81" i="11"/>
  <c r="AW81" i="11"/>
  <c r="AR81" i="11"/>
  <c r="AM81" i="11"/>
  <c r="AH81" i="11"/>
  <c r="AC81" i="11"/>
  <c r="X81" i="11"/>
  <c r="S81" i="11"/>
  <c r="N81" i="11"/>
  <c r="I81" i="11"/>
  <c r="CA80" i="11"/>
  <c r="BV80" i="11"/>
  <c r="BQ80" i="11"/>
  <c r="BL80" i="11"/>
  <c r="BG80" i="11"/>
  <c r="BB80" i="11"/>
  <c r="AW80" i="11"/>
  <c r="AR80" i="11"/>
  <c r="AM80" i="11"/>
  <c r="AH80" i="11"/>
  <c r="AC80" i="11"/>
  <c r="X80" i="11"/>
  <c r="S80" i="11"/>
  <c r="N80" i="11"/>
  <c r="I80" i="11"/>
  <c r="D80" i="11"/>
  <c r="CA79" i="11"/>
  <c r="BV79" i="11"/>
  <c r="BQ79" i="11"/>
  <c r="BL79" i="11"/>
  <c r="BG79" i="11"/>
  <c r="BB79" i="11"/>
  <c r="AW79" i="11"/>
  <c r="AR79" i="11"/>
  <c r="AM79" i="11"/>
  <c r="AH79" i="11"/>
  <c r="AC79" i="11"/>
  <c r="X79" i="11"/>
  <c r="S79" i="11"/>
  <c r="N79" i="11"/>
  <c r="I79" i="11"/>
  <c r="D79" i="11"/>
  <c r="CA78" i="11"/>
  <c r="BV78" i="11"/>
  <c r="BQ78" i="11"/>
  <c r="BL78" i="11"/>
  <c r="BG78" i="11"/>
  <c r="BB78" i="11"/>
  <c r="AW78" i="11"/>
  <c r="AR78" i="11"/>
  <c r="AM78" i="11"/>
  <c r="AH78" i="11"/>
  <c r="AC78" i="11"/>
  <c r="X78" i="11"/>
  <c r="S78" i="11"/>
  <c r="N78" i="11"/>
  <c r="I78" i="11"/>
  <c r="D78" i="11"/>
  <c r="CA77" i="11"/>
  <c r="BV77" i="11"/>
  <c r="BQ77" i="11"/>
  <c r="BL77" i="11"/>
  <c r="BG77" i="11"/>
  <c r="BB77" i="11"/>
  <c r="AW77" i="11"/>
  <c r="AR77" i="11"/>
  <c r="AM77" i="11"/>
  <c r="AH77" i="11"/>
  <c r="AC77" i="11"/>
  <c r="N77" i="11"/>
  <c r="D77" i="11"/>
  <c r="CA76" i="11"/>
  <c r="BV76" i="11"/>
  <c r="BQ76" i="11"/>
  <c r="BL76" i="11"/>
  <c r="BG76" i="11"/>
  <c r="BB76" i="11"/>
  <c r="AW76" i="11"/>
  <c r="AR76" i="11"/>
  <c r="AM76" i="11"/>
  <c r="AH76" i="11"/>
  <c r="AC76" i="11"/>
  <c r="X76" i="11"/>
  <c r="S76" i="11"/>
  <c r="N76" i="11"/>
  <c r="I76" i="11"/>
  <c r="D76" i="11"/>
  <c r="CA75" i="11"/>
  <c r="BV75" i="11"/>
  <c r="BQ75" i="11"/>
  <c r="BL75" i="11"/>
  <c r="BG75" i="11"/>
  <c r="BB75" i="11"/>
  <c r="AW75" i="11"/>
  <c r="AR75" i="11"/>
  <c r="AM75" i="11"/>
  <c r="AH75" i="11"/>
  <c r="AC75" i="11"/>
  <c r="X75" i="11"/>
  <c r="S75" i="11"/>
  <c r="N75" i="11"/>
  <c r="I75" i="11"/>
  <c r="D75" i="11"/>
  <c r="CA74" i="11"/>
  <c r="BV74" i="11"/>
  <c r="BQ74" i="11"/>
  <c r="BL74" i="11"/>
  <c r="BG74" i="11"/>
  <c r="BB74" i="11"/>
  <c r="AW74" i="11"/>
  <c r="AR74" i="11"/>
  <c r="AM74" i="11"/>
  <c r="AH74" i="11"/>
  <c r="AC74" i="11"/>
  <c r="X74" i="11"/>
  <c r="S74" i="11"/>
  <c r="N74" i="11"/>
  <c r="I74" i="11"/>
  <c r="D74" i="11"/>
  <c r="CA73" i="11"/>
  <c r="BV73" i="11"/>
  <c r="BQ73" i="11"/>
  <c r="BL73" i="11"/>
  <c r="BG73" i="11"/>
  <c r="BB73" i="11"/>
  <c r="AW73" i="11"/>
  <c r="AR73" i="11"/>
  <c r="AM73" i="11"/>
  <c r="AH73" i="11"/>
  <c r="AC73" i="11"/>
  <c r="X73" i="11"/>
  <c r="S73" i="11"/>
  <c r="N73" i="11"/>
  <c r="I73" i="11"/>
  <c r="D73" i="11"/>
  <c r="CA72" i="11"/>
  <c r="BV72" i="11"/>
  <c r="BQ72" i="11"/>
  <c r="BL72" i="11"/>
  <c r="BG72" i="11"/>
  <c r="BB72" i="11"/>
  <c r="AW72" i="11"/>
  <c r="AR72" i="11"/>
  <c r="AM72" i="11"/>
  <c r="AH72" i="11"/>
  <c r="AC72" i="11"/>
  <c r="X72" i="11"/>
  <c r="S72" i="11"/>
  <c r="N72" i="11"/>
  <c r="I72" i="11"/>
  <c r="D72" i="11"/>
  <c r="CA71" i="11"/>
  <c r="BV71" i="11"/>
  <c r="BQ71" i="11"/>
  <c r="BL71" i="11"/>
  <c r="BG71" i="11"/>
  <c r="BB71" i="11"/>
  <c r="AW71" i="11"/>
  <c r="AR71" i="11"/>
  <c r="AM71" i="11"/>
  <c r="AH71" i="11"/>
  <c r="AC71" i="11"/>
  <c r="X71" i="11"/>
  <c r="S71" i="11"/>
  <c r="N71" i="11"/>
  <c r="I71" i="11"/>
  <c r="D71" i="11"/>
  <c r="CA70" i="11"/>
  <c r="BV70" i="11"/>
  <c r="BQ70" i="11"/>
  <c r="BL70" i="11"/>
  <c r="BG70" i="11"/>
  <c r="BB70" i="11"/>
  <c r="AW70" i="11"/>
  <c r="AR70" i="11"/>
  <c r="AM70" i="11"/>
  <c r="AH70" i="11"/>
  <c r="AC70" i="11"/>
  <c r="X70" i="11"/>
  <c r="S70" i="11"/>
  <c r="N70" i="11"/>
  <c r="I70" i="11"/>
  <c r="D70" i="11"/>
  <c r="CA69" i="11"/>
  <c r="BV69" i="11"/>
  <c r="BQ69" i="11"/>
  <c r="BL69" i="11"/>
  <c r="BG69" i="11"/>
  <c r="BB69" i="11"/>
  <c r="AW69" i="11"/>
  <c r="AR69" i="11"/>
  <c r="AM69" i="11"/>
  <c r="AH69" i="11"/>
  <c r="AC69" i="11"/>
  <c r="X69" i="11"/>
  <c r="S69" i="11"/>
  <c r="CA68" i="11"/>
  <c r="BV68" i="11"/>
  <c r="BQ68" i="11"/>
  <c r="BL68" i="11"/>
  <c r="BG68" i="11"/>
  <c r="BB68" i="11"/>
  <c r="AW68" i="11"/>
  <c r="AR68" i="11"/>
  <c r="AM68" i="11"/>
  <c r="AH68" i="11"/>
  <c r="AC68" i="11"/>
  <c r="X68" i="11"/>
  <c r="S68" i="11"/>
  <c r="N68" i="11"/>
  <c r="I68" i="11"/>
  <c r="D68" i="11"/>
  <c r="CA67" i="11"/>
  <c r="BV67" i="11"/>
  <c r="BQ67" i="11"/>
  <c r="BL67" i="11"/>
  <c r="BG67" i="11"/>
  <c r="BB67" i="11"/>
  <c r="AM67" i="11"/>
  <c r="AH67" i="11"/>
  <c r="N67" i="11"/>
  <c r="I67" i="11"/>
  <c r="CA66" i="11"/>
  <c r="BV66" i="11"/>
  <c r="BQ66" i="11"/>
  <c r="BL66" i="11"/>
  <c r="BG66" i="11"/>
  <c r="BB66" i="11"/>
  <c r="AH66" i="11"/>
  <c r="AC66" i="11"/>
  <c r="X66" i="11"/>
  <c r="N66" i="11"/>
  <c r="CA65" i="11"/>
  <c r="BV65" i="11"/>
  <c r="BQ65" i="11"/>
  <c r="BL65" i="11"/>
  <c r="BG65" i="11"/>
  <c r="BB65" i="11"/>
  <c r="AW65" i="11"/>
  <c r="AR65" i="11"/>
  <c r="AM65" i="11"/>
  <c r="AH65" i="11"/>
  <c r="AC65" i="11"/>
  <c r="X65" i="11"/>
  <c r="S65" i="11"/>
  <c r="N65" i="11"/>
  <c r="I65" i="11"/>
  <c r="D65" i="11"/>
  <c r="CA64" i="11"/>
  <c r="BV64" i="11"/>
  <c r="BQ64" i="11"/>
  <c r="BL64" i="11"/>
  <c r="BG64" i="11"/>
  <c r="BB64" i="11"/>
  <c r="AW64" i="11"/>
  <c r="AR64" i="11"/>
  <c r="AH64" i="11"/>
  <c r="AC64" i="11"/>
  <c r="S64" i="11"/>
  <c r="N64" i="11"/>
  <c r="I64" i="11"/>
  <c r="CA63" i="11"/>
  <c r="BV63" i="11"/>
  <c r="BQ63" i="11"/>
  <c r="BL63" i="11"/>
  <c r="BG63" i="11"/>
  <c r="BB63" i="11"/>
  <c r="AW63" i="11"/>
  <c r="AR63" i="11"/>
  <c r="AM63" i="11"/>
  <c r="AH63" i="11"/>
  <c r="AC63" i="11"/>
  <c r="X63" i="11"/>
  <c r="S63" i="11"/>
  <c r="N63" i="11"/>
  <c r="I63" i="11"/>
  <c r="D63" i="11"/>
  <c r="CA62" i="11"/>
  <c r="BV62" i="11"/>
  <c r="BQ62" i="11"/>
  <c r="BL62" i="11"/>
  <c r="BG62" i="11"/>
  <c r="BB62" i="11"/>
  <c r="AW62" i="11"/>
  <c r="AR62" i="11"/>
  <c r="AM62" i="11"/>
  <c r="AH62" i="11"/>
  <c r="AC62" i="11"/>
  <c r="X62" i="11"/>
  <c r="S62" i="11"/>
  <c r="N62" i="11"/>
  <c r="I62" i="11"/>
  <c r="D62" i="11"/>
  <c r="CA61" i="11"/>
  <c r="BV61" i="11"/>
  <c r="BQ61" i="11"/>
  <c r="BL61" i="11"/>
  <c r="BG61" i="11"/>
  <c r="BB61" i="11"/>
  <c r="AW61" i="11"/>
  <c r="AR61" i="11"/>
  <c r="AM61" i="11"/>
  <c r="AH61" i="11"/>
  <c r="AC61" i="11"/>
  <c r="X61" i="11"/>
  <c r="S61" i="11"/>
  <c r="N61" i="11"/>
  <c r="I61" i="11"/>
  <c r="D61" i="11"/>
  <c r="CA60" i="11"/>
  <c r="BV60" i="11"/>
  <c r="BQ60" i="11"/>
  <c r="BL60" i="11"/>
  <c r="BG60" i="11"/>
  <c r="BB60" i="11"/>
  <c r="AW60" i="11"/>
  <c r="AR60" i="11"/>
  <c r="AM60" i="11"/>
  <c r="AH60" i="11"/>
  <c r="AC60" i="11"/>
  <c r="X60" i="11"/>
  <c r="S60" i="11"/>
  <c r="N60" i="11"/>
  <c r="I60" i="11"/>
  <c r="D60" i="11"/>
  <c r="CA59" i="11"/>
  <c r="BV59" i="11"/>
  <c r="BQ59" i="11"/>
  <c r="BL59" i="11"/>
  <c r="BG59" i="11"/>
  <c r="BB59" i="11"/>
  <c r="AW59" i="11"/>
  <c r="AR59" i="11"/>
  <c r="AM59" i="11"/>
  <c r="AH59" i="11"/>
  <c r="AC59" i="11"/>
  <c r="X59" i="11"/>
  <c r="S59" i="11"/>
  <c r="N59" i="11"/>
  <c r="I59" i="11"/>
  <c r="D59" i="11"/>
  <c r="CA58" i="11"/>
  <c r="BV58" i="11"/>
  <c r="BQ58" i="11"/>
  <c r="BL58" i="11"/>
  <c r="BG58" i="11"/>
  <c r="BB58" i="11"/>
  <c r="AW58" i="11"/>
  <c r="AR58" i="11"/>
  <c r="AM58" i="11"/>
  <c r="AH58" i="11"/>
  <c r="AC58" i="11"/>
  <c r="X58" i="11"/>
  <c r="S58" i="11"/>
  <c r="N58" i="11"/>
  <c r="I58" i="11"/>
  <c r="D58" i="11"/>
  <c r="CA57" i="11"/>
  <c r="BV57" i="11"/>
  <c r="BQ57" i="11"/>
  <c r="BL57" i="11"/>
  <c r="BG57" i="11"/>
  <c r="BB57" i="11"/>
  <c r="AW57" i="11"/>
  <c r="AR57" i="11"/>
  <c r="AM57" i="11"/>
  <c r="AH57" i="11"/>
  <c r="AC57" i="11"/>
  <c r="X57" i="11"/>
  <c r="S57" i="11"/>
  <c r="N57" i="11"/>
  <c r="I57" i="11"/>
  <c r="D57" i="11"/>
  <c r="CA56" i="11"/>
  <c r="BV56" i="11"/>
  <c r="BQ56" i="11"/>
  <c r="BL56" i="11"/>
  <c r="BG56" i="11"/>
  <c r="BB56" i="11"/>
  <c r="AW56" i="11"/>
  <c r="AR56" i="11"/>
  <c r="AM56" i="11"/>
  <c r="AH56" i="11"/>
  <c r="AC56" i="11"/>
  <c r="X56" i="11"/>
  <c r="S56" i="11"/>
  <c r="N56" i="11"/>
  <c r="I56" i="11"/>
  <c r="D56" i="11"/>
  <c r="CA55" i="11"/>
  <c r="BV55" i="11"/>
  <c r="BQ55" i="11"/>
  <c r="BL55" i="11"/>
  <c r="BG55" i="11"/>
  <c r="BB55" i="11"/>
  <c r="AW55" i="11"/>
  <c r="AR55" i="11"/>
  <c r="AM55" i="11"/>
  <c r="AH55" i="11"/>
  <c r="AC55" i="11"/>
  <c r="X55" i="11"/>
  <c r="S55" i="11"/>
  <c r="N55" i="11"/>
  <c r="I55" i="11"/>
  <c r="D55" i="11"/>
  <c r="CA54" i="11"/>
  <c r="BV54" i="11"/>
  <c r="BQ54" i="11"/>
  <c r="BL54" i="11"/>
  <c r="BG54" i="11"/>
  <c r="BB54" i="11"/>
  <c r="AW54" i="11"/>
  <c r="AR54" i="11"/>
  <c r="AM54" i="11"/>
  <c r="AH54" i="11"/>
  <c r="AC54" i="11"/>
  <c r="X54" i="11"/>
  <c r="S54" i="11"/>
  <c r="N54" i="11"/>
  <c r="I54" i="11"/>
  <c r="D54" i="11"/>
  <c r="CA53" i="11"/>
  <c r="BV53" i="11"/>
  <c r="BQ53" i="11"/>
  <c r="BL53" i="11"/>
  <c r="BG53" i="11"/>
  <c r="BB53" i="11"/>
  <c r="AW53" i="11"/>
  <c r="AR53" i="11"/>
  <c r="AM53" i="11"/>
  <c r="AH53" i="11"/>
  <c r="AC53" i="11"/>
  <c r="X53" i="11"/>
  <c r="S53" i="11"/>
  <c r="N53" i="11"/>
  <c r="I53" i="11"/>
  <c r="D53" i="11"/>
  <c r="CA52" i="11"/>
  <c r="BV52" i="11"/>
  <c r="BQ52" i="11"/>
  <c r="BL52" i="11"/>
  <c r="BG52" i="11"/>
  <c r="BB52" i="11"/>
  <c r="AW52" i="11"/>
  <c r="AR52" i="11"/>
  <c r="AM52" i="11"/>
  <c r="AH52" i="11"/>
  <c r="AC52" i="11"/>
  <c r="X52" i="11"/>
  <c r="S52" i="11"/>
  <c r="N52" i="11"/>
  <c r="I52" i="11"/>
  <c r="D52" i="11"/>
  <c r="CA51" i="11"/>
  <c r="BV51" i="11"/>
  <c r="BQ51" i="11"/>
  <c r="BL51" i="11"/>
  <c r="BG51" i="11"/>
  <c r="BB51" i="11"/>
  <c r="AW51" i="11"/>
  <c r="AR51" i="11"/>
  <c r="AM51" i="11"/>
  <c r="AH51" i="11"/>
  <c r="AC51" i="11"/>
  <c r="X51" i="11"/>
  <c r="S51" i="11"/>
  <c r="N51" i="11"/>
  <c r="I51" i="11"/>
  <c r="D51" i="11"/>
  <c r="CA50" i="11"/>
  <c r="BV50" i="11"/>
  <c r="BQ50" i="11"/>
  <c r="BL50" i="11"/>
  <c r="BG50" i="11"/>
  <c r="BB50" i="11"/>
  <c r="AW50" i="11"/>
  <c r="AR50" i="11"/>
  <c r="AM50" i="11"/>
  <c r="AH50" i="11"/>
  <c r="AC50" i="11"/>
  <c r="X50" i="11"/>
  <c r="S50" i="11"/>
  <c r="N50" i="11"/>
  <c r="I50" i="11"/>
  <c r="D50" i="11"/>
  <c r="CA49" i="11"/>
  <c r="BV49" i="11"/>
  <c r="BQ49" i="11"/>
  <c r="BL49" i="11"/>
  <c r="BG49" i="11"/>
  <c r="BB49" i="11"/>
  <c r="AW49" i="11"/>
  <c r="AR49" i="11"/>
  <c r="AM49" i="11"/>
  <c r="AH49" i="11"/>
  <c r="AC49" i="11"/>
  <c r="X49" i="11"/>
  <c r="S49" i="11"/>
  <c r="N49" i="11"/>
  <c r="I49" i="11"/>
  <c r="D49" i="11"/>
  <c r="CA48" i="11"/>
  <c r="BV48" i="11"/>
  <c r="BQ48" i="11"/>
  <c r="BL48" i="11"/>
  <c r="BG48" i="11"/>
  <c r="BB48" i="11"/>
  <c r="AW48" i="11"/>
  <c r="AR48" i="11"/>
  <c r="AM48" i="11"/>
  <c r="AH48" i="11"/>
  <c r="AC48" i="11"/>
  <c r="X48" i="11"/>
  <c r="S48" i="11"/>
  <c r="N48" i="11"/>
  <c r="I48" i="11"/>
  <c r="D48" i="11"/>
  <c r="CA47" i="11"/>
  <c r="BV47" i="11"/>
  <c r="BQ47" i="11"/>
  <c r="BL47" i="11"/>
  <c r="BG47" i="11"/>
  <c r="BB47" i="11"/>
  <c r="AW47" i="11"/>
  <c r="AR47" i="11"/>
  <c r="AM47" i="11"/>
  <c r="AH47" i="11"/>
  <c r="AC47" i="11"/>
  <c r="X47" i="11"/>
  <c r="S47" i="11"/>
  <c r="N47" i="11"/>
  <c r="I47" i="11"/>
  <c r="D47" i="11"/>
  <c r="CA46" i="11"/>
  <c r="BV46" i="11"/>
  <c r="BQ46" i="11"/>
  <c r="BL46" i="11"/>
  <c r="BG46" i="11"/>
  <c r="BB46" i="11"/>
  <c r="AW46" i="11"/>
  <c r="AR46" i="11"/>
  <c r="AM46" i="11"/>
  <c r="AH46" i="11"/>
  <c r="AC46" i="11"/>
  <c r="X46" i="11"/>
  <c r="S46" i="11"/>
  <c r="N46" i="11"/>
  <c r="I46" i="11"/>
  <c r="D46" i="11"/>
  <c r="CA45" i="11"/>
  <c r="BV45" i="11"/>
  <c r="BQ45" i="11"/>
  <c r="BL45" i="11"/>
  <c r="BG45" i="11"/>
  <c r="BB45" i="11"/>
  <c r="AW45" i="11"/>
  <c r="AR45" i="11"/>
  <c r="AM45" i="11"/>
  <c r="AH45" i="11"/>
  <c r="AC45" i="11"/>
  <c r="X45" i="11"/>
  <c r="S45" i="11"/>
  <c r="N45" i="11"/>
  <c r="I45" i="11"/>
  <c r="D45" i="11"/>
  <c r="BL44" i="11"/>
  <c r="BG44" i="11"/>
  <c r="BB44" i="11"/>
  <c r="AW44" i="11"/>
  <c r="AH44" i="11"/>
  <c r="AC44" i="11"/>
  <c r="BV43" i="11"/>
  <c r="BQ43" i="11"/>
  <c r="BL43" i="11"/>
  <c r="BG43" i="11"/>
  <c r="BB43" i="11"/>
  <c r="AW43" i="11"/>
  <c r="AM43" i="11"/>
  <c r="AH43" i="11"/>
  <c r="AC43" i="11"/>
  <c r="X43" i="11"/>
  <c r="N43" i="11"/>
  <c r="I43" i="11"/>
  <c r="D43" i="11"/>
  <c r="CA42" i="11"/>
  <c r="BV42" i="11"/>
  <c r="BQ42" i="11"/>
  <c r="BL42" i="11"/>
  <c r="BG42" i="11"/>
  <c r="BB42" i="11"/>
  <c r="AW42" i="11"/>
  <c r="AR42" i="11"/>
  <c r="AM42" i="11"/>
  <c r="AH42" i="11"/>
  <c r="AC42" i="11"/>
  <c r="X42" i="11"/>
  <c r="S42" i="11"/>
  <c r="N42" i="11"/>
  <c r="I42" i="11"/>
  <c r="D42" i="11"/>
  <c r="CA41" i="11"/>
  <c r="BV41" i="11"/>
  <c r="BQ41" i="11"/>
  <c r="BL41" i="11"/>
  <c r="BG41" i="11"/>
  <c r="BB41" i="11"/>
  <c r="AW41" i="11"/>
  <c r="AR41" i="11"/>
  <c r="AM41" i="11"/>
  <c r="AH41" i="11"/>
  <c r="AC41" i="11"/>
  <c r="X41" i="11"/>
  <c r="S41" i="11"/>
  <c r="N41" i="11"/>
  <c r="I41" i="11"/>
  <c r="D41" i="11"/>
  <c r="CA40" i="11"/>
  <c r="BV40" i="11"/>
  <c r="BQ40" i="11"/>
  <c r="BL40" i="11"/>
  <c r="BG40" i="11"/>
  <c r="BB40" i="11"/>
  <c r="AW40" i="11"/>
  <c r="AM40" i="11"/>
  <c r="AH40" i="11"/>
  <c r="AC40" i="11"/>
  <c r="X40" i="11"/>
  <c r="CA39" i="11"/>
  <c r="BV39" i="11"/>
  <c r="BQ39" i="11"/>
  <c r="BL39" i="11"/>
  <c r="BG39" i="11"/>
  <c r="BB39" i="11"/>
  <c r="AW39" i="11"/>
  <c r="AR39" i="11"/>
  <c r="AM39" i="11"/>
  <c r="AH39" i="11"/>
  <c r="AC39" i="11"/>
  <c r="X39" i="11"/>
  <c r="S39" i="11"/>
  <c r="N39" i="11"/>
  <c r="I39" i="11"/>
  <c r="D39" i="11"/>
  <c r="CA38" i="11"/>
  <c r="BV38" i="11"/>
  <c r="BQ38" i="11"/>
  <c r="BL38" i="11"/>
  <c r="BG38" i="11"/>
  <c r="BD38" i="11"/>
  <c r="AW38" i="11"/>
  <c r="CA37" i="11"/>
  <c r="BV37" i="11"/>
  <c r="BQ37" i="11"/>
  <c r="BL37" i="11"/>
  <c r="BG37" i="11"/>
  <c r="BB37" i="11"/>
  <c r="AW37" i="11"/>
  <c r="AR37" i="11"/>
  <c r="AM37" i="11"/>
  <c r="AH37" i="11"/>
  <c r="AC37" i="11"/>
  <c r="X37" i="11"/>
  <c r="S37" i="11"/>
  <c r="N37" i="11"/>
  <c r="I37" i="11"/>
  <c r="D37" i="11"/>
  <c r="CA36" i="11"/>
  <c r="BV36" i="11"/>
  <c r="BQ36" i="11"/>
  <c r="BL36" i="11"/>
  <c r="BG36" i="11"/>
  <c r="BB36" i="11"/>
  <c r="AW36" i="11"/>
  <c r="AR36" i="11"/>
  <c r="AM36" i="11"/>
  <c r="AH36" i="11"/>
  <c r="AC36" i="11"/>
  <c r="X36" i="11"/>
  <c r="S36" i="11"/>
  <c r="N36" i="11"/>
  <c r="I36" i="11"/>
  <c r="D36" i="11"/>
  <c r="CA35" i="11"/>
  <c r="BV35" i="11"/>
  <c r="BQ35" i="11"/>
  <c r="BL35" i="11"/>
  <c r="BG35" i="11"/>
  <c r="BB35" i="11"/>
  <c r="AW35" i="11"/>
  <c r="AR35" i="11"/>
  <c r="AM35" i="11"/>
  <c r="AH35" i="11"/>
  <c r="AC35" i="11"/>
  <c r="X35" i="11"/>
  <c r="S35" i="11"/>
  <c r="N35" i="11"/>
  <c r="I35" i="11"/>
  <c r="D35" i="11"/>
  <c r="CA34" i="11"/>
  <c r="BV34" i="11"/>
  <c r="BQ34" i="11"/>
  <c r="BL34" i="11"/>
  <c r="BG34" i="11"/>
  <c r="BB34" i="11"/>
  <c r="AW34" i="11"/>
  <c r="AR34" i="11"/>
  <c r="AM34" i="11"/>
  <c r="AH34" i="11"/>
  <c r="AC34" i="11"/>
  <c r="X34" i="11"/>
  <c r="S34" i="11"/>
  <c r="BI38" i="11" l="1"/>
  <c r="AO39" i="11"/>
  <c r="AE47" i="11"/>
  <c r="AE56" i="11"/>
  <c r="AY83" i="11"/>
  <c r="AJ37" i="11"/>
  <c r="F42" i="11"/>
  <c r="BD43" i="11"/>
  <c r="K48" i="11"/>
  <c r="AY49" i="11"/>
  <c r="K51" i="11"/>
  <c r="AE53" i="11"/>
  <c r="BS54" i="11"/>
  <c r="K57" i="11"/>
  <c r="BS57" i="11"/>
  <c r="AE59" i="11"/>
  <c r="BS60" i="11"/>
  <c r="AE62" i="11"/>
  <c r="K63" i="11"/>
  <c r="BS63" i="11"/>
  <c r="BN64" i="11"/>
  <c r="BD66" i="11"/>
  <c r="BN67" i="11"/>
  <c r="AT68" i="11"/>
  <c r="AO69" i="11"/>
  <c r="U70" i="11"/>
  <c r="CC70" i="11"/>
  <c r="BI71" i="11"/>
  <c r="AO72" i="11"/>
  <c r="U73" i="11"/>
  <c r="CC73" i="11"/>
  <c r="AO75" i="11"/>
  <c r="U76" i="11"/>
  <c r="BD78" i="11"/>
  <c r="AJ79" i="11"/>
  <c r="P80" i="11"/>
  <c r="BI81" i="11"/>
  <c r="AT82" i="11"/>
  <c r="AT84" i="11"/>
  <c r="BD36" i="11"/>
  <c r="K45" i="11"/>
  <c r="K54" i="11"/>
  <c r="BI74" i="11"/>
  <c r="BD34" i="11"/>
  <c r="AJ35" i="11"/>
  <c r="P36" i="11"/>
  <c r="BD37" i="11"/>
  <c r="CC38" i="11"/>
  <c r="BI39" i="11"/>
  <c r="BN40" i="11"/>
  <c r="AT41" i="11"/>
  <c r="Z42" i="11"/>
  <c r="F43" i="11"/>
  <c r="AE45" i="11"/>
  <c r="K46" i="11"/>
  <c r="BS46" i="11"/>
  <c r="AY47" i="11"/>
  <c r="AE48" i="11"/>
  <c r="K49" i="11"/>
  <c r="BS49" i="11"/>
  <c r="AY50" i="11"/>
  <c r="AE51" i="11"/>
  <c r="K52" i="11"/>
  <c r="BS52" i="11"/>
  <c r="AY53" i="11"/>
  <c r="AE54" i="11"/>
  <c r="K55" i="11"/>
  <c r="BS55" i="11"/>
  <c r="AY56" i="11"/>
  <c r="AE57" i="11"/>
  <c r="K58" i="11"/>
  <c r="BS58" i="11"/>
  <c r="AY59" i="11"/>
  <c r="AE60" i="11"/>
  <c r="K61" i="11"/>
  <c r="BS61" i="11"/>
  <c r="AY62" i="11"/>
  <c r="AE63" i="11"/>
  <c r="P64" i="11"/>
  <c r="F65" i="11"/>
  <c r="BN65" i="11"/>
  <c r="F68" i="11"/>
  <c r="BN68" i="11"/>
  <c r="BI69" i="11"/>
  <c r="AO70" i="11"/>
  <c r="U71" i="11"/>
  <c r="CC71" i="11"/>
  <c r="BI72" i="11"/>
  <c r="AO73" i="11"/>
  <c r="U74" i="11"/>
  <c r="CC74" i="11"/>
  <c r="BI75" i="11"/>
  <c r="AO76" i="11"/>
  <c r="AJ77" i="11"/>
  <c r="P78" i="11"/>
  <c r="BD79" i="11"/>
  <c r="AJ80" i="11"/>
  <c r="U81" i="11"/>
  <c r="CC81" i="11"/>
  <c r="BS82" i="11"/>
  <c r="BS83" i="11"/>
  <c r="BS84" i="11"/>
  <c r="R83" i="47"/>
  <c r="R89" i="52" s="1"/>
  <c r="C10" i="52"/>
  <c r="AJ34" i="11"/>
  <c r="BN42" i="11"/>
  <c r="BS45" i="11"/>
  <c r="BS48" i="11"/>
  <c r="AE50" i="11"/>
  <c r="AY52" i="11"/>
  <c r="AY55" i="11"/>
  <c r="AY58" i="11"/>
  <c r="AY61" i="11"/>
  <c r="AT65" i="11"/>
  <c r="CC76" i="11"/>
  <c r="D2" i="44"/>
  <c r="BS51" i="11"/>
  <c r="P35" i="11"/>
  <c r="Z41" i="11"/>
  <c r="AY46" i="11"/>
  <c r="K60" i="11"/>
  <c r="BD35" i="11"/>
  <c r="AJ36" i="11"/>
  <c r="P37" i="11"/>
  <c r="U39" i="11"/>
  <c r="CC39" i="11"/>
  <c r="F41" i="11"/>
  <c r="BN41" i="11"/>
  <c r="AT42" i="11"/>
  <c r="AE43" i="11"/>
  <c r="BD44" i="11"/>
  <c r="AY45" i="11"/>
  <c r="AE46" i="11"/>
  <c r="K47" i="11"/>
  <c r="BS47" i="11"/>
  <c r="AY48" i="11"/>
  <c r="AE49" i="11"/>
  <c r="K50" i="11"/>
  <c r="BS50" i="11"/>
  <c r="AY51" i="11"/>
  <c r="AE52" i="11"/>
  <c r="K53" i="11"/>
  <c r="BS53" i="11"/>
  <c r="AY54" i="11"/>
  <c r="AE55" i="11"/>
  <c r="K56" i="11"/>
  <c r="BS56" i="11"/>
  <c r="AY57" i="11"/>
  <c r="AE58" i="11"/>
  <c r="K59" i="11"/>
  <c r="BS59" i="11"/>
  <c r="AY60" i="11"/>
  <c r="AE61" i="11"/>
  <c r="K62" i="11"/>
  <c r="BS62" i="11"/>
  <c r="AY63" i="11"/>
  <c r="AT64" i="11"/>
  <c r="Z65" i="11"/>
  <c r="AJ67" i="11"/>
  <c r="Z68" i="11"/>
  <c r="U69" i="11"/>
  <c r="BI70" i="11"/>
  <c r="AO71" i="11"/>
  <c r="U72" i="11"/>
  <c r="CC72" i="11"/>
  <c r="BI73" i="11"/>
  <c r="AO74" i="11"/>
  <c r="U75" i="11"/>
  <c r="CC75" i="11"/>
  <c r="BI76" i="11"/>
  <c r="BD77" i="11"/>
  <c r="AJ78" i="11"/>
  <c r="P79" i="11"/>
  <c r="BD80" i="11"/>
  <c r="AO81" i="11"/>
  <c r="U82" i="11"/>
  <c r="P83" i="11"/>
  <c r="Z34" i="11"/>
  <c r="BN34" i="11"/>
  <c r="Z35" i="11"/>
  <c r="BN35" i="11"/>
  <c r="Z36" i="11"/>
  <c r="F37" i="11"/>
  <c r="AY38" i="11"/>
  <c r="K39" i="11"/>
  <c r="AY39" i="11"/>
  <c r="AJ41" i="11"/>
  <c r="P42" i="11"/>
  <c r="BD42" i="11"/>
  <c r="AO43" i="11"/>
  <c r="BN44" i="11"/>
  <c r="AO45" i="11"/>
  <c r="CC45" i="11"/>
  <c r="AO46" i="11"/>
  <c r="U47" i="11"/>
  <c r="BI47" i="11"/>
  <c r="U48" i="11"/>
  <c r="BI48" i="11"/>
  <c r="U49" i="11"/>
  <c r="AO49" i="11"/>
  <c r="BI49" i="11"/>
  <c r="U50" i="11"/>
  <c r="AO50" i="11"/>
  <c r="BI50" i="11"/>
  <c r="CC50" i="11"/>
  <c r="U51" i="11"/>
  <c r="AO51" i="11"/>
  <c r="BI51" i="11"/>
  <c r="CC51" i="11"/>
  <c r="U52" i="11"/>
  <c r="AO52" i="11"/>
  <c r="BI52" i="11"/>
  <c r="CC52" i="11"/>
  <c r="U53" i="11"/>
  <c r="AO53" i="11"/>
  <c r="BI53" i="11"/>
  <c r="CC53" i="11"/>
  <c r="U54" i="11"/>
  <c r="AO54" i="11"/>
  <c r="BI54" i="11"/>
  <c r="CC54" i="11"/>
  <c r="U55" i="11"/>
  <c r="AO55" i="11"/>
  <c r="BI55" i="11"/>
  <c r="CC55" i="11"/>
  <c r="U56" i="11"/>
  <c r="AO56" i="11"/>
  <c r="BI56" i="11"/>
  <c r="CC56" i="11"/>
  <c r="U57" i="11"/>
  <c r="AO57" i="11"/>
  <c r="BI57" i="11"/>
  <c r="CC57" i="11"/>
  <c r="U58" i="11"/>
  <c r="AO58" i="11"/>
  <c r="BI58" i="11"/>
  <c r="CC58" i="11"/>
  <c r="U59" i="11"/>
  <c r="AO59" i="11"/>
  <c r="BI59" i="11"/>
  <c r="CC59" i="11"/>
  <c r="U60" i="11"/>
  <c r="AO60" i="11"/>
  <c r="BI60" i="11"/>
  <c r="CC60" i="11"/>
  <c r="U61" i="11"/>
  <c r="AO61" i="11"/>
  <c r="BI61" i="11"/>
  <c r="CC61" i="11"/>
  <c r="U62" i="11"/>
  <c r="AO62" i="11"/>
  <c r="BI62" i="11"/>
  <c r="CC62" i="11"/>
  <c r="U63" i="11"/>
  <c r="AO63" i="11"/>
  <c r="BI63" i="11"/>
  <c r="CC63" i="11"/>
  <c r="AE64" i="11"/>
  <c r="BD64" i="11"/>
  <c r="P65" i="11"/>
  <c r="AJ65" i="11"/>
  <c r="BD65" i="11"/>
  <c r="AE66" i="11"/>
  <c r="BN66" i="11"/>
  <c r="K67" i="11"/>
  <c r="BD67" i="11"/>
  <c r="P68" i="11"/>
  <c r="AJ68" i="11"/>
  <c r="BD68" i="11"/>
  <c r="AE69" i="11"/>
  <c r="AY69" i="11"/>
  <c r="BS69" i="11"/>
  <c r="K70" i="11"/>
  <c r="AE70" i="11"/>
  <c r="AY70" i="11"/>
  <c r="BS70" i="11"/>
  <c r="K71" i="11"/>
  <c r="AE71" i="11"/>
  <c r="AY71" i="11"/>
  <c r="BS71" i="11"/>
  <c r="K72" i="11"/>
  <c r="AE72" i="11"/>
  <c r="AY72" i="11"/>
  <c r="BS72" i="11"/>
  <c r="K73" i="11"/>
  <c r="AE73" i="11"/>
  <c r="AY73" i="11"/>
  <c r="BS73" i="11"/>
  <c r="K74" i="11"/>
  <c r="AE74" i="11"/>
  <c r="AY74" i="11"/>
  <c r="BS74" i="11"/>
  <c r="K75" i="11"/>
  <c r="AE75" i="11"/>
  <c r="AY75" i="11"/>
  <c r="BS75" i="11"/>
  <c r="K76" i="11"/>
  <c r="AE76" i="11"/>
  <c r="AY76" i="11"/>
  <c r="BS76" i="11"/>
  <c r="P77" i="11"/>
  <c r="AT77" i="11"/>
  <c r="BN77" i="11"/>
  <c r="F78" i="11"/>
  <c r="Z78" i="11"/>
  <c r="AT78" i="11"/>
  <c r="BN78" i="11"/>
  <c r="F79" i="11"/>
  <c r="Z79" i="11"/>
  <c r="AT79" i="11"/>
  <c r="BN79" i="11"/>
  <c r="F80" i="11"/>
  <c r="Z80" i="11"/>
  <c r="AT80" i="11"/>
  <c r="BN80" i="11"/>
  <c r="K81" i="11"/>
  <c r="AE81" i="11"/>
  <c r="AY81" i="11"/>
  <c r="BS81" i="11"/>
  <c r="K82" i="11"/>
  <c r="AJ82" i="11"/>
  <c r="BD82" i="11"/>
  <c r="CC82" i="11"/>
  <c r="Z83" i="11"/>
  <c r="BI83" i="11"/>
  <c r="AE84" i="11"/>
  <c r="BI84" i="11"/>
  <c r="AT34" i="11"/>
  <c r="F35" i="11"/>
  <c r="AT35" i="11"/>
  <c r="F36" i="11"/>
  <c r="AT36" i="11"/>
  <c r="BN36" i="11"/>
  <c r="Z37" i="11"/>
  <c r="AT37" i="11"/>
  <c r="BN37" i="11"/>
  <c r="BS38" i="11"/>
  <c r="AE39" i="11"/>
  <c r="BS39" i="11"/>
  <c r="BD40" i="11"/>
  <c r="P41" i="11"/>
  <c r="BD41" i="11"/>
  <c r="AJ42" i="11"/>
  <c r="P43" i="11"/>
  <c r="BN43" i="11"/>
  <c r="U45" i="11"/>
  <c r="BI45" i="11"/>
  <c r="U46" i="11"/>
  <c r="BI46" i="11"/>
  <c r="CC46" i="11"/>
  <c r="AO47" i="11"/>
  <c r="CC47" i="11"/>
  <c r="AO48" i="11"/>
  <c r="CC48" i="11"/>
  <c r="CC49" i="11"/>
  <c r="J56" i="55"/>
  <c r="J176" i="49" s="1"/>
  <c r="J7" i="55"/>
  <c r="J212" i="44" s="1"/>
  <c r="J66" i="55"/>
  <c r="J170" i="51" s="1"/>
  <c r="J21" i="55"/>
  <c r="J146" i="45" s="1"/>
  <c r="J63" i="55"/>
  <c r="J167" i="51" s="1"/>
  <c r="J62" i="55"/>
  <c r="J139" i="50" s="1"/>
  <c r="J59" i="55"/>
  <c r="J136" i="50" s="1"/>
  <c r="J4" i="55"/>
  <c r="J209" i="44" s="1"/>
  <c r="J22" i="55"/>
  <c r="J147" i="45" s="1"/>
  <c r="J57" i="55"/>
  <c r="J177" i="49" s="1"/>
  <c r="J27" i="55"/>
  <c r="J152" i="45" s="1"/>
  <c r="L52" i="54"/>
  <c r="L140" i="49" s="1"/>
  <c r="J45" i="55"/>
  <c r="J165" i="49" s="1"/>
  <c r="K82" i="55"/>
  <c r="K159" i="52" s="1"/>
  <c r="J10" i="55"/>
  <c r="J215" i="44" s="1"/>
  <c r="J33" i="55"/>
  <c r="J156" i="46" s="1"/>
  <c r="J6" i="55"/>
  <c r="J211" i="44" s="1"/>
  <c r="J13" i="55"/>
  <c r="J218" i="44" s="1"/>
  <c r="J68" i="55"/>
  <c r="J172" i="51" s="1"/>
  <c r="J76" i="55"/>
  <c r="J153" i="52" s="1"/>
  <c r="J34" i="55"/>
  <c r="J157" i="46" s="1"/>
  <c r="J40" i="55"/>
  <c r="J139" i="48" s="1"/>
  <c r="J14" i="55"/>
  <c r="J219" i="44" s="1"/>
  <c r="J38" i="55"/>
  <c r="J137" i="48" s="1"/>
  <c r="J43" i="55"/>
  <c r="J142" i="48" s="1"/>
  <c r="J47" i="55"/>
  <c r="J167" i="49" s="1"/>
  <c r="J58" i="55"/>
  <c r="J178" i="49" s="1"/>
  <c r="J55" i="55"/>
  <c r="J175" i="49" s="1"/>
  <c r="J3" i="55"/>
  <c r="J208" i="44" s="1"/>
  <c r="J18" i="55"/>
  <c r="J223" i="44" s="1"/>
  <c r="J41" i="55"/>
  <c r="J140" i="48" s="1"/>
  <c r="J16" i="55"/>
  <c r="J221" i="44" s="1"/>
  <c r="J15" i="55"/>
  <c r="J220" i="44" s="1"/>
  <c r="J80" i="55"/>
  <c r="J157" i="52" s="1"/>
  <c r="J36" i="55"/>
  <c r="J159" i="46" s="1"/>
  <c r="J79" i="55"/>
  <c r="J156" i="52" s="1"/>
  <c r="M80" i="54"/>
  <c r="M135" i="52" s="1"/>
  <c r="J2" i="55"/>
  <c r="J207" i="44" s="1"/>
  <c r="J5" i="55"/>
  <c r="J210" i="44" s="1"/>
  <c r="J25" i="55"/>
  <c r="J150" i="45" s="1"/>
  <c r="J20" i="55"/>
  <c r="J145" i="45" s="1"/>
  <c r="J23" i="55"/>
  <c r="J148" i="45" s="1"/>
  <c r="J69" i="55"/>
  <c r="J173" i="51" s="1"/>
  <c r="J24" i="55"/>
  <c r="J149" i="45" s="1"/>
  <c r="J65" i="55"/>
  <c r="J169" i="51" s="1"/>
  <c r="J81" i="55"/>
  <c r="J158" i="52" s="1"/>
  <c r="J60" i="55"/>
  <c r="J137" i="50" s="1"/>
  <c r="J30" i="55"/>
  <c r="J153" i="46" s="1"/>
  <c r="J42" i="55"/>
  <c r="J141" i="48" s="1"/>
  <c r="J39" i="55"/>
  <c r="J138" i="48" s="1"/>
  <c r="J52" i="55"/>
  <c r="J172" i="49" s="1"/>
  <c r="J67" i="55"/>
  <c r="J171" i="51" s="1"/>
  <c r="J12" i="55"/>
  <c r="J217" i="44" s="1"/>
  <c r="J61" i="55"/>
  <c r="J138" i="50" s="1"/>
  <c r="J19" i="55"/>
  <c r="J224" i="44" s="1"/>
  <c r="J64" i="55"/>
  <c r="J168" i="51" s="1"/>
  <c r="J46" i="55"/>
  <c r="J166" i="49" s="1"/>
  <c r="J17" i="55"/>
  <c r="J222" i="44" s="1"/>
  <c r="J31" i="55"/>
  <c r="J154" i="46" s="1"/>
  <c r="J71" i="55"/>
  <c r="J175" i="51" s="1"/>
  <c r="J70" i="55"/>
  <c r="J174" i="51" s="1"/>
  <c r="J28" i="55"/>
  <c r="J153" i="45" s="1"/>
  <c r="J8" i="55"/>
  <c r="J213" i="44" s="1"/>
  <c r="R3" i="54"/>
  <c r="R168" i="44" s="1"/>
  <c r="J53" i="55"/>
  <c r="J173" i="49" s="1"/>
  <c r="L83" i="54"/>
  <c r="L138" i="52" s="1"/>
  <c r="J49" i="55"/>
  <c r="J169" i="49" s="1"/>
  <c r="J29" i="55"/>
  <c r="J154" i="45" s="1"/>
  <c r="J44" i="55"/>
  <c r="J143" i="48" s="1"/>
  <c r="J78" i="55"/>
  <c r="J155" i="52" s="1"/>
  <c r="L81" i="54"/>
  <c r="L136" i="52" s="1"/>
  <c r="J26" i="55"/>
  <c r="J151" i="45" s="1"/>
  <c r="J48" i="55"/>
  <c r="J168" i="49" s="1"/>
  <c r="J50" i="55"/>
  <c r="J170" i="49" s="1"/>
  <c r="J75" i="55"/>
  <c r="J152" i="52" s="1"/>
  <c r="J72" i="55"/>
  <c r="J176" i="51" s="1"/>
  <c r="J51" i="55"/>
  <c r="J171" i="49" s="1"/>
  <c r="J35" i="55"/>
  <c r="J158" i="46" s="1"/>
  <c r="J73" i="55"/>
  <c r="J177" i="51" s="1"/>
  <c r="J9" i="55"/>
  <c r="J214" i="44" s="1"/>
  <c r="J74" i="55"/>
  <c r="J178" i="51" s="1"/>
  <c r="J77" i="55"/>
  <c r="J154" i="52" s="1"/>
  <c r="J54" i="55"/>
  <c r="J174" i="49" s="1"/>
  <c r="J11" i="55"/>
  <c r="J216" i="44" s="1"/>
  <c r="I83" i="55"/>
  <c r="I160" i="52" s="1"/>
  <c r="CC84" i="11"/>
  <c r="AE34" i="11"/>
  <c r="AY34" i="11"/>
  <c r="BS34" i="11"/>
  <c r="K35" i="11"/>
  <c r="AE35" i="11"/>
  <c r="AY35" i="11"/>
  <c r="BS35" i="11"/>
  <c r="K36" i="11"/>
  <c r="AE36" i="11"/>
  <c r="AY36" i="11"/>
  <c r="BS36" i="11"/>
  <c r="K37" i="11"/>
  <c r="AE37" i="11"/>
  <c r="AY37" i="11"/>
  <c r="BS37" i="11"/>
  <c r="P39" i="11"/>
  <c r="AJ39" i="11"/>
  <c r="BD39" i="11"/>
  <c r="U41" i="11"/>
  <c r="AO41" i="11"/>
  <c r="BI41" i="11"/>
  <c r="CC41" i="11"/>
  <c r="U42" i="11"/>
  <c r="AO42" i="11"/>
  <c r="U34" i="11"/>
  <c r="AO34" i="11"/>
  <c r="BI34" i="11"/>
  <c r="CC34" i="11"/>
  <c r="U35" i="11"/>
  <c r="AO35" i="11"/>
  <c r="BI35" i="11"/>
  <c r="CC35" i="11"/>
  <c r="U36" i="11"/>
  <c r="AO36" i="11"/>
  <c r="BI36" i="11"/>
  <c r="CC36" i="11"/>
  <c r="U37" i="11"/>
  <c r="AO37" i="11"/>
  <c r="BI37" i="11"/>
  <c r="CC37" i="11"/>
  <c r="BN38" i="11"/>
  <c r="F39" i="11"/>
  <c r="Z39" i="11"/>
  <c r="AT39" i="11"/>
  <c r="BN39" i="11"/>
  <c r="Z40" i="11"/>
  <c r="AY40" i="11"/>
  <c r="K41" i="11"/>
  <c r="AE41" i="11"/>
  <c r="AY41" i="11"/>
  <c r="BS41" i="11"/>
  <c r="K42" i="11"/>
  <c r="AE42" i="11"/>
  <c r="AY42" i="11"/>
  <c r="BS42" i="11"/>
  <c r="K43" i="11"/>
  <c r="AJ43" i="11"/>
  <c r="BI43" i="11"/>
  <c r="BI44" i="11"/>
  <c r="P45" i="11"/>
  <c r="AJ45" i="11"/>
  <c r="BD45" i="11"/>
  <c r="P46" i="11"/>
  <c r="AJ46" i="11"/>
  <c r="BD46" i="11"/>
  <c r="P47" i="11"/>
  <c r="AJ47" i="11"/>
  <c r="BD47" i="11"/>
  <c r="P48" i="11"/>
  <c r="AJ48" i="11"/>
  <c r="BD48" i="11"/>
  <c r="P49" i="11"/>
  <c r="AJ49" i="11"/>
  <c r="BD49" i="11"/>
  <c r="P50" i="11"/>
  <c r="AJ50" i="11"/>
  <c r="BD50" i="11"/>
  <c r="P51" i="11"/>
  <c r="AJ51" i="11"/>
  <c r="BD51" i="11"/>
  <c r="P52" i="11"/>
  <c r="AJ52" i="11"/>
  <c r="BD52" i="11"/>
  <c r="P53" i="11"/>
  <c r="AJ53" i="11"/>
  <c r="BD53" i="11"/>
  <c r="P54" i="11"/>
  <c r="AJ54" i="11"/>
  <c r="BD54" i="11"/>
  <c r="P55" i="11"/>
  <c r="AJ55" i="11"/>
  <c r="BD55" i="11"/>
  <c r="P56" i="11"/>
  <c r="AJ56" i="11"/>
  <c r="BD56" i="11"/>
  <c r="P57" i="11"/>
  <c r="AJ57" i="11"/>
  <c r="BD57" i="11"/>
  <c r="P58" i="11"/>
  <c r="AJ58" i="11"/>
  <c r="BD58" i="11"/>
  <c r="P59" i="11"/>
  <c r="AJ59" i="11"/>
  <c r="BD59" i="11"/>
  <c r="BI42" i="11"/>
  <c r="CC42" i="11"/>
  <c r="Z43" i="11"/>
  <c r="AY43" i="11"/>
  <c r="BS43" i="11"/>
  <c r="AY44" i="11"/>
  <c r="F45" i="11"/>
  <c r="Z45" i="11"/>
  <c r="AT45" i="11"/>
  <c r="BN45" i="11"/>
  <c r="F46" i="11"/>
  <c r="Z46" i="11"/>
  <c r="AT46" i="11"/>
  <c r="BN46" i="11"/>
  <c r="F47" i="11"/>
  <c r="Z47" i="11"/>
  <c r="AT47" i="11"/>
  <c r="BN47" i="11"/>
  <c r="F48" i="11"/>
  <c r="Z48" i="11"/>
  <c r="AT48" i="11"/>
  <c r="BN48" i="11"/>
  <c r="F49" i="11"/>
  <c r="Z49" i="11"/>
  <c r="AT49" i="11"/>
  <c r="BN49" i="11"/>
  <c r="F50" i="11"/>
  <c r="Z50" i="11"/>
  <c r="AT50" i="11"/>
  <c r="BN50" i="11"/>
  <c r="F51" i="11"/>
  <c r="Z51" i="11"/>
  <c r="AT51" i="11"/>
  <c r="BN51" i="11"/>
  <c r="F52" i="11"/>
  <c r="Z52" i="11"/>
  <c r="AT52" i="11"/>
  <c r="BN52" i="11"/>
  <c r="F53" i="11"/>
  <c r="Z53" i="11"/>
  <c r="AT53" i="11"/>
  <c r="BN53" i="11"/>
  <c r="F54" i="11"/>
  <c r="Z54" i="11"/>
  <c r="AT54" i="11"/>
  <c r="BN54" i="11"/>
  <c r="F55" i="11"/>
  <c r="Z55" i="11"/>
  <c r="AT55" i="11"/>
  <c r="BN55" i="11"/>
  <c r="F56" i="11"/>
  <c r="Z56" i="11"/>
  <c r="AT56" i="11"/>
  <c r="BN56" i="11"/>
  <c r="F57" i="11"/>
  <c r="Z57" i="11"/>
  <c r="AT57" i="11"/>
  <c r="BN57" i="11"/>
  <c r="F58" i="11"/>
  <c r="Z58" i="11"/>
  <c r="AT58" i="11"/>
  <c r="BN58" i="11"/>
  <c r="F59" i="11"/>
  <c r="Z59" i="11"/>
  <c r="AT59" i="11"/>
  <c r="BN59" i="11"/>
  <c r="F60" i="11"/>
  <c r="Z60" i="11"/>
  <c r="AT60" i="11"/>
  <c r="BN60" i="11"/>
  <c r="F61" i="11"/>
  <c r="Z61" i="11"/>
  <c r="AT61" i="11"/>
  <c r="BN61" i="11"/>
  <c r="F62" i="11"/>
  <c r="Z62" i="11"/>
  <c r="AT62" i="11"/>
  <c r="BN62" i="11"/>
  <c r="F63" i="11"/>
  <c r="Z63" i="11"/>
  <c r="AT63" i="11"/>
  <c r="BN63" i="11"/>
  <c r="K64" i="11"/>
  <c r="AJ64" i="11"/>
  <c r="BI64" i="11"/>
  <c r="U65" i="11"/>
  <c r="AO65" i="11"/>
  <c r="BI65" i="11"/>
  <c r="CC65" i="11"/>
  <c r="AJ66" i="11"/>
  <c r="BS66" i="11"/>
  <c r="BI67" i="11"/>
  <c r="CC67" i="11"/>
  <c r="U68" i="11"/>
  <c r="AO68" i="11"/>
  <c r="BI68" i="11"/>
  <c r="CC68" i="11"/>
  <c r="AJ69" i="11"/>
  <c r="BD69" i="11"/>
  <c r="P70" i="11"/>
  <c r="AJ70" i="11"/>
  <c r="BD70" i="11"/>
  <c r="P71" i="11"/>
  <c r="AJ71" i="11"/>
  <c r="BD71" i="11"/>
  <c r="P72" i="11"/>
  <c r="AJ72" i="11"/>
  <c r="BD72" i="11"/>
  <c r="P73" i="11"/>
  <c r="AJ73" i="11"/>
  <c r="BD73" i="11"/>
  <c r="P74" i="11"/>
  <c r="AJ74" i="11"/>
  <c r="BD74" i="11"/>
  <c r="P75" i="11"/>
  <c r="AJ75" i="11"/>
  <c r="BD75" i="11"/>
  <c r="P76" i="11"/>
  <c r="AJ76" i="11"/>
  <c r="BD76" i="11"/>
  <c r="AE77" i="11"/>
  <c r="AY77" i="11"/>
  <c r="BS77" i="11"/>
  <c r="K78" i="11"/>
  <c r="AE78" i="11"/>
  <c r="AY78" i="11"/>
  <c r="BS78" i="11"/>
  <c r="K79" i="11"/>
  <c r="AE79" i="11"/>
  <c r="AY79" i="11"/>
  <c r="BS79" i="11"/>
  <c r="K80" i="11"/>
  <c r="AE80" i="11"/>
  <c r="AY80" i="11"/>
  <c r="BS80" i="11"/>
  <c r="P81" i="11"/>
  <c r="AJ81" i="11"/>
  <c r="BD81" i="11"/>
  <c r="P82" i="11"/>
  <c r="AO82" i="11"/>
  <c r="BN82" i="11"/>
  <c r="K83" i="11"/>
  <c r="AE83" i="11"/>
  <c r="BN83" i="11"/>
  <c r="AO84" i="11"/>
  <c r="BN84" i="11"/>
  <c r="C42" i="49"/>
  <c r="P60" i="11"/>
  <c r="AJ60" i="11"/>
  <c r="BD60" i="11"/>
  <c r="P61" i="11"/>
  <c r="AJ61" i="11"/>
  <c r="BD61" i="11"/>
  <c r="P62" i="11"/>
  <c r="AJ62" i="11"/>
  <c r="BD62" i="11"/>
  <c r="P63" i="11"/>
  <c r="AJ63" i="11"/>
  <c r="BD63" i="11"/>
  <c r="U64" i="11"/>
  <c r="AY64" i="11"/>
  <c r="BS64" i="11"/>
  <c r="K65" i="11"/>
  <c r="AE65" i="11"/>
  <c r="AY65" i="11"/>
  <c r="BS65" i="11"/>
  <c r="Z66" i="11"/>
  <c r="BI66" i="11"/>
  <c r="AO67" i="11"/>
  <c r="BS67" i="11"/>
  <c r="K68" i="11"/>
  <c r="AE68" i="11"/>
  <c r="AY68" i="11"/>
  <c r="BS68" i="11"/>
  <c r="Z69" i="11"/>
  <c r="AT69" i="11"/>
  <c r="BN69" i="11"/>
  <c r="F70" i="11"/>
  <c r="Z70" i="11"/>
  <c r="AT70" i="11"/>
  <c r="BN70" i="11"/>
  <c r="F71" i="11"/>
  <c r="Z71" i="11"/>
  <c r="AT71" i="11"/>
  <c r="BN71" i="11"/>
  <c r="F72" i="11"/>
  <c r="Z72" i="11"/>
  <c r="AT72" i="11"/>
  <c r="BN72" i="11"/>
  <c r="F73" i="11"/>
  <c r="Z73" i="11"/>
  <c r="AT73" i="11"/>
  <c r="BN73" i="11"/>
  <c r="F74" i="11"/>
  <c r="Z74" i="11"/>
  <c r="AT74" i="11"/>
  <c r="BN74" i="11"/>
  <c r="F75" i="11"/>
  <c r="Z75" i="11"/>
  <c r="AT75" i="11"/>
  <c r="BN75" i="11"/>
  <c r="F76" i="11"/>
  <c r="Z76" i="11"/>
  <c r="AT76" i="11"/>
  <c r="BN76" i="11"/>
  <c r="F77" i="11"/>
  <c r="AO77" i="11"/>
  <c r="BI77" i="11"/>
  <c r="CC77" i="11"/>
  <c r="U78" i="11"/>
  <c r="AO78" i="11"/>
  <c r="BI78" i="11"/>
  <c r="CC78" i="11"/>
  <c r="U79" i="11"/>
  <c r="AO79" i="11"/>
  <c r="BI79" i="11"/>
  <c r="CC79" i="11"/>
  <c r="U80" i="11"/>
  <c r="AO80" i="11"/>
  <c r="BI80" i="11"/>
  <c r="CC80" i="11"/>
  <c r="Z81" i="11"/>
  <c r="AT81" i="11"/>
  <c r="BN81" i="11"/>
  <c r="F82" i="11"/>
  <c r="Z82" i="11"/>
  <c r="AY82" i="11"/>
  <c r="U83" i="11"/>
  <c r="BD83" i="11"/>
  <c r="BD84" i="11"/>
  <c r="C2" i="54"/>
  <c r="C167" i="44" s="1"/>
  <c r="C42" i="44"/>
  <c r="Q83" i="47"/>
  <c r="Q89" i="52" s="1"/>
  <c r="C6" i="46"/>
  <c r="C35" i="47"/>
  <c r="C72" i="46" s="1"/>
  <c r="I34" i="11"/>
  <c r="CA33" i="11"/>
  <c r="BV33" i="11"/>
  <c r="BQ33" i="11"/>
  <c r="BL33" i="11"/>
  <c r="BG33" i="11"/>
  <c r="BB33" i="11"/>
  <c r="AW33" i="11"/>
  <c r="CA32" i="11"/>
  <c r="BV32" i="11"/>
  <c r="BQ32" i="11"/>
  <c r="BL32" i="11"/>
  <c r="BG32" i="11"/>
  <c r="BB32" i="11"/>
  <c r="AW32" i="11"/>
  <c r="AM32" i="11"/>
  <c r="CA31" i="11"/>
  <c r="BV31" i="11"/>
  <c r="BQ31" i="11"/>
  <c r="BL31" i="11"/>
  <c r="BG31" i="11"/>
  <c r="BB31" i="11"/>
  <c r="AW31" i="11"/>
  <c r="AR31" i="11"/>
  <c r="AM31" i="11"/>
  <c r="AH31" i="11"/>
  <c r="AC31" i="11"/>
  <c r="X31" i="11"/>
  <c r="S31" i="11"/>
  <c r="N31" i="11"/>
  <c r="I31" i="11"/>
  <c r="D31" i="11"/>
  <c r="CA30" i="11"/>
  <c r="BV30" i="11"/>
  <c r="BQ30" i="11"/>
  <c r="BL30" i="11"/>
  <c r="BG30" i="11"/>
  <c r="BB30" i="11"/>
  <c r="AW30" i="11"/>
  <c r="AR30" i="11"/>
  <c r="AM30" i="11"/>
  <c r="AH30" i="11"/>
  <c r="AC30" i="11"/>
  <c r="X30" i="11"/>
  <c r="S30" i="11"/>
  <c r="N30" i="11"/>
  <c r="I30" i="11"/>
  <c r="D30" i="11"/>
  <c r="CA29" i="11"/>
  <c r="BV29" i="11"/>
  <c r="BQ29" i="11"/>
  <c r="BL29" i="11"/>
  <c r="BG29" i="11"/>
  <c r="BB29" i="11"/>
  <c r="AW29" i="11"/>
  <c r="AR29" i="11"/>
  <c r="AM29" i="11"/>
  <c r="AH29" i="11"/>
  <c r="AC29" i="11"/>
  <c r="X29" i="11"/>
  <c r="S29" i="11"/>
  <c r="N29" i="11"/>
  <c r="I29" i="11"/>
  <c r="D29" i="11"/>
  <c r="CA28" i="11"/>
  <c r="BV28" i="11"/>
  <c r="BQ28" i="11"/>
  <c r="BL28" i="11"/>
  <c r="BG28" i="11"/>
  <c r="BB28" i="11"/>
  <c r="AW28" i="11"/>
  <c r="AR28" i="11"/>
  <c r="AM28" i="11"/>
  <c r="AH28" i="11"/>
  <c r="AC28" i="11"/>
  <c r="X28" i="11"/>
  <c r="S28" i="11"/>
  <c r="N28" i="11"/>
  <c r="I28" i="11"/>
  <c r="D28" i="11"/>
  <c r="CA27" i="11"/>
  <c r="BV27" i="11"/>
  <c r="BQ27" i="11"/>
  <c r="BL27" i="11"/>
  <c r="BG27" i="11"/>
  <c r="BB27" i="11"/>
  <c r="AW27" i="11"/>
  <c r="AR27" i="11"/>
  <c r="AM27" i="11"/>
  <c r="AH27" i="11"/>
  <c r="AC27" i="11"/>
  <c r="X27" i="11"/>
  <c r="S27" i="11"/>
  <c r="N27" i="11"/>
  <c r="I27" i="11"/>
  <c r="D27" i="11"/>
  <c r="CA26" i="11"/>
  <c r="BV26" i="11"/>
  <c r="BQ26" i="11"/>
  <c r="BL26" i="11"/>
  <c r="BG26" i="11"/>
  <c r="BB26" i="11"/>
  <c r="AW26" i="11"/>
  <c r="AR26" i="11"/>
  <c r="AM26" i="11"/>
  <c r="AH26" i="11"/>
  <c r="AC26" i="11"/>
  <c r="X26" i="11"/>
  <c r="S26" i="11"/>
  <c r="N26" i="11"/>
  <c r="I26" i="11"/>
  <c r="D26" i="11"/>
  <c r="CA25" i="11"/>
  <c r="BV25" i="11"/>
  <c r="BQ25" i="11"/>
  <c r="BL25" i="11"/>
  <c r="BG25" i="11"/>
  <c r="BB25" i="11"/>
  <c r="AW25" i="11"/>
  <c r="AR25" i="11"/>
  <c r="AM25" i="11"/>
  <c r="AH25" i="11"/>
  <c r="AC25" i="11"/>
  <c r="X25" i="11"/>
  <c r="S25" i="11"/>
  <c r="N25" i="11"/>
  <c r="I25" i="11"/>
  <c r="D25" i="11"/>
  <c r="CA24" i="11"/>
  <c r="BV24" i="11"/>
  <c r="BQ24" i="11"/>
  <c r="BL24" i="11"/>
  <c r="BG24" i="11"/>
  <c r="BB24" i="11"/>
  <c r="AW24" i="11"/>
  <c r="AR24" i="11"/>
  <c r="AM24" i="11"/>
  <c r="AH24" i="11"/>
  <c r="AC24" i="11"/>
  <c r="X24" i="11"/>
  <c r="S24" i="11"/>
  <c r="N24" i="11"/>
  <c r="I24" i="11"/>
  <c r="D24" i="11"/>
  <c r="CA23" i="11"/>
  <c r="BV23" i="11"/>
  <c r="BQ23" i="11"/>
  <c r="BL23" i="11"/>
  <c r="BG23" i="11"/>
  <c r="BB23" i="11"/>
  <c r="AW23" i="11"/>
  <c r="AR23" i="11"/>
  <c r="AM23" i="11"/>
  <c r="AH23" i="11"/>
  <c r="AC23" i="11"/>
  <c r="X23" i="11"/>
  <c r="S23" i="11"/>
  <c r="N23" i="11"/>
  <c r="I23" i="11"/>
  <c r="D23" i="11"/>
  <c r="CA22" i="11"/>
  <c r="BV22" i="11"/>
  <c r="BQ22" i="11"/>
  <c r="BL22" i="11"/>
  <c r="BG22" i="11"/>
  <c r="BB22" i="11"/>
  <c r="AW22" i="11"/>
  <c r="AR22" i="11"/>
  <c r="AM22" i="11"/>
  <c r="AH22" i="11"/>
  <c r="AC22" i="11"/>
  <c r="X22" i="11"/>
  <c r="S22" i="11"/>
  <c r="N22" i="11"/>
  <c r="I22" i="11"/>
  <c r="CA21" i="11"/>
  <c r="BV21" i="11"/>
  <c r="BQ21" i="11"/>
  <c r="BL21" i="11"/>
  <c r="BG21" i="11"/>
  <c r="BB21" i="11"/>
  <c r="AW21" i="11"/>
  <c r="AR21" i="11"/>
  <c r="AM21" i="11"/>
  <c r="AH21" i="11"/>
  <c r="AC21" i="11"/>
  <c r="X21" i="11"/>
  <c r="S21" i="11"/>
  <c r="N21" i="11"/>
  <c r="I21" i="11"/>
  <c r="D21" i="11"/>
  <c r="CA20" i="11"/>
  <c r="BV20" i="11"/>
  <c r="BQ20" i="11"/>
  <c r="BL20" i="11"/>
  <c r="BG20" i="11"/>
  <c r="BB20" i="11"/>
  <c r="AW20" i="11"/>
  <c r="AR20" i="11"/>
  <c r="AM20" i="11"/>
  <c r="AH20" i="11"/>
  <c r="AC20" i="11"/>
  <c r="X20" i="11"/>
  <c r="S20" i="11"/>
  <c r="N20" i="11"/>
  <c r="I20" i="11"/>
  <c r="D20" i="11"/>
  <c r="CA19" i="11"/>
  <c r="BV19" i="11"/>
  <c r="BQ19" i="11"/>
  <c r="BL19" i="11"/>
  <c r="BG19" i="11"/>
  <c r="BB19" i="11"/>
  <c r="AW19" i="11"/>
  <c r="AR19" i="11"/>
  <c r="AM19" i="11"/>
  <c r="AH19" i="11"/>
  <c r="AC19" i="11"/>
  <c r="X19" i="11"/>
  <c r="S19" i="11"/>
  <c r="N19" i="11"/>
  <c r="I19" i="11"/>
  <c r="D19" i="11"/>
  <c r="CA18" i="11"/>
  <c r="BV18" i="11"/>
  <c r="BQ18" i="11"/>
  <c r="BL18" i="11"/>
  <c r="BG18" i="11"/>
  <c r="BB18" i="11"/>
  <c r="AW18" i="11"/>
  <c r="AR18" i="11"/>
  <c r="AM18" i="11"/>
  <c r="AH18" i="11"/>
  <c r="AC18" i="11"/>
  <c r="X18" i="11"/>
  <c r="S18" i="11"/>
  <c r="N18" i="11"/>
  <c r="I18" i="11"/>
  <c r="D18" i="11"/>
  <c r="CA17" i="11"/>
  <c r="BV17" i="11"/>
  <c r="BQ17" i="11"/>
  <c r="BL17" i="11"/>
  <c r="BG17" i="11"/>
  <c r="BB17" i="11"/>
  <c r="AW17" i="11"/>
  <c r="AR17" i="11"/>
  <c r="AM17" i="11"/>
  <c r="AH17" i="11"/>
  <c r="AC17" i="11"/>
  <c r="X17" i="11"/>
  <c r="S17" i="11"/>
  <c r="N17" i="11"/>
  <c r="I17" i="11"/>
  <c r="D17" i="11"/>
  <c r="CA16" i="11"/>
  <c r="BV16" i="11"/>
  <c r="BQ16" i="11"/>
  <c r="BL16" i="11"/>
  <c r="BG16" i="11"/>
  <c r="BB16" i="11"/>
  <c r="AW16" i="11"/>
  <c r="AR16" i="11"/>
  <c r="AM16" i="11"/>
  <c r="AH16" i="11"/>
  <c r="AC16" i="11"/>
  <c r="X16" i="11"/>
  <c r="S16" i="11"/>
  <c r="N16" i="11"/>
  <c r="I16" i="11"/>
  <c r="D16" i="11"/>
  <c r="CA15" i="11"/>
  <c r="BV15" i="11"/>
  <c r="BQ15" i="11"/>
  <c r="BL15" i="11"/>
  <c r="BG15" i="11"/>
  <c r="BB15" i="11"/>
  <c r="AW15" i="11"/>
  <c r="AR15" i="11"/>
  <c r="AM15" i="11"/>
  <c r="AH15" i="11"/>
  <c r="AC15" i="11"/>
  <c r="X15" i="11"/>
  <c r="S15" i="11"/>
  <c r="N15" i="11"/>
  <c r="I15" i="11"/>
  <c r="D15" i="11"/>
  <c r="CA14" i="11"/>
  <c r="BV14" i="11"/>
  <c r="BQ14" i="11"/>
  <c r="BL14" i="11"/>
  <c r="BG14" i="11"/>
  <c r="BB14" i="11"/>
  <c r="AW14" i="11"/>
  <c r="AR14" i="11"/>
  <c r="AM14" i="11"/>
  <c r="AH14" i="11"/>
  <c r="AC14" i="11"/>
  <c r="X14" i="11"/>
  <c r="S14" i="11"/>
  <c r="N14" i="11"/>
  <c r="I14" i="11"/>
  <c r="D14" i="11"/>
  <c r="CA13" i="11"/>
  <c r="BV13" i="11"/>
  <c r="BQ13" i="11"/>
  <c r="BL13" i="11"/>
  <c r="BG13" i="11"/>
  <c r="BB13" i="11"/>
  <c r="AW13" i="11"/>
  <c r="AR13" i="11"/>
  <c r="AM13" i="11"/>
  <c r="AH13" i="11"/>
  <c r="AC13" i="11"/>
  <c r="X13" i="11"/>
  <c r="S13" i="11"/>
  <c r="N13" i="11"/>
  <c r="I13" i="11"/>
  <c r="D13" i="11"/>
  <c r="CA12" i="11"/>
  <c r="BV12" i="11"/>
  <c r="BQ12" i="11"/>
  <c r="BL12" i="11"/>
  <c r="BG12" i="11"/>
  <c r="BB12" i="11"/>
  <c r="AW12" i="11"/>
  <c r="AR12" i="11"/>
  <c r="AM12" i="11"/>
  <c r="AH12" i="11"/>
  <c r="AC12" i="11"/>
  <c r="X12" i="11"/>
  <c r="S12" i="11"/>
  <c r="N12" i="11"/>
  <c r="I12" i="11"/>
  <c r="D12" i="11"/>
  <c r="CA11" i="11"/>
  <c r="BV11" i="11"/>
  <c r="BQ11" i="11"/>
  <c r="BL11" i="11"/>
  <c r="BG11" i="11"/>
  <c r="BB11" i="11"/>
  <c r="AW11" i="11"/>
  <c r="AR11" i="11"/>
  <c r="AM11" i="11"/>
  <c r="AH11" i="11"/>
  <c r="AC11" i="11"/>
  <c r="X11" i="11"/>
  <c r="S11" i="11"/>
  <c r="N11" i="11"/>
  <c r="I11" i="11"/>
  <c r="D11" i="11"/>
  <c r="CA10" i="11"/>
  <c r="BV10" i="11"/>
  <c r="BQ10" i="11"/>
  <c r="BL10" i="11"/>
  <c r="BG10" i="11"/>
  <c r="BB10" i="11"/>
  <c r="AW10" i="11"/>
  <c r="AR10" i="11"/>
  <c r="AM10" i="11"/>
  <c r="AH10" i="11"/>
  <c r="AC10" i="11"/>
  <c r="X10" i="11"/>
  <c r="S10" i="11"/>
  <c r="N10" i="11"/>
  <c r="I10" i="11"/>
  <c r="D10" i="11"/>
  <c r="CA9" i="11"/>
  <c r="BV9" i="11"/>
  <c r="BQ9" i="11"/>
  <c r="BL9" i="11"/>
  <c r="BG9" i="11"/>
  <c r="BB9" i="11"/>
  <c r="AW9" i="11"/>
  <c r="AR9" i="11"/>
  <c r="AM9" i="11"/>
  <c r="AH9" i="11"/>
  <c r="AC9" i="11"/>
  <c r="X9" i="11"/>
  <c r="S9" i="11"/>
  <c r="N9" i="11"/>
  <c r="I9" i="11"/>
  <c r="D9" i="11"/>
  <c r="CA8" i="11"/>
  <c r="BV8" i="11"/>
  <c r="BQ8" i="11"/>
  <c r="BL8" i="11"/>
  <c r="BG8" i="11"/>
  <c r="BB8" i="11"/>
  <c r="AW8" i="11"/>
  <c r="AR8" i="11"/>
  <c r="AM8" i="11"/>
  <c r="AH8" i="11"/>
  <c r="AC8" i="11"/>
  <c r="X8" i="11"/>
  <c r="S8" i="11"/>
  <c r="N8" i="11"/>
  <c r="I8" i="11"/>
  <c r="D8" i="11"/>
  <c r="CA7" i="11"/>
  <c r="BV7" i="11"/>
  <c r="BQ7" i="11"/>
  <c r="BL7" i="11"/>
  <c r="BG7" i="11"/>
  <c r="BB7" i="11"/>
  <c r="AW7" i="11"/>
  <c r="AR7" i="11"/>
  <c r="AM7" i="11"/>
  <c r="AH7" i="11"/>
  <c r="AC7" i="11"/>
  <c r="X7" i="11"/>
  <c r="S7" i="11"/>
  <c r="N7" i="11"/>
  <c r="I7" i="11"/>
  <c r="D7" i="11"/>
  <c r="CA6" i="11"/>
  <c r="BV6" i="11"/>
  <c r="BQ6" i="11"/>
  <c r="BL6" i="11"/>
  <c r="BG6" i="11"/>
  <c r="BB6" i="11"/>
  <c r="AW6" i="11"/>
  <c r="AR6" i="11"/>
  <c r="AM6" i="11"/>
  <c r="AH6" i="11"/>
  <c r="AC6" i="11"/>
  <c r="X6" i="11"/>
  <c r="S6" i="11"/>
  <c r="N6" i="11"/>
  <c r="I6" i="11"/>
  <c r="D6" i="11"/>
  <c r="CA5" i="11"/>
  <c r="BV5" i="11"/>
  <c r="BQ5" i="11"/>
  <c r="BL5" i="11"/>
  <c r="BG5" i="11"/>
  <c r="BB5" i="11"/>
  <c r="AW5" i="11"/>
  <c r="AR5" i="11"/>
  <c r="AM5" i="11"/>
  <c r="AH5" i="11"/>
  <c r="AC5" i="11"/>
  <c r="X5" i="11"/>
  <c r="S5" i="11"/>
  <c r="N5" i="11"/>
  <c r="I5" i="11"/>
  <c r="D5" i="11"/>
  <c r="CA4" i="11"/>
  <c r="K5" i="11" l="1"/>
  <c r="AY5" i="11"/>
  <c r="K6" i="11"/>
  <c r="AY6" i="11"/>
  <c r="K7" i="11"/>
  <c r="AY7" i="11"/>
  <c r="K8" i="11"/>
  <c r="AY8" i="11"/>
  <c r="K9" i="11"/>
  <c r="AY9" i="11"/>
  <c r="BS9" i="11"/>
  <c r="AE10" i="11"/>
  <c r="BS10" i="11"/>
  <c r="AE11" i="11"/>
  <c r="BS11" i="11"/>
  <c r="AE12" i="11"/>
  <c r="BS12" i="11"/>
  <c r="AE13" i="11"/>
  <c r="BS13" i="11"/>
  <c r="AE14" i="11"/>
  <c r="BS14" i="11"/>
  <c r="AE15" i="11"/>
  <c r="BS15" i="11"/>
  <c r="AY16" i="11"/>
  <c r="K17" i="11"/>
  <c r="AE17" i="11"/>
  <c r="BS17" i="11"/>
  <c r="AE18" i="11"/>
  <c r="BS18" i="11"/>
  <c r="AE19" i="11"/>
  <c r="K20" i="11"/>
  <c r="AY20" i="11"/>
  <c r="BS20" i="11"/>
  <c r="AE21" i="11"/>
  <c r="BS21" i="11"/>
  <c r="AJ22" i="11"/>
  <c r="AJ23" i="11"/>
  <c r="P24" i="11"/>
  <c r="BD24" i="11"/>
  <c r="AJ25" i="11"/>
  <c r="P26" i="11"/>
  <c r="BD26" i="11"/>
  <c r="P27" i="11"/>
  <c r="BD27" i="11"/>
  <c r="P28" i="11"/>
  <c r="BD28" i="11"/>
  <c r="P29" i="11"/>
  <c r="BD29" i="11"/>
  <c r="P30" i="11"/>
  <c r="BD30" i="11"/>
  <c r="P31" i="11"/>
  <c r="BD31" i="11"/>
  <c r="BD32" i="11"/>
  <c r="BI33" i="11"/>
  <c r="CC33" i="11"/>
  <c r="AO6" i="11"/>
  <c r="BI6" i="11"/>
  <c r="CC6" i="11"/>
  <c r="U7" i="11"/>
  <c r="AO7" i="11"/>
  <c r="BI7" i="11"/>
  <c r="CC7" i="11"/>
  <c r="U8" i="11"/>
  <c r="AO8" i="11"/>
  <c r="BI8" i="11"/>
  <c r="CC8" i="11"/>
  <c r="U9" i="11"/>
  <c r="AO9" i="11"/>
  <c r="BI9" i="11"/>
  <c r="CC9" i="11"/>
  <c r="U10" i="11"/>
  <c r="AO10" i="11"/>
  <c r="BI10" i="11"/>
  <c r="CC10" i="11"/>
  <c r="U11" i="11"/>
  <c r="AO11" i="11"/>
  <c r="AE5" i="11"/>
  <c r="BS5" i="11"/>
  <c r="AE6" i="11"/>
  <c r="BS6" i="11"/>
  <c r="AE7" i="11"/>
  <c r="BS7" i="11"/>
  <c r="AE8" i="11"/>
  <c r="BS8" i="11"/>
  <c r="AE9" i="11"/>
  <c r="K10" i="11"/>
  <c r="AY10" i="11"/>
  <c r="K11" i="11"/>
  <c r="AY11" i="11"/>
  <c r="K12" i="11"/>
  <c r="AY12" i="11"/>
  <c r="K13" i="11"/>
  <c r="AY13" i="11"/>
  <c r="K14" i="11"/>
  <c r="AY14" i="11"/>
  <c r="K15" i="11"/>
  <c r="AY15" i="11"/>
  <c r="K16" i="11"/>
  <c r="AE16" i="11"/>
  <c r="BS16" i="11"/>
  <c r="AY17" i="11"/>
  <c r="K18" i="11"/>
  <c r="AY18" i="11"/>
  <c r="K19" i="11"/>
  <c r="AY19" i="11"/>
  <c r="BS19" i="11"/>
  <c r="AE20" i="11"/>
  <c r="K21" i="11"/>
  <c r="AY21" i="11"/>
  <c r="P22" i="11"/>
  <c r="BD22" i="11"/>
  <c r="P23" i="11"/>
  <c r="BD23" i="11"/>
  <c r="AJ24" i="11"/>
  <c r="P25" i="11"/>
  <c r="BD25" i="11"/>
  <c r="AJ26" i="11"/>
  <c r="AJ27" i="11"/>
  <c r="AJ28" i="11"/>
  <c r="AJ29" i="11"/>
  <c r="AJ30" i="11"/>
  <c r="AJ31" i="11"/>
  <c r="BI11" i="11"/>
  <c r="CC11" i="11"/>
  <c r="U12" i="11"/>
  <c r="AO12" i="11"/>
  <c r="BI12" i="11"/>
  <c r="CC12" i="11"/>
  <c r="U13" i="11"/>
  <c r="AO13" i="11"/>
  <c r="BI13" i="11"/>
  <c r="CC13" i="11"/>
  <c r="U14" i="11"/>
  <c r="AO14" i="11"/>
  <c r="BI14" i="11"/>
  <c r="CC14" i="11"/>
  <c r="U15" i="11"/>
  <c r="AO15" i="11"/>
  <c r="BI15" i="11"/>
  <c r="CC15" i="11"/>
  <c r="U16" i="11"/>
  <c r="AO16" i="11"/>
  <c r="BI16" i="11"/>
  <c r="CC16" i="11"/>
  <c r="U17" i="11"/>
  <c r="AO17" i="11"/>
  <c r="BI17" i="11"/>
  <c r="CC17" i="11"/>
  <c r="U18" i="11"/>
  <c r="AO18" i="11"/>
  <c r="BI18" i="11"/>
  <c r="CC18" i="11"/>
  <c r="U19" i="11"/>
  <c r="AO19" i="11"/>
  <c r="BI19" i="11"/>
  <c r="CC19" i="11"/>
  <c r="U20" i="11"/>
  <c r="AO20" i="11"/>
  <c r="BI20" i="11"/>
  <c r="CC20" i="11"/>
  <c r="U21" i="11"/>
  <c r="AO21" i="11"/>
  <c r="BI21" i="11"/>
  <c r="CC21" i="11"/>
  <c r="Z22" i="11"/>
  <c r="AT22" i="11"/>
  <c r="BN22" i="11"/>
  <c r="F23" i="11"/>
  <c r="Z23" i="11"/>
  <c r="AT23" i="11"/>
  <c r="BN23" i="11"/>
  <c r="F24" i="11"/>
  <c r="Z24" i="11"/>
  <c r="AT24" i="11"/>
  <c r="BN24" i="11"/>
  <c r="F25" i="11"/>
  <c r="Z25" i="11"/>
  <c r="AT25" i="11"/>
  <c r="BN25" i="11"/>
  <c r="F26" i="11"/>
  <c r="Z26" i="11"/>
  <c r="AT26" i="11"/>
  <c r="BN26" i="11"/>
  <c r="F27" i="11"/>
  <c r="Z27" i="11"/>
  <c r="AT27" i="11"/>
  <c r="BN27" i="11"/>
  <c r="F28" i="11"/>
  <c r="Z28" i="11"/>
  <c r="AT28" i="11"/>
  <c r="BN28" i="11"/>
  <c r="F29" i="11"/>
  <c r="Z29" i="11"/>
  <c r="AT29" i="11"/>
  <c r="BN29" i="11"/>
  <c r="F30" i="11"/>
  <c r="Z30" i="11"/>
  <c r="AT30" i="11"/>
  <c r="BN30" i="11"/>
  <c r="F31" i="11"/>
  <c r="Z31" i="11"/>
  <c r="AT31" i="11"/>
  <c r="BN31" i="11"/>
  <c r="AO32" i="11"/>
  <c r="BN32" i="11"/>
  <c r="AY33" i="11"/>
  <c r="BS33" i="11"/>
  <c r="H83" i="55"/>
  <c r="H160" i="52" s="1"/>
  <c r="I54" i="55"/>
  <c r="I174" i="49" s="1"/>
  <c r="I74" i="55"/>
  <c r="I178" i="51" s="1"/>
  <c r="I73" i="55"/>
  <c r="I177" i="51" s="1"/>
  <c r="I51" i="55"/>
  <c r="I171" i="49" s="1"/>
  <c r="I75" i="55"/>
  <c r="I152" i="52" s="1"/>
  <c r="I48" i="55"/>
  <c r="I168" i="49" s="1"/>
  <c r="K81" i="54"/>
  <c r="K136" i="52" s="1"/>
  <c r="I44" i="55"/>
  <c r="I143" i="48" s="1"/>
  <c r="I49" i="55"/>
  <c r="I169" i="49" s="1"/>
  <c r="I53" i="55"/>
  <c r="I173" i="49" s="1"/>
  <c r="I8" i="55"/>
  <c r="I213" i="44" s="1"/>
  <c r="I70" i="55"/>
  <c r="I174" i="51" s="1"/>
  <c r="I31" i="55"/>
  <c r="I154" i="46" s="1"/>
  <c r="I46" i="55"/>
  <c r="I166" i="49" s="1"/>
  <c r="I19" i="55"/>
  <c r="I224" i="44" s="1"/>
  <c r="I12" i="55"/>
  <c r="I217" i="44" s="1"/>
  <c r="I52" i="55"/>
  <c r="I172" i="49" s="1"/>
  <c r="I42" i="55"/>
  <c r="I141" i="48" s="1"/>
  <c r="I60" i="55"/>
  <c r="I137" i="50" s="1"/>
  <c r="I65" i="55"/>
  <c r="I169" i="51" s="1"/>
  <c r="I69" i="55"/>
  <c r="I173" i="51" s="1"/>
  <c r="I20" i="55"/>
  <c r="I145" i="45" s="1"/>
  <c r="I5" i="55"/>
  <c r="I210" i="44" s="1"/>
  <c r="L80" i="54"/>
  <c r="L135" i="52" s="1"/>
  <c r="I36" i="55"/>
  <c r="I159" i="46" s="1"/>
  <c r="I15" i="55"/>
  <c r="I220" i="44" s="1"/>
  <c r="I41" i="55"/>
  <c r="I140" i="48" s="1"/>
  <c r="I3" i="55"/>
  <c r="I208" i="44" s="1"/>
  <c r="I58" i="55"/>
  <c r="I178" i="49" s="1"/>
  <c r="H43" i="55"/>
  <c r="H142" i="48" s="1"/>
  <c r="I43" i="55"/>
  <c r="I142" i="48" s="1"/>
  <c r="I14" i="55"/>
  <c r="I219" i="44" s="1"/>
  <c r="I34" i="55"/>
  <c r="I157" i="46" s="1"/>
  <c r="I68" i="55"/>
  <c r="I172" i="51" s="1"/>
  <c r="I6" i="55"/>
  <c r="I211" i="44" s="1"/>
  <c r="I10" i="55"/>
  <c r="I215" i="44" s="1"/>
  <c r="I45" i="55"/>
  <c r="I165" i="49" s="1"/>
  <c r="I27" i="55"/>
  <c r="I152" i="45" s="1"/>
  <c r="I22" i="55"/>
  <c r="I147" i="45" s="1"/>
  <c r="I59" i="55"/>
  <c r="I136" i="50" s="1"/>
  <c r="I63" i="55"/>
  <c r="I167" i="51" s="1"/>
  <c r="I66" i="55"/>
  <c r="I170" i="51" s="1"/>
  <c r="I56" i="55"/>
  <c r="I176" i="49" s="1"/>
  <c r="R53" i="54"/>
  <c r="R141" i="49" s="1"/>
  <c r="R2" i="54"/>
  <c r="R167" i="44" s="1"/>
  <c r="I11" i="55"/>
  <c r="I216" i="44" s="1"/>
  <c r="I77" i="55"/>
  <c r="I154" i="52" s="1"/>
  <c r="I9" i="55"/>
  <c r="I214" i="44" s="1"/>
  <c r="I35" i="55"/>
  <c r="I158" i="46" s="1"/>
  <c r="I72" i="55"/>
  <c r="I176" i="51" s="1"/>
  <c r="I50" i="55"/>
  <c r="I170" i="49" s="1"/>
  <c r="I26" i="55"/>
  <c r="I151" i="45" s="1"/>
  <c r="I78" i="55"/>
  <c r="I155" i="52" s="1"/>
  <c r="I29" i="55"/>
  <c r="I154" i="45" s="1"/>
  <c r="K83" i="54"/>
  <c r="K138" i="52" s="1"/>
  <c r="Q3" i="54"/>
  <c r="Q168" i="44" s="1"/>
  <c r="I28" i="55"/>
  <c r="I153" i="45" s="1"/>
  <c r="I71" i="55"/>
  <c r="I175" i="51" s="1"/>
  <c r="I17" i="55"/>
  <c r="I222" i="44" s="1"/>
  <c r="I64" i="55"/>
  <c r="I168" i="51" s="1"/>
  <c r="I61" i="55"/>
  <c r="I138" i="50" s="1"/>
  <c r="I67" i="55"/>
  <c r="I171" i="51" s="1"/>
  <c r="H39" i="55"/>
  <c r="H138" i="48" s="1"/>
  <c r="I39" i="55"/>
  <c r="I138" i="48" s="1"/>
  <c r="I30" i="55"/>
  <c r="I153" i="46" s="1"/>
  <c r="I81" i="55"/>
  <c r="I158" i="52" s="1"/>
  <c r="I24" i="55"/>
  <c r="I149" i="45" s="1"/>
  <c r="I23" i="55"/>
  <c r="I148" i="45" s="1"/>
  <c r="I25" i="55"/>
  <c r="I150" i="45" s="1"/>
  <c r="I2" i="55"/>
  <c r="I207" i="44" s="1"/>
  <c r="I79" i="55"/>
  <c r="I156" i="52" s="1"/>
  <c r="I80" i="55"/>
  <c r="I157" i="52" s="1"/>
  <c r="I16" i="55"/>
  <c r="I221" i="44" s="1"/>
  <c r="I18" i="55"/>
  <c r="I223" i="44" s="1"/>
  <c r="I55" i="55"/>
  <c r="I175" i="49" s="1"/>
  <c r="I47" i="55"/>
  <c r="I167" i="49" s="1"/>
  <c r="I38" i="55"/>
  <c r="I137" i="48" s="1"/>
  <c r="I40" i="55"/>
  <c r="I139" i="48" s="1"/>
  <c r="I76" i="55"/>
  <c r="I153" i="52" s="1"/>
  <c r="I13" i="55"/>
  <c r="I218" i="44" s="1"/>
  <c r="I33" i="55"/>
  <c r="I156" i="46" s="1"/>
  <c r="J82" i="55"/>
  <c r="J159" i="52" s="1"/>
  <c r="K52" i="54"/>
  <c r="K140" i="49" s="1"/>
  <c r="I57" i="55"/>
  <c r="I177" i="49" s="1"/>
  <c r="I4" i="55"/>
  <c r="I209" i="44" s="1"/>
  <c r="I62" i="55"/>
  <c r="I139" i="50" s="1"/>
  <c r="I21" i="55"/>
  <c r="I146" i="45" s="1"/>
  <c r="I7" i="55"/>
  <c r="I212" i="44" s="1"/>
  <c r="P5" i="11"/>
  <c r="BD5" i="11"/>
  <c r="P6" i="11"/>
  <c r="AJ6" i="11"/>
  <c r="BD6" i="11"/>
  <c r="P7" i="11"/>
  <c r="AJ7" i="11"/>
  <c r="BD7" i="11"/>
  <c r="P8" i="11"/>
  <c r="AJ8" i="11"/>
  <c r="BD8" i="11"/>
  <c r="P9" i="11"/>
  <c r="AJ9" i="11"/>
  <c r="BD9" i="11"/>
  <c r="P10" i="11"/>
  <c r="AJ10" i="11"/>
  <c r="BD10" i="11"/>
  <c r="P11" i="11"/>
  <c r="AJ11" i="11"/>
  <c r="BD11" i="11"/>
  <c r="P12" i="11"/>
  <c r="AJ12" i="11"/>
  <c r="BD12" i="11"/>
  <c r="P13" i="11"/>
  <c r="AJ13" i="11"/>
  <c r="BD13" i="11"/>
  <c r="P14" i="11"/>
  <c r="AJ14" i="11"/>
  <c r="BD14" i="11"/>
  <c r="P15" i="11"/>
  <c r="AJ15" i="11"/>
  <c r="BD15" i="11"/>
  <c r="P16" i="11"/>
  <c r="AJ16" i="11"/>
  <c r="BD16" i="11"/>
  <c r="P17" i="11"/>
  <c r="AJ17" i="11"/>
  <c r="BD17" i="11"/>
  <c r="P18" i="11"/>
  <c r="AJ18" i="11"/>
  <c r="BD18" i="11"/>
  <c r="P19" i="11"/>
  <c r="AJ19" i="11"/>
  <c r="BD19" i="11"/>
  <c r="P20" i="11"/>
  <c r="AJ20" i="11"/>
  <c r="BD20" i="11"/>
  <c r="P21" i="11"/>
  <c r="AJ21" i="11"/>
  <c r="BD21" i="11"/>
  <c r="U22" i="11"/>
  <c r="AO22" i="11"/>
  <c r="BI22" i="11"/>
  <c r="CC22" i="11"/>
  <c r="U23" i="11"/>
  <c r="AO23" i="11"/>
  <c r="BI23" i="11"/>
  <c r="CC23" i="11"/>
  <c r="U24" i="11"/>
  <c r="AO24" i="11"/>
  <c r="BI24" i="11"/>
  <c r="CC24" i="11"/>
  <c r="U25" i="11"/>
  <c r="AO25" i="11"/>
  <c r="BI25" i="11"/>
  <c r="CC25" i="11"/>
  <c r="U26" i="11"/>
  <c r="AO26" i="11"/>
  <c r="BI26" i="11"/>
  <c r="CC26" i="11"/>
  <c r="U27" i="11"/>
  <c r="AO27" i="11"/>
  <c r="BI27" i="11"/>
  <c r="CC27" i="11"/>
  <c r="U28" i="11"/>
  <c r="AO28" i="11"/>
  <c r="BI28" i="11"/>
  <c r="CC28" i="11"/>
  <c r="U29" i="11"/>
  <c r="AO29" i="11"/>
  <c r="BI29" i="11"/>
  <c r="CC29" i="11"/>
  <c r="U30" i="11"/>
  <c r="AO30" i="11"/>
  <c r="BI30" i="11"/>
  <c r="CC30" i="11"/>
  <c r="U31" i="11"/>
  <c r="AO31" i="11"/>
  <c r="BI31" i="11"/>
  <c r="CC31" i="11"/>
  <c r="BI32" i="11"/>
  <c r="CC32" i="11"/>
  <c r="BN33" i="11"/>
  <c r="K34" i="11"/>
  <c r="CC4" i="11"/>
  <c r="BI5" i="11"/>
  <c r="U6" i="11"/>
  <c r="AJ5" i="11"/>
  <c r="U5" i="11"/>
  <c r="AO5" i="11"/>
  <c r="CC5" i="11"/>
  <c r="F5" i="11"/>
  <c r="Z5" i="11"/>
  <c r="AT5" i="11"/>
  <c r="BN5" i="11"/>
  <c r="F6" i="11"/>
  <c r="Z6" i="11"/>
  <c r="AT6" i="11"/>
  <c r="BN6" i="11"/>
  <c r="F7" i="11"/>
  <c r="Z7" i="11"/>
  <c r="AT7" i="11"/>
  <c r="BN7" i="11"/>
  <c r="F8" i="11"/>
  <c r="Z8" i="11"/>
  <c r="AT8" i="11"/>
  <c r="BN8" i="11"/>
  <c r="F9" i="11"/>
  <c r="Z9" i="11"/>
  <c r="AT9" i="11"/>
  <c r="BN9" i="11"/>
  <c r="F10" i="11"/>
  <c r="Z10" i="11"/>
  <c r="AT10" i="11"/>
  <c r="BN10" i="11"/>
  <c r="F11" i="11"/>
  <c r="Z11" i="11"/>
  <c r="AT11" i="11"/>
  <c r="BN11" i="11"/>
  <c r="F12" i="11"/>
  <c r="Z12" i="11"/>
  <c r="AT12" i="11"/>
  <c r="BN12" i="11"/>
  <c r="F13" i="11"/>
  <c r="Z13" i="11"/>
  <c r="AT13" i="11"/>
  <c r="BN13" i="11"/>
  <c r="F14" i="11"/>
  <c r="Z14" i="11"/>
  <c r="AT14" i="11"/>
  <c r="BN14" i="11"/>
  <c r="F15" i="11"/>
  <c r="Z15" i="11"/>
  <c r="AT15" i="11"/>
  <c r="BN15" i="11"/>
  <c r="F16" i="11"/>
  <c r="Z16" i="11"/>
  <c r="AT16" i="11"/>
  <c r="BN16" i="11"/>
  <c r="F17" i="11"/>
  <c r="Z17" i="11"/>
  <c r="AT17" i="11"/>
  <c r="BN17" i="11"/>
  <c r="F18" i="11"/>
  <c r="Z18" i="11"/>
  <c r="AT18" i="11"/>
  <c r="BN18" i="11"/>
  <c r="F19" i="11"/>
  <c r="Z19" i="11"/>
  <c r="AT19" i="11"/>
  <c r="BN19" i="11"/>
  <c r="F20" i="11"/>
  <c r="Z20" i="11"/>
  <c r="AT20" i="11"/>
  <c r="BN20" i="11"/>
  <c r="F21" i="11"/>
  <c r="Z21" i="11"/>
  <c r="AT21" i="11"/>
  <c r="BN21" i="11"/>
  <c r="K22" i="11"/>
  <c r="AE22" i="11"/>
  <c r="AY22" i="11"/>
  <c r="BS22" i="11"/>
  <c r="K23" i="11"/>
  <c r="AE23" i="11"/>
  <c r="AY23" i="11"/>
  <c r="BS23" i="11"/>
  <c r="K24" i="11"/>
  <c r="AE24" i="11"/>
  <c r="AY24" i="11"/>
  <c r="BS24" i="11"/>
  <c r="K25" i="11"/>
  <c r="AE25" i="11"/>
  <c r="AY25" i="11"/>
  <c r="BS25" i="11"/>
  <c r="K26" i="11"/>
  <c r="AE26" i="11"/>
  <c r="AY26" i="11"/>
  <c r="BS26" i="11"/>
  <c r="K27" i="11"/>
  <c r="AE27" i="11"/>
  <c r="AY27" i="11"/>
  <c r="BS27" i="11"/>
  <c r="K28" i="11"/>
  <c r="AE28" i="11"/>
  <c r="AY28" i="11"/>
  <c r="BS28" i="11"/>
  <c r="K29" i="11"/>
  <c r="AE29" i="11"/>
  <c r="AY29" i="11"/>
  <c r="BS29" i="11"/>
  <c r="K30" i="11"/>
  <c r="AE30" i="11"/>
  <c r="AY30" i="11"/>
  <c r="BS30" i="11"/>
  <c r="K31" i="11"/>
  <c r="AE31" i="11"/>
  <c r="AY31" i="11"/>
  <c r="BS31" i="11"/>
  <c r="AY32" i="11"/>
  <c r="BS32" i="11"/>
  <c r="BD33" i="11"/>
  <c r="P83" i="47"/>
  <c r="P89" i="52" s="1"/>
  <c r="R34" i="47"/>
  <c r="R71" i="46" s="1"/>
  <c r="BV4" i="11"/>
  <c r="BQ4" i="11"/>
  <c r="BL4" i="11"/>
  <c r="BG4" i="11"/>
  <c r="BB4" i="11"/>
  <c r="AW4" i="11"/>
  <c r="AR4" i="11"/>
  <c r="AM4" i="11"/>
  <c r="AH4" i="11"/>
  <c r="AC4" i="11"/>
  <c r="X4" i="11"/>
  <c r="S4" i="11"/>
  <c r="N4" i="11"/>
  <c r="I4" i="11"/>
  <c r="D4" i="11"/>
  <c r="CA3" i="11"/>
  <c r="BV3" i="11"/>
  <c r="BQ3" i="11"/>
  <c r="BL3" i="11"/>
  <c r="BG3" i="11"/>
  <c r="BB3" i="11"/>
  <c r="AW3" i="11"/>
  <c r="AR3" i="11"/>
  <c r="AM3" i="11"/>
  <c r="AH3" i="11"/>
  <c r="AC3" i="11"/>
  <c r="X3" i="11"/>
  <c r="S3" i="11"/>
  <c r="N3" i="11"/>
  <c r="I3" i="11"/>
  <c r="D3" i="11"/>
  <c r="K84" i="1"/>
  <c r="J84" i="1"/>
  <c r="K3" i="11" l="1"/>
  <c r="AE3" i="11"/>
  <c r="AY3" i="11"/>
  <c r="BS3" i="11"/>
  <c r="K4" i="11"/>
  <c r="AE4" i="11"/>
  <c r="AY4" i="11"/>
  <c r="BS4" i="11"/>
  <c r="H7" i="55"/>
  <c r="H212" i="44" s="1"/>
  <c r="H62" i="55"/>
  <c r="H139" i="50" s="1"/>
  <c r="H57" i="55"/>
  <c r="H177" i="49" s="1"/>
  <c r="I82" i="55"/>
  <c r="I159" i="52" s="1"/>
  <c r="H13" i="55"/>
  <c r="H218" i="44" s="1"/>
  <c r="H40" i="55"/>
  <c r="H139" i="48" s="1"/>
  <c r="H47" i="55"/>
  <c r="H167" i="49" s="1"/>
  <c r="H18" i="55"/>
  <c r="H223" i="44" s="1"/>
  <c r="H80" i="55"/>
  <c r="H157" i="52" s="1"/>
  <c r="H2" i="55"/>
  <c r="H207" i="44" s="1"/>
  <c r="H23" i="55"/>
  <c r="H148" i="45" s="1"/>
  <c r="H81" i="55"/>
  <c r="H158" i="52" s="1"/>
  <c r="H61" i="55"/>
  <c r="H138" i="50" s="1"/>
  <c r="H17" i="55"/>
  <c r="H222" i="44" s="1"/>
  <c r="H28" i="55"/>
  <c r="H153" i="45" s="1"/>
  <c r="J83" i="54"/>
  <c r="J138" i="52" s="1"/>
  <c r="H78" i="55"/>
  <c r="H155" i="52" s="1"/>
  <c r="H50" i="55"/>
  <c r="H170" i="49" s="1"/>
  <c r="H35" i="55"/>
  <c r="H158" i="46" s="1"/>
  <c r="H77" i="55"/>
  <c r="H154" i="52" s="1"/>
  <c r="Q2" i="54"/>
  <c r="Q167" i="44" s="1"/>
  <c r="H56" i="55"/>
  <c r="H176" i="49" s="1"/>
  <c r="H63" i="55"/>
  <c r="H167" i="51" s="1"/>
  <c r="H22" i="55"/>
  <c r="H147" i="45" s="1"/>
  <c r="H45" i="55"/>
  <c r="H165" i="49" s="1"/>
  <c r="H6" i="55"/>
  <c r="H211" i="44" s="1"/>
  <c r="H34" i="55"/>
  <c r="H157" i="46" s="1"/>
  <c r="H3" i="55"/>
  <c r="H208" i="44" s="1"/>
  <c r="H15" i="55"/>
  <c r="H220" i="44" s="1"/>
  <c r="K80" i="54"/>
  <c r="K135" i="52" s="1"/>
  <c r="H20" i="55"/>
  <c r="H145" i="45" s="1"/>
  <c r="H65" i="55"/>
  <c r="H169" i="51" s="1"/>
  <c r="H42" i="55"/>
  <c r="H141" i="48" s="1"/>
  <c r="H12" i="55"/>
  <c r="H217" i="44" s="1"/>
  <c r="H46" i="55"/>
  <c r="H166" i="49" s="1"/>
  <c r="H70" i="55"/>
  <c r="H174" i="51" s="1"/>
  <c r="H53" i="55"/>
  <c r="H173" i="49" s="1"/>
  <c r="H44" i="55"/>
  <c r="H143" i="48" s="1"/>
  <c r="H48" i="55"/>
  <c r="H168" i="49" s="1"/>
  <c r="H51" i="55"/>
  <c r="H171" i="49" s="1"/>
  <c r="H74" i="55"/>
  <c r="H178" i="51" s="1"/>
  <c r="G83" i="55"/>
  <c r="G160" i="52" s="1"/>
  <c r="H21" i="55"/>
  <c r="H146" i="45" s="1"/>
  <c r="J52" i="54"/>
  <c r="J140" i="49" s="1"/>
  <c r="H76" i="55"/>
  <c r="H153" i="52" s="1"/>
  <c r="H38" i="55"/>
  <c r="H137" i="48" s="1"/>
  <c r="H55" i="55"/>
  <c r="H175" i="49" s="1"/>
  <c r="H79" i="55"/>
  <c r="H156" i="52" s="1"/>
  <c r="H25" i="55"/>
  <c r="H150" i="45" s="1"/>
  <c r="H24" i="55"/>
  <c r="H149" i="45" s="1"/>
  <c r="H30" i="55"/>
  <c r="H153" i="46" s="1"/>
  <c r="H67" i="55"/>
  <c r="H171" i="51" s="1"/>
  <c r="H64" i="55"/>
  <c r="H168" i="51" s="1"/>
  <c r="H71" i="55"/>
  <c r="H175" i="51" s="1"/>
  <c r="P3" i="54"/>
  <c r="P168" i="44" s="1"/>
  <c r="H29" i="55"/>
  <c r="H154" i="45" s="1"/>
  <c r="H26" i="55"/>
  <c r="H151" i="45" s="1"/>
  <c r="H72" i="55"/>
  <c r="H176" i="51" s="1"/>
  <c r="H9" i="55"/>
  <c r="H214" i="44" s="1"/>
  <c r="H11" i="55"/>
  <c r="H216" i="44" s="1"/>
  <c r="Q53" i="54"/>
  <c r="Q141" i="49" s="1"/>
  <c r="H66" i="55"/>
  <c r="H170" i="51" s="1"/>
  <c r="H59" i="55"/>
  <c r="H136" i="50" s="1"/>
  <c r="H27" i="55"/>
  <c r="H152" i="45" s="1"/>
  <c r="H10" i="55"/>
  <c r="H215" i="44" s="1"/>
  <c r="H68" i="55"/>
  <c r="H172" i="51" s="1"/>
  <c r="H14" i="55"/>
  <c r="H219" i="44" s="1"/>
  <c r="H58" i="55"/>
  <c r="H178" i="49" s="1"/>
  <c r="H41" i="55"/>
  <c r="H140" i="48" s="1"/>
  <c r="H36" i="55"/>
  <c r="H159" i="46" s="1"/>
  <c r="H5" i="55"/>
  <c r="H210" i="44" s="1"/>
  <c r="H69" i="55"/>
  <c r="H173" i="51" s="1"/>
  <c r="H60" i="55"/>
  <c r="H137" i="50" s="1"/>
  <c r="H52" i="55"/>
  <c r="H172" i="49" s="1"/>
  <c r="H19" i="55"/>
  <c r="H224" i="44" s="1"/>
  <c r="H31" i="55"/>
  <c r="H154" i="46" s="1"/>
  <c r="H8" i="55"/>
  <c r="H213" i="44" s="1"/>
  <c r="H49" i="55"/>
  <c r="H169" i="49" s="1"/>
  <c r="J81" i="54"/>
  <c r="J136" i="52" s="1"/>
  <c r="H75" i="55"/>
  <c r="H152" i="52" s="1"/>
  <c r="H73" i="55"/>
  <c r="H177" i="51" s="1"/>
  <c r="H54" i="55"/>
  <c r="H174" i="49" s="1"/>
  <c r="H4" i="55"/>
  <c r="H209" i="44" s="1"/>
  <c r="H33" i="55"/>
  <c r="H156" i="46" s="1"/>
  <c r="H16" i="55"/>
  <c r="H221" i="44" s="1"/>
  <c r="P3" i="11"/>
  <c r="BD3" i="11"/>
  <c r="P4" i="11"/>
  <c r="U3" i="11"/>
  <c r="AO3" i="11"/>
  <c r="BI3" i="11"/>
  <c r="CC3" i="11"/>
  <c r="U4" i="11"/>
  <c r="AO4" i="11"/>
  <c r="BI4" i="11"/>
  <c r="J86" i="12"/>
  <c r="I85" i="21"/>
  <c r="I85" i="25"/>
  <c r="I85" i="15"/>
  <c r="I85" i="13"/>
  <c r="AJ3" i="11"/>
  <c r="AJ4" i="11"/>
  <c r="BD4" i="11"/>
  <c r="F3" i="11"/>
  <c r="Z3" i="11"/>
  <c r="AT3" i="11"/>
  <c r="BN3" i="11"/>
  <c r="F4" i="11"/>
  <c r="Z4" i="11"/>
  <c r="AT4" i="11"/>
  <c r="BN4" i="11"/>
  <c r="Q34" i="47"/>
  <c r="Q71" i="46" s="1"/>
  <c r="O83" i="47"/>
  <c r="O89" i="52" s="1"/>
  <c r="G16" i="55" l="1"/>
  <c r="G221" i="44" s="1"/>
  <c r="G4" i="55"/>
  <c r="G209" i="44" s="1"/>
  <c r="G73" i="55"/>
  <c r="G177" i="51" s="1"/>
  <c r="I81" i="54"/>
  <c r="I136" i="52" s="1"/>
  <c r="G8" i="55"/>
  <c r="G213" i="44" s="1"/>
  <c r="G19" i="55"/>
  <c r="G224" i="44" s="1"/>
  <c r="G60" i="55"/>
  <c r="G137" i="50" s="1"/>
  <c r="G5" i="55"/>
  <c r="G210" i="44" s="1"/>
  <c r="G41" i="55"/>
  <c r="G140" i="48" s="1"/>
  <c r="G14" i="55"/>
  <c r="G219" i="44" s="1"/>
  <c r="G10" i="55"/>
  <c r="G215" i="44" s="1"/>
  <c r="G59" i="55"/>
  <c r="G136" i="50" s="1"/>
  <c r="P53" i="54"/>
  <c r="P141" i="49" s="1"/>
  <c r="G9" i="55"/>
  <c r="G214" i="44" s="1"/>
  <c r="G26" i="55"/>
  <c r="G151" i="45" s="1"/>
  <c r="O3" i="54"/>
  <c r="O168" i="44" s="1"/>
  <c r="G64" i="55"/>
  <c r="G168" i="51" s="1"/>
  <c r="G30" i="55"/>
  <c r="G153" i="46" s="1"/>
  <c r="G25" i="55"/>
  <c r="G150" i="45" s="1"/>
  <c r="G55" i="55"/>
  <c r="G175" i="49" s="1"/>
  <c r="G76" i="55"/>
  <c r="G153" i="52" s="1"/>
  <c r="G21" i="55"/>
  <c r="G146" i="45" s="1"/>
  <c r="G74" i="55"/>
  <c r="G178" i="51" s="1"/>
  <c r="G48" i="55"/>
  <c r="G168" i="49" s="1"/>
  <c r="G53" i="55"/>
  <c r="G173" i="49" s="1"/>
  <c r="G46" i="55"/>
  <c r="G166" i="49" s="1"/>
  <c r="G42" i="55"/>
  <c r="G141" i="48" s="1"/>
  <c r="G20" i="55"/>
  <c r="G145" i="45" s="1"/>
  <c r="G15" i="55"/>
  <c r="G220" i="44" s="1"/>
  <c r="G34" i="55"/>
  <c r="G157" i="46" s="1"/>
  <c r="G45" i="55"/>
  <c r="G165" i="49" s="1"/>
  <c r="G63" i="55"/>
  <c r="G167" i="51" s="1"/>
  <c r="P2" i="54"/>
  <c r="P167" i="44" s="1"/>
  <c r="G35" i="55"/>
  <c r="G158" i="46" s="1"/>
  <c r="G78" i="55"/>
  <c r="G155" i="52" s="1"/>
  <c r="G28" i="55"/>
  <c r="G153" i="45" s="1"/>
  <c r="G61" i="55"/>
  <c r="G138" i="50" s="1"/>
  <c r="G23" i="55"/>
  <c r="G148" i="45" s="1"/>
  <c r="G80" i="55"/>
  <c r="G157" i="52" s="1"/>
  <c r="G47" i="55"/>
  <c r="G167" i="49" s="1"/>
  <c r="G13" i="55"/>
  <c r="G218" i="44" s="1"/>
  <c r="G57" i="55"/>
  <c r="G177" i="49" s="1"/>
  <c r="G7" i="55"/>
  <c r="G212" i="44" s="1"/>
  <c r="G54" i="55"/>
  <c r="G174" i="49" s="1"/>
  <c r="G49" i="55"/>
  <c r="G169" i="49" s="1"/>
  <c r="G52" i="55"/>
  <c r="G172" i="49" s="1"/>
  <c r="G36" i="55"/>
  <c r="G159" i="46" s="1"/>
  <c r="G58" i="55"/>
  <c r="G178" i="49" s="1"/>
  <c r="G27" i="55"/>
  <c r="G152" i="45" s="1"/>
  <c r="G66" i="55"/>
  <c r="G170" i="51" s="1"/>
  <c r="G11" i="55"/>
  <c r="G216" i="44" s="1"/>
  <c r="G72" i="55"/>
  <c r="G176" i="51" s="1"/>
  <c r="G29" i="55"/>
  <c r="G154" i="45" s="1"/>
  <c r="G71" i="55"/>
  <c r="G175" i="51" s="1"/>
  <c r="G67" i="55"/>
  <c r="G171" i="51" s="1"/>
  <c r="G24" i="55"/>
  <c r="G149" i="45" s="1"/>
  <c r="G79" i="55"/>
  <c r="G156" i="52" s="1"/>
  <c r="G38" i="55"/>
  <c r="G137" i="48" s="1"/>
  <c r="I52" i="54"/>
  <c r="I140" i="49" s="1"/>
  <c r="F83" i="55"/>
  <c r="F160" i="52" s="1"/>
  <c r="G51" i="55"/>
  <c r="G171" i="49" s="1"/>
  <c r="G44" i="55"/>
  <c r="G143" i="48" s="1"/>
  <c r="G70" i="55"/>
  <c r="G174" i="51" s="1"/>
  <c r="G12" i="55"/>
  <c r="G217" i="44" s="1"/>
  <c r="G65" i="55"/>
  <c r="G169" i="51" s="1"/>
  <c r="J80" i="54"/>
  <c r="J135" i="52" s="1"/>
  <c r="G3" i="55"/>
  <c r="G208" i="44" s="1"/>
  <c r="G6" i="55"/>
  <c r="G211" i="44" s="1"/>
  <c r="G22" i="55"/>
  <c r="G147" i="45" s="1"/>
  <c r="G56" i="55"/>
  <c r="G176" i="49" s="1"/>
  <c r="G77" i="55"/>
  <c r="G154" i="52" s="1"/>
  <c r="G50" i="55"/>
  <c r="G170" i="49" s="1"/>
  <c r="I83" i="54"/>
  <c r="I138" i="52" s="1"/>
  <c r="G17" i="55"/>
  <c r="G222" i="44" s="1"/>
  <c r="G81" i="55"/>
  <c r="G158" i="52" s="1"/>
  <c r="G2" i="55"/>
  <c r="G207" i="44" s="1"/>
  <c r="G18" i="55"/>
  <c r="G223" i="44" s="1"/>
  <c r="G40" i="55"/>
  <c r="G139" i="48" s="1"/>
  <c r="H82" i="55"/>
  <c r="H159" i="52" s="1"/>
  <c r="G62" i="55"/>
  <c r="G139" i="50" s="1"/>
  <c r="G33" i="55"/>
  <c r="G156" i="46" s="1"/>
  <c r="G75" i="55"/>
  <c r="G152" i="52" s="1"/>
  <c r="G31" i="55"/>
  <c r="G154" i="46" s="1"/>
  <c r="G69" i="55"/>
  <c r="G173" i="51" s="1"/>
  <c r="G68" i="55"/>
  <c r="G172" i="51" s="1"/>
  <c r="N83" i="47"/>
  <c r="N89" i="52" s="1"/>
  <c r="P34" i="47"/>
  <c r="P71" i="46" s="1"/>
  <c r="F68" i="55" l="1"/>
  <c r="F172" i="51" s="1"/>
  <c r="F31" i="55"/>
  <c r="F154" i="46" s="1"/>
  <c r="F33" i="55"/>
  <c r="F156" i="46" s="1"/>
  <c r="G82" i="55"/>
  <c r="G159" i="52" s="1"/>
  <c r="F18" i="55"/>
  <c r="F223" i="44" s="1"/>
  <c r="F81" i="55"/>
  <c r="F158" i="52" s="1"/>
  <c r="H83" i="54"/>
  <c r="H138" i="52" s="1"/>
  <c r="F77" i="55"/>
  <c r="F154" i="52" s="1"/>
  <c r="F22" i="55"/>
  <c r="F147" i="45" s="1"/>
  <c r="F3" i="55"/>
  <c r="F208" i="44" s="1"/>
  <c r="F65" i="55"/>
  <c r="F169" i="51" s="1"/>
  <c r="F70" i="55"/>
  <c r="F174" i="51" s="1"/>
  <c r="F51" i="55"/>
  <c r="F171" i="49" s="1"/>
  <c r="H52" i="54"/>
  <c r="H140" i="49" s="1"/>
  <c r="F79" i="55"/>
  <c r="F156" i="52" s="1"/>
  <c r="F67" i="55"/>
  <c r="F171" i="51" s="1"/>
  <c r="F29" i="55"/>
  <c r="F154" i="45" s="1"/>
  <c r="F11" i="55"/>
  <c r="F216" i="44" s="1"/>
  <c r="F27" i="55"/>
  <c r="F152" i="45" s="1"/>
  <c r="F36" i="55"/>
  <c r="F159" i="46" s="1"/>
  <c r="F49" i="55"/>
  <c r="F169" i="49" s="1"/>
  <c r="F7" i="55"/>
  <c r="F212" i="44" s="1"/>
  <c r="F13" i="55"/>
  <c r="F218" i="44" s="1"/>
  <c r="F80" i="55"/>
  <c r="F157" i="52" s="1"/>
  <c r="F61" i="55"/>
  <c r="F138" i="50" s="1"/>
  <c r="F78" i="55"/>
  <c r="F155" i="52" s="1"/>
  <c r="O2" i="54"/>
  <c r="O167" i="44" s="1"/>
  <c r="F45" i="55"/>
  <c r="F165" i="49" s="1"/>
  <c r="F15" i="55"/>
  <c r="F220" i="44" s="1"/>
  <c r="F42" i="55"/>
  <c r="F141" i="48" s="1"/>
  <c r="F53" i="55"/>
  <c r="F173" i="49" s="1"/>
  <c r="F74" i="55"/>
  <c r="F178" i="51" s="1"/>
  <c r="F76" i="55"/>
  <c r="F153" i="52" s="1"/>
  <c r="F25" i="55"/>
  <c r="F150" i="45" s="1"/>
  <c r="F64" i="55"/>
  <c r="F168" i="51" s="1"/>
  <c r="F26" i="55"/>
  <c r="F151" i="45" s="1"/>
  <c r="O53" i="54"/>
  <c r="O141" i="49" s="1"/>
  <c r="F10" i="55"/>
  <c r="F215" i="44" s="1"/>
  <c r="F41" i="55"/>
  <c r="F140" i="48" s="1"/>
  <c r="F60" i="55"/>
  <c r="F137" i="50" s="1"/>
  <c r="F8" i="55"/>
  <c r="F213" i="44" s="1"/>
  <c r="F73" i="55"/>
  <c r="F177" i="51" s="1"/>
  <c r="F16" i="55"/>
  <c r="F221" i="44" s="1"/>
  <c r="F69" i="55"/>
  <c r="F173" i="51" s="1"/>
  <c r="F75" i="55"/>
  <c r="F152" i="52" s="1"/>
  <c r="F62" i="55"/>
  <c r="F139" i="50" s="1"/>
  <c r="F40" i="55"/>
  <c r="F139" i="48" s="1"/>
  <c r="F2" i="55"/>
  <c r="F207" i="44" s="1"/>
  <c r="F17" i="55"/>
  <c r="F222" i="44" s="1"/>
  <c r="F50" i="55"/>
  <c r="F170" i="49" s="1"/>
  <c r="F56" i="55"/>
  <c r="F176" i="49" s="1"/>
  <c r="F6" i="55"/>
  <c r="F211" i="44" s="1"/>
  <c r="I80" i="54"/>
  <c r="I135" i="52" s="1"/>
  <c r="F12" i="55"/>
  <c r="F217" i="44" s="1"/>
  <c r="F44" i="55"/>
  <c r="F143" i="48" s="1"/>
  <c r="E83" i="55"/>
  <c r="E160" i="52" s="1"/>
  <c r="F38" i="55"/>
  <c r="F137" i="48" s="1"/>
  <c r="F24" i="55"/>
  <c r="F149" i="45" s="1"/>
  <c r="F71" i="55"/>
  <c r="F175" i="51" s="1"/>
  <c r="F72" i="55"/>
  <c r="F176" i="51" s="1"/>
  <c r="F66" i="55"/>
  <c r="F170" i="51" s="1"/>
  <c r="F58" i="55"/>
  <c r="F178" i="49" s="1"/>
  <c r="F52" i="55"/>
  <c r="F172" i="49" s="1"/>
  <c r="F54" i="55"/>
  <c r="F174" i="49" s="1"/>
  <c r="F57" i="55"/>
  <c r="F177" i="49" s="1"/>
  <c r="F47" i="55"/>
  <c r="F167" i="49" s="1"/>
  <c r="F23" i="55"/>
  <c r="F148" i="45" s="1"/>
  <c r="F28" i="55"/>
  <c r="F153" i="45" s="1"/>
  <c r="F35" i="55"/>
  <c r="F158" i="46" s="1"/>
  <c r="F63" i="55"/>
  <c r="F167" i="51" s="1"/>
  <c r="F34" i="55"/>
  <c r="F157" i="46" s="1"/>
  <c r="F20" i="55"/>
  <c r="F145" i="45" s="1"/>
  <c r="F46" i="55"/>
  <c r="F166" i="49" s="1"/>
  <c r="F48" i="55"/>
  <c r="F168" i="49" s="1"/>
  <c r="F21" i="55"/>
  <c r="F146" i="45" s="1"/>
  <c r="F55" i="55"/>
  <c r="F175" i="49" s="1"/>
  <c r="F30" i="55"/>
  <c r="F153" i="46" s="1"/>
  <c r="N3" i="54"/>
  <c r="N168" i="44" s="1"/>
  <c r="F9" i="55"/>
  <c r="F214" i="44" s="1"/>
  <c r="F59" i="55"/>
  <c r="F136" i="50" s="1"/>
  <c r="F14" i="55"/>
  <c r="F219" i="44" s="1"/>
  <c r="F5" i="55"/>
  <c r="F210" i="44" s="1"/>
  <c r="F19" i="55"/>
  <c r="F224" i="44" s="1"/>
  <c r="H81" i="54"/>
  <c r="H136" i="52" s="1"/>
  <c r="F4" i="55"/>
  <c r="F209" i="44" s="1"/>
  <c r="O34" i="47"/>
  <c r="O71" i="46" s="1"/>
  <c r="M83" i="47"/>
  <c r="M89" i="52" s="1"/>
  <c r="D14" i="55" l="1"/>
  <c r="D219" i="44" s="1"/>
  <c r="E14" i="55"/>
  <c r="E219" i="44" s="1"/>
  <c r="D30" i="55"/>
  <c r="D153" i="46" s="1"/>
  <c r="E30" i="55"/>
  <c r="E153" i="46" s="1"/>
  <c r="D46" i="55"/>
  <c r="D166" i="49" s="1"/>
  <c r="E46" i="55"/>
  <c r="E166" i="49" s="1"/>
  <c r="D35" i="55"/>
  <c r="D158" i="46" s="1"/>
  <c r="E35" i="55"/>
  <c r="E158" i="46" s="1"/>
  <c r="D57" i="55"/>
  <c r="D177" i="49" s="1"/>
  <c r="E57" i="55"/>
  <c r="E177" i="49" s="1"/>
  <c r="D52" i="55"/>
  <c r="D172" i="49" s="1"/>
  <c r="E52" i="55"/>
  <c r="E172" i="49" s="1"/>
  <c r="D66" i="55"/>
  <c r="D170" i="51" s="1"/>
  <c r="E66" i="55"/>
  <c r="E170" i="51" s="1"/>
  <c r="D38" i="55"/>
  <c r="D137" i="48" s="1"/>
  <c r="E38" i="55"/>
  <c r="E137" i="48" s="1"/>
  <c r="D44" i="55"/>
  <c r="D143" i="48" s="1"/>
  <c r="E44" i="55"/>
  <c r="E143" i="48" s="1"/>
  <c r="H80" i="54"/>
  <c r="H135" i="52" s="1"/>
  <c r="D56" i="55"/>
  <c r="D176" i="49" s="1"/>
  <c r="E56" i="55"/>
  <c r="E176" i="49" s="1"/>
  <c r="D17" i="55"/>
  <c r="D222" i="44" s="1"/>
  <c r="E17" i="55"/>
  <c r="E222" i="44" s="1"/>
  <c r="D40" i="55"/>
  <c r="D139" i="48" s="1"/>
  <c r="E40" i="55"/>
  <c r="E139" i="48" s="1"/>
  <c r="D75" i="55"/>
  <c r="D152" i="52" s="1"/>
  <c r="E75" i="55"/>
  <c r="E152" i="52" s="1"/>
  <c r="D16" i="55"/>
  <c r="D221" i="44" s="1"/>
  <c r="E16" i="55"/>
  <c r="E221" i="44" s="1"/>
  <c r="D8" i="55"/>
  <c r="D213" i="44" s="1"/>
  <c r="E8" i="55"/>
  <c r="E213" i="44" s="1"/>
  <c r="D41" i="55"/>
  <c r="D140" i="48" s="1"/>
  <c r="E41" i="55"/>
  <c r="E140" i="48" s="1"/>
  <c r="N53" i="54"/>
  <c r="N141" i="49" s="1"/>
  <c r="D64" i="55"/>
  <c r="D168" i="51" s="1"/>
  <c r="E64" i="55"/>
  <c r="E168" i="51" s="1"/>
  <c r="D76" i="55"/>
  <c r="D153" i="52" s="1"/>
  <c r="E76" i="55"/>
  <c r="E153" i="52" s="1"/>
  <c r="D53" i="55"/>
  <c r="D173" i="49" s="1"/>
  <c r="E53" i="55"/>
  <c r="E173" i="49" s="1"/>
  <c r="D15" i="55"/>
  <c r="D220" i="44" s="1"/>
  <c r="E15" i="55"/>
  <c r="E220" i="44" s="1"/>
  <c r="N2" i="54"/>
  <c r="N167" i="44" s="1"/>
  <c r="D61" i="55"/>
  <c r="D138" i="50" s="1"/>
  <c r="E61" i="55"/>
  <c r="E138" i="50" s="1"/>
  <c r="D13" i="55"/>
  <c r="D218" i="44" s="1"/>
  <c r="E13" i="55"/>
  <c r="E218" i="44" s="1"/>
  <c r="D49" i="55"/>
  <c r="D169" i="49" s="1"/>
  <c r="E49" i="55"/>
  <c r="E169" i="49" s="1"/>
  <c r="D27" i="55"/>
  <c r="D152" i="45" s="1"/>
  <c r="E27" i="55"/>
  <c r="E152" i="45" s="1"/>
  <c r="D29" i="55"/>
  <c r="D154" i="45" s="1"/>
  <c r="E29" i="55"/>
  <c r="E154" i="45" s="1"/>
  <c r="D79" i="55"/>
  <c r="D156" i="52" s="1"/>
  <c r="E79" i="55"/>
  <c r="E156" i="52" s="1"/>
  <c r="D51" i="55"/>
  <c r="D171" i="49" s="1"/>
  <c r="E51" i="55"/>
  <c r="E171" i="49" s="1"/>
  <c r="D65" i="55"/>
  <c r="D169" i="51" s="1"/>
  <c r="E65" i="55"/>
  <c r="E169" i="51" s="1"/>
  <c r="D22" i="55"/>
  <c r="D147" i="45" s="1"/>
  <c r="E22" i="55"/>
  <c r="E147" i="45" s="1"/>
  <c r="G83" i="54"/>
  <c r="G138" i="52" s="1"/>
  <c r="D18" i="55"/>
  <c r="D223" i="44" s="1"/>
  <c r="E18" i="55"/>
  <c r="E223" i="44" s="1"/>
  <c r="D33" i="55"/>
  <c r="D156" i="46" s="1"/>
  <c r="E33" i="55"/>
  <c r="E156" i="46" s="1"/>
  <c r="D68" i="55"/>
  <c r="D172" i="51" s="1"/>
  <c r="E68" i="55"/>
  <c r="E172" i="51" s="1"/>
  <c r="D4" i="55"/>
  <c r="D209" i="44" s="1"/>
  <c r="E4" i="55"/>
  <c r="E209" i="44" s="1"/>
  <c r="D19" i="55"/>
  <c r="D224" i="44" s="1"/>
  <c r="E19" i="55"/>
  <c r="E224" i="44" s="1"/>
  <c r="D9" i="55"/>
  <c r="D214" i="44" s="1"/>
  <c r="E9" i="55"/>
  <c r="E214" i="44" s="1"/>
  <c r="D21" i="55"/>
  <c r="D146" i="45" s="1"/>
  <c r="E21" i="55"/>
  <c r="E146" i="45" s="1"/>
  <c r="D34" i="55"/>
  <c r="D157" i="46" s="1"/>
  <c r="E34" i="55"/>
  <c r="E157" i="46" s="1"/>
  <c r="D23" i="55"/>
  <c r="D148" i="45" s="1"/>
  <c r="E23" i="55"/>
  <c r="E148" i="45" s="1"/>
  <c r="D71" i="55"/>
  <c r="D175" i="51" s="1"/>
  <c r="E71" i="55"/>
  <c r="E175" i="51" s="1"/>
  <c r="D5" i="55"/>
  <c r="D210" i="44" s="1"/>
  <c r="E5" i="55"/>
  <c r="E210" i="44" s="1"/>
  <c r="M3" i="54"/>
  <c r="M168" i="44" s="1"/>
  <c r="D48" i="55"/>
  <c r="D168" i="49" s="1"/>
  <c r="E48" i="55"/>
  <c r="E168" i="49" s="1"/>
  <c r="D63" i="55"/>
  <c r="D167" i="51" s="1"/>
  <c r="E63" i="55"/>
  <c r="E167" i="51" s="1"/>
  <c r="D47" i="55"/>
  <c r="D167" i="49" s="1"/>
  <c r="E47" i="55"/>
  <c r="E167" i="49" s="1"/>
  <c r="D54" i="55"/>
  <c r="D174" i="49" s="1"/>
  <c r="E54" i="55"/>
  <c r="E174" i="49" s="1"/>
  <c r="D58" i="55"/>
  <c r="D178" i="49" s="1"/>
  <c r="E58" i="55"/>
  <c r="E178" i="49" s="1"/>
  <c r="D72" i="55"/>
  <c r="D176" i="51" s="1"/>
  <c r="E72" i="55"/>
  <c r="E176" i="51" s="1"/>
  <c r="D24" i="55"/>
  <c r="D149" i="45" s="1"/>
  <c r="E24" i="55"/>
  <c r="E149" i="45" s="1"/>
  <c r="C83" i="55"/>
  <c r="C160" i="52" s="1"/>
  <c r="D83" i="55"/>
  <c r="D160" i="52" s="1"/>
  <c r="D12" i="55"/>
  <c r="D217" i="44" s="1"/>
  <c r="E12" i="55"/>
  <c r="E217" i="44" s="1"/>
  <c r="D6" i="55"/>
  <c r="D211" i="44" s="1"/>
  <c r="E6" i="55"/>
  <c r="E211" i="44" s="1"/>
  <c r="D50" i="55"/>
  <c r="D170" i="49" s="1"/>
  <c r="E50" i="55"/>
  <c r="E170" i="49" s="1"/>
  <c r="D2" i="55"/>
  <c r="D207" i="44" s="1"/>
  <c r="E2" i="55"/>
  <c r="E207" i="44" s="1"/>
  <c r="D62" i="55"/>
  <c r="D139" i="50" s="1"/>
  <c r="E62" i="55"/>
  <c r="E139" i="50" s="1"/>
  <c r="D69" i="55"/>
  <c r="D173" i="51" s="1"/>
  <c r="E69" i="55"/>
  <c r="E173" i="51" s="1"/>
  <c r="D73" i="55"/>
  <c r="D177" i="51" s="1"/>
  <c r="E73" i="55"/>
  <c r="E177" i="51" s="1"/>
  <c r="D60" i="55"/>
  <c r="D137" i="50" s="1"/>
  <c r="E60" i="55"/>
  <c r="E137" i="50" s="1"/>
  <c r="D10" i="55"/>
  <c r="D215" i="44" s="1"/>
  <c r="E10" i="55"/>
  <c r="E215" i="44" s="1"/>
  <c r="D26" i="55"/>
  <c r="D151" i="45" s="1"/>
  <c r="E26" i="55"/>
  <c r="E151" i="45" s="1"/>
  <c r="D25" i="55"/>
  <c r="D150" i="45" s="1"/>
  <c r="E25" i="55"/>
  <c r="E150" i="45" s="1"/>
  <c r="D74" i="55"/>
  <c r="D178" i="51" s="1"/>
  <c r="E74" i="55"/>
  <c r="E178" i="51" s="1"/>
  <c r="D42" i="55"/>
  <c r="D141" i="48" s="1"/>
  <c r="E42" i="55"/>
  <c r="E141" i="48" s="1"/>
  <c r="D45" i="55"/>
  <c r="D165" i="49" s="1"/>
  <c r="E45" i="55"/>
  <c r="E165" i="49" s="1"/>
  <c r="D78" i="55"/>
  <c r="D155" i="52" s="1"/>
  <c r="E78" i="55"/>
  <c r="E155" i="52" s="1"/>
  <c r="D80" i="55"/>
  <c r="D157" i="52" s="1"/>
  <c r="E80" i="55"/>
  <c r="E157" i="52" s="1"/>
  <c r="D7" i="55"/>
  <c r="D212" i="44" s="1"/>
  <c r="E7" i="55"/>
  <c r="E212" i="44" s="1"/>
  <c r="D36" i="55"/>
  <c r="D159" i="46" s="1"/>
  <c r="E36" i="55"/>
  <c r="E159" i="46" s="1"/>
  <c r="D11" i="55"/>
  <c r="D216" i="44" s="1"/>
  <c r="E11" i="55"/>
  <c r="E216" i="44" s="1"/>
  <c r="D67" i="55"/>
  <c r="D171" i="51" s="1"/>
  <c r="E67" i="55"/>
  <c r="E171" i="51" s="1"/>
  <c r="G52" i="54"/>
  <c r="G140" i="49" s="1"/>
  <c r="D70" i="55"/>
  <c r="D174" i="51" s="1"/>
  <c r="E70" i="55"/>
  <c r="E174" i="51" s="1"/>
  <c r="D3" i="55"/>
  <c r="D208" i="44" s="1"/>
  <c r="E3" i="55"/>
  <c r="E208" i="44" s="1"/>
  <c r="D77" i="55"/>
  <c r="D154" i="52" s="1"/>
  <c r="E77" i="55"/>
  <c r="E154" i="52" s="1"/>
  <c r="D81" i="55"/>
  <c r="D158" i="52" s="1"/>
  <c r="E81" i="55"/>
  <c r="E158" i="52" s="1"/>
  <c r="F82" i="55"/>
  <c r="F159" i="52" s="1"/>
  <c r="D31" i="55"/>
  <c r="D154" i="46" s="1"/>
  <c r="E31" i="55"/>
  <c r="E154" i="46" s="1"/>
  <c r="G81" i="54"/>
  <c r="G136" i="52" s="1"/>
  <c r="D59" i="55"/>
  <c r="D136" i="50" s="1"/>
  <c r="E59" i="55"/>
  <c r="E136" i="50" s="1"/>
  <c r="D55" i="55"/>
  <c r="D175" i="49" s="1"/>
  <c r="E55" i="55"/>
  <c r="E175" i="49" s="1"/>
  <c r="D20" i="55"/>
  <c r="D145" i="45" s="1"/>
  <c r="E20" i="55"/>
  <c r="E145" i="45" s="1"/>
  <c r="D28" i="55"/>
  <c r="D153" i="45" s="1"/>
  <c r="E28" i="55"/>
  <c r="E153" i="45" s="1"/>
  <c r="L83" i="47"/>
  <c r="L89" i="52" s="1"/>
  <c r="N34" i="47"/>
  <c r="N71" i="46" s="1"/>
  <c r="F81" i="54" l="1"/>
  <c r="F136" i="52" s="1"/>
  <c r="F83" i="54"/>
  <c r="F138" i="52" s="1"/>
  <c r="M2" i="54"/>
  <c r="M167" i="44" s="1"/>
  <c r="D82" i="55"/>
  <c r="D159" i="52" s="1"/>
  <c r="E82" i="55"/>
  <c r="E159" i="52" s="1"/>
  <c r="F52" i="54"/>
  <c r="F140" i="49" s="1"/>
  <c r="M53" i="54"/>
  <c r="M141" i="49" s="1"/>
  <c r="G80" i="54"/>
  <c r="G135" i="52" s="1"/>
  <c r="L3" i="54"/>
  <c r="L168" i="44" s="1"/>
  <c r="M34" i="47"/>
  <c r="M71" i="46" s="1"/>
  <c r="K83" i="47"/>
  <c r="K89" i="52" s="1"/>
  <c r="K3" i="54" l="1"/>
  <c r="K168" i="44" s="1"/>
  <c r="F80" i="54"/>
  <c r="F135" i="52" s="1"/>
  <c r="E52" i="54"/>
  <c r="E140" i="49" s="1"/>
  <c r="L2" i="54"/>
  <c r="L167" i="44" s="1"/>
  <c r="E81" i="54"/>
  <c r="E136" i="52" s="1"/>
  <c r="E83" i="54"/>
  <c r="E138" i="52" s="1"/>
  <c r="L53" i="54"/>
  <c r="L141" i="49" s="1"/>
  <c r="J83" i="47"/>
  <c r="J89" i="52" s="1"/>
  <c r="L34" i="47"/>
  <c r="L71" i="46" s="1"/>
  <c r="K53" i="54" l="1"/>
  <c r="K141" i="49" s="1"/>
  <c r="C81" i="54"/>
  <c r="C136" i="52" s="1"/>
  <c r="D81" i="54"/>
  <c r="D136" i="52" s="1"/>
  <c r="D52" i="54"/>
  <c r="D140" i="49" s="1"/>
  <c r="J3" i="54"/>
  <c r="J168" i="44" s="1"/>
  <c r="D83" i="54"/>
  <c r="D138" i="52" s="1"/>
  <c r="E80" i="54"/>
  <c r="E135" i="52" s="1"/>
  <c r="K2" i="54"/>
  <c r="K167" i="44" s="1"/>
  <c r="K34" i="47"/>
  <c r="K71" i="46" s="1"/>
  <c r="I83" i="47"/>
  <c r="I89" i="52" s="1"/>
  <c r="D80" i="54" l="1"/>
  <c r="D135" i="52" s="1"/>
  <c r="J2" i="54"/>
  <c r="J167" i="44" s="1"/>
  <c r="C44" i="52"/>
  <c r="C83" i="54"/>
  <c r="C138" i="52" s="1"/>
  <c r="C40" i="49"/>
  <c r="C52" i="54"/>
  <c r="C140" i="49" s="1"/>
  <c r="J53" i="54"/>
  <c r="J141" i="49" s="1"/>
  <c r="I3" i="54"/>
  <c r="I168" i="44" s="1"/>
  <c r="H83" i="47"/>
  <c r="H89" i="52" s="1"/>
  <c r="J34" i="47"/>
  <c r="J71" i="46" s="1"/>
  <c r="H3" i="54" l="1"/>
  <c r="H168" i="44" s="1"/>
  <c r="R51" i="54"/>
  <c r="R139" i="49" s="1"/>
  <c r="I53" i="54"/>
  <c r="I141" i="49" s="1"/>
  <c r="R82" i="54"/>
  <c r="R137" i="52" s="1"/>
  <c r="C41" i="52"/>
  <c r="C80" i="54"/>
  <c r="C135" i="52" s="1"/>
  <c r="I2" i="54"/>
  <c r="I167" i="44" s="1"/>
  <c r="I34" i="47"/>
  <c r="I71" i="46" s="1"/>
  <c r="G83" i="47"/>
  <c r="G89" i="52" s="1"/>
  <c r="Q82" i="54" l="1"/>
  <c r="Q137" i="52" s="1"/>
  <c r="R79" i="54"/>
  <c r="R134" i="52" s="1"/>
  <c r="H53" i="54"/>
  <c r="H141" i="49" s="1"/>
  <c r="G3" i="54"/>
  <c r="G168" i="44" s="1"/>
  <c r="H2" i="54"/>
  <c r="H167" i="44" s="1"/>
  <c r="Q51" i="54"/>
  <c r="Q139" i="49" s="1"/>
  <c r="H34" i="47"/>
  <c r="H71" i="46" s="1"/>
  <c r="F83" i="47"/>
  <c r="F89" i="52" s="1"/>
  <c r="F3" i="54" l="1"/>
  <c r="F168" i="44" s="1"/>
  <c r="G2" i="54"/>
  <c r="G167" i="44" s="1"/>
  <c r="G53" i="54"/>
  <c r="G141" i="49" s="1"/>
  <c r="P82" i="54"/>
  <c r="P137" i="52" s="1"/>
  <c r="Q79" i="54"/>
  <c r="Q134" i="52" s="1"/>
  <c r="P51" i="54"/>
  <c r="P139" i="49" s="1"/>
  <c r="E83" i="47"/>
  <c r="E89" i="52" s="1"/>
  <c r="G34" i="47"/>
  <c r="G71" i="46" s="1"/>
  <c r="P79" i="54" l="1"/>
  <c r="P134" i="52" s="1"/>
  <c r="F53" i="54"/>
  <c r="F141" i="49" s="1"/>
  <c r="D3" i="54"/>
  <c r="D168" i="44" s="1"/>
  <c r="E3" i="54"/>
  <c r="E168" i="44" s="1"/>
  <c r="O51" i="54"/>
  <c r="O139" i="49" s="1"/>
  <c r="F2" i="54"/>
  <c r="F167" i="44" s="1"/>
  <c r="O82" i="54"/>
  <c r="O137" i="52" s="1"/>
  <c r="D83" i="47"/>
  <c r="D89" i="52" s="1"/>
  <c r="F34" i="47"/>
  <c r="F71" i="46" s="1"/>
  <c r="N82" i="54" l="1"/>
  <c r="N137" i="52" s="1"/>
  <c r="D2" i="54"/>
  <c r="D167" i="44" s="1"/>
  <c r="E2" i="54"/>
  <c r="E167" i="44" s="1"/>
  <c r="O79" i="54"/>
  <c r="O134" i="52" s="1"/>
  <c r="D53" i="54"/>
  <c r="D141" i="49" s="1"/>
  <c r="E53" i="54"/>
  <c r="E141" i="49" s="1"/>
  <c r="N51" i="54"/>
  <c r="N139" i="49" s="1"/>
  <c r="E34" i="47"/>
  <c r="E71" i="46" s="1"/>
  <c r="C9" i="52"/>
  <c r="C83" i="47"/>
  <c r="C89" i="52" s="1"/>
  <c r="M51" i="54" l="1"/>
  <c r="M139" i="49" s="1"/>
  <c r="N79" i="54"/>
  <c r="N134" i="52" s="1"/>
  <c r="M82" i="54"/>
  <c r="M137" i="52" s="1"/>
  <c r="R82" i="47"/>
  <c r="R88" i="52" s="1"/>
  <c r="D34" i="47"/>
  <c r="D71" i="46" s="1"/>
  <c r="L82" i="54" l="1"/>
  <c r="L137" i="52" s="1"/>
  <c r="L51" i="54"/>
  <c r="L139" i="49" s="1"/>
  <c r="M79" i="54"/>
  <c r="M134" i="52" s="1"/>
  <c r="C5" i="46"/>
  <c r="C34" i="47"/>
  <c r="C71" i="46" s="1"/>
  <c r="Q82" i="47"/>
  <c r="Q88" i="52" s="1"/>
  <c r="K51" i="54" l="1"/>
  <c r="K139" i="49" s="1"/>
  <c r="L79" i="54"/>
  <c r="L134" i="52" s="1"/>
  <c r="K82" i="54"/>
  <c r="K137" i="52" s="1"/>
  <c r="P82" i="47"/>
  <c r="P88" i="52" s="1"/>
  <c r="R33" i="47"/>
  <c r="R70" i="46" s="1"/>
  <c r="K79" i="54" l="1"/>
  <c r="K134" i="52" s="1"/>
  <c r="J82" i="54"/>
  <c r="J137" i="52" s="1"/>
  <c r="J51" i="54"/>
  <c r="J139" i="49" s="1"/>
  <c r="Q33" i="47"/>
  <c r="Q70" i="46" s="1"/>
  <c r="O82" i="47"/>
  <c r="O88" i="52" s="1"/>
  <c r="I82" i="54" l="1"/>
  <c r="I137" i="52" s="1"/>
  <c r="I51" i="54"/>
  <c r="I139" i="49" s="1"/>
  <c r="J79" i="54"/>
  <c r="J134" i="52" s="1"/>
  <c r="N82" i="47"/>
  <c r="N88" i="52" s="1"/>
  <c r="P33" i="47"/>
  <c r="P70" i="46" s="1"/>
  <c r="H51" i="54" l="1"/>
  <c r="H139" i="49" s="1"/>
  <c r="I79" i="54"/>
  <c r="I134" i="52" s="1"/>
  <c r="H82" i="54"/>
  <c r="H137" i="52" s="1"/>
  <c r="O33" i="47"/>
  <c r="O70" i="46" s="1"/>
  <c r="M82" i="47"/>
  <c r="M88" i="52" s="1"/>
  <c r="G82" i="54" l="1"/>
  <c r="G137" i="52" s="1"/>
  <c r="G51" i="54"/>
  <c r="G139" i="49" s="1"/>
  <c r="H79" i="54"/>
  <c r="H134" i="52" s="1"/>
  <c r="L82" i="47"/>
  <c r="L88" i="52" s="1"/>
  <c r="N33" i="47"/>
  <c r="N70" i="46" s="1"/>
  <c r="F51" i="54" l="1"/>
  <c r="F139" i="49" s="1"/>
  <c r="G79" i="54"/>
  <c r="G134" i="52" s="1"/>
  <c r="F82" i="54"/>
  <c r="F137" i="52" s="1"/>
  <c r="M33" i="47"/>
  <c r="M70" i="46" s="1"/>
  <c r="K82" i="47"/>
  <c r="K88" i="52" s="1"/>
  <c r="E82" i="54" l="1"/>
  <c r="E137" i="52" s="1"/>
  <c r="E51" i="54"/>
  <c r="E139" i="49" s="1"/>
  <c r="F79" i="54"/>
  <c r="F134" i="52" s="1"/>
  <c r="J82" i="47"/>
  <c r="J88" i="52" s="1"/>
  <c r="L33" i="47"/>
  <c r="L70" i="46" s="1"/>
  <c r="E79" i="54" l="1"/>
  <c r="E134" i="52" s="1"/>
  <c r="C82" i="54"/>
  <c r="C137" i="52" s="1"/>
  <c r="D82" i="54"/>
  <c r="D137" i="52" s="1"/>
  <c r="D51" i="54"/>
  <c r="D139" i="49" s="1"/>
  <c r="K33" i="47"/>
  <c r="K70" i="46" s="1"/>
  <c r="I82" i="47"/>
  <c r="I88" i="52" s="1"/>
  <c r="C39" i="49" l="1"/>
  <c r="C51" i="54"/>
  <c r="C139" i="49" s="1"/>
  <c r="D79" i="54"/>
  <c r="D134" i="52" s="1"/>
  <c r="H82" i="47"/>
  <c r="H88" i="52" s="1"/>
  <c r="J33" i="47"/>
  <c r="J70" i="46" s="1"/>
  <c r="R50" i="54" l="1"/>
  <c r="R138" i="49" s="1"/>
  <c r="C40" i="52"/>
  <c r="C79" i="54"/>
  <c r="C134" i="52" s="1"/>
  <c r="I33" i="47"/>
  <c r="I70" i="46" s="1"/>
  <c r="G82" i="47"/>
  <c r="G88" i="52" s="1"/>
  <c r="Q50" i="54" l="1"/>
  <c r="Q138" i="49" s="1"/>
  <c r="R78" i="54"/>
  <c r="R133" i="52" s="1"/>
  <c r="F82" i="47"/>
  <c r="F88" i="52" s="1"/>
  <c r="H33" i="47"/>
  <c r="H70" i="46" s="1"/>
  <c r="P50" i="54" l="1"/>
  <c r="P138" i="49" s="1"/>
  <c r="Q78" i="54"/>
  <c r="Q133" i="52" s="1"/>
  <c r="G33" i="47"/>
  <c r="G70" i="46" s="1"/>
  <c r="E82" i="47"/>
  <c r="E88" i="52" s="1"/>
  <c r="O50" i="54" l="1"/>
  <c r="O138" i="49" s="1"/>
  <c r="P78" i="54"/>
  <c r="P133" i="52" s="1"/>
  <c r="D82" i="47"/>
  <c r="D88" i="52" s="1"/>
  <c r="F33" i="47"/>
  <c r="F70" i="46" s="1"/>
  <c r="O78" i="54" l="1"/>
  <c r="O133" i="52" s="1"/>
  <c r="N50" i="54"/>
  <c r="N138" i="49" s="1"/>
  <c r="E33" i="47"/>
  <c r="E70" i="46" s="1"/>
  <c r="C8" i="52"/>
  <c r="C82" i="47"/>
  <c r="C88" i="52" s="1"/>
  <c r="M50" i="54" l="1"/>
  <c r="M138" i="49" s="1"/>
  <c r="N78" i="54"/>
  <c r="N133" i="52" s="1"/>
  <c r="D33" i="47"/>
  <c r="D70" i="46" s="1"/>
  <c r="R81" i="47"/>
  <c r="R87" i="52" s="1"/>
  <c r="L50" i="54" l="1"/>
  <c r="L138" i="49" s="1"/>
  <c r="M78" i="54"/>
  <c r="M133" i="52" s="1"/>
  <c r="Q81" i="47"/>
  <c r="Q87" i="52" s="1"/>
  <c r="C4" i="46"/>
  <c r="C33" i="47"/>
  <c r="C70" i="46" s="1"/>
  <c r="L78" i="54" l="1"/>
  <c r="L133" i="52" s="1"/>
  <c r="K50" i="54"/>
  <c r="K138" i="49" s="1"/>
  <c r="R32" i="47"/>
  <c r="R69" i="46" s="1"/>
  <c r="P81" i="47"/>
  <c r="P87" i="52" s="1"/>
  <c r="K78" i="54" l="1"/>
  <c r="K133" i="52" s="1"/>
  <c r="J50" i="54"/>
  <c r="J138" i="49" s="1"/>
  <c r="O81" i="47"/>
  <c r="O87" i="52" s="1"/>
  <c r="Q32" i="47"/>
  <c r="Q69" i="46" s="1"/>
  <c r="I50" i="54" l="1"/>
  <c r="I138" i="49" s="1"/>
  <c r="J78" i="54"/>
  <c r="J133" i="52" s="1"/>
  <c r="P32" i="47"/>
  <c r="P69" i="46" s="1"/>
  <c r="N81" i="47"/>
  <c r="N87" i="52" s="1"/>
  <c r="I78" i="54" l="1"/>
  <c r="I133" i="52" s="1"/>
  <c r="H50" i="54"/>
  <c r="H138" i="49" s="1"/>
  <c r="M81" i="47"/>
  <c r="M87" i="52" s="1"/>
  <c r="O32" i="47"/>
  <c r="O69" i="46" s="1"/>
  <c r="H78" i="54" l="1"/>
  <c r="H133" i="52" s="1"/>
  <c r="G50" i="54"/>
  <c r="G138" i="49" s="1"/>
  <c r="N32" i="47"/>
  <c r="N69" i="46" s="1"/>
  <c r="L81" i="47"/>
  <c r="L87" i="52" s="1"/>
  <c r="F50" i="54" l="1"/>
  <c r="F138" i="49" s="1"/>
  <c r="G78" i="54"/>
  <c r="G133" i="52" s="1"/>
  <c r="K81" i="47"/>
  <c r="K87" i="52" s="1"/>
  <c r="C3" i="46"/>
  <c r="M32" i="47"/>
  <c r="M69" i="46" s="1"/>
  <c r="E50" i="54" l="1"/>
  <c r="E138" i="49" s="1"/>
  <c r="F78" i="54"/>
  <c r="F133" i="52" s="1"/>
  <c r="R31" i="47"/>
  <c r="R68" i="46" s="1"/>
  <c r="J81" i="47"/>
  <c r="J87" i="52" s="1"/>
  <c r="E78" i="54" l="1"/>
  <c r="E133" i="52" s="1"/>
  <c r="D50" i="54"/>
  <c r="D138" i="49" s="1"/>
  <c r="I81" i="47"/>
  <c r="I87" i="52" s="1"/>
  <c r="Q31" i="47"/>
  <c r="Q68" i="46" s="1"/>
  <c r="D78" i="54" l="1"/>
  <c r="D133" i="52" s="1"/>
  <c r="C38" i="49"/>
  <c r="C50" i="54"/>
  <c r="C138" i="49" s="1"/>
  <c r="P31" i="47"/>
  <c r="P68" i="46" s="1"/>
  <c r="H81" i="47"/>
  <c r="H87" i="52" s="1"/>
  <c r="R49" i="54" l="1"/>
  <c r="R137" i="49" s="1"/>
  <c r="C39" i="52"/>
  <c r="C78" i="54"/>
  <c r="C133" i="52" s="1"/>
  <c r="G81" i="47"/>
  <c r="G87" i="52" s="1"/>
  <c r="O31" i="47"/>
  <c r="O68" i="46" s="1"/>
  <c r="Q49" i="54" l="1"/>
  <c r="Q137" i="49" s="1"/>
  <c r="R77" i="54"/>
  <c r="R132" i="52" s="1"/>
  <c r="N31" i="47"/>
  <c r="N68" i="46" s="1"/>
  <c r="F81" i="47"/>
  <c r="F87" i="52" s="1"/>
  <c r="Q77" i="54" l="1"/>
  <c r="Q132" i="52" s="1"/>
  <c r="P49" i="54"/>
  <c r="P137" i="49" s="1"/>
  <c r="E81" i="47"/>
  <c r="E87" i="52" s="1"/>
  <c r="M31" i="47"/>
  <c r="M68" i="46" s="1"/>
  <c r="O49" i="54" l="1"/>
  <c r="O137" i="49" s="1"/>
  <c r="P77" i="54"/>
  <c r="P132" i="52" s="1"/>
  <c r="L31" i="47"/>
  <c r="L68" i="46" s="1"/>
  <c r="D81" i="47"/>
  <c r="D87" i="52" s="1"/>
  <c r="O77" i="54" l="1"/>
  <c r="O132" i="52" s="1"/>
  <c r="N49" i="54"/>
  <c r="N137" i="49" s="1"/>
  <c r="C7" i="52"/>
  <c r="C81" i="47"/>
  <c r="C87" i="52" s="1"/>
  <c r="K31" i="47"/>
  <c r="K68" i="46" s="1"/>
  <c r="N77" i="54" l="1"/>
  <c r="N132" i="52" s="1"/>
  <c r="M49" i="54"/>
  <c r="M137" i="49" s="1"/>
  <c r="J31" i="47"/>
  <c r="J68" i="46" s="1"/>
  <c r="R80" i="47"/>
  <c r="R86" i="52" s="1"/>
  <c r="M77" i="54" l="1"/>
  <c r="M132" i="52" s="1"/>
  <c r="L49" i="54"/>
  <c r="L137" i="49" s="1"/>
  <c r="Q80" i="47"/>
  <c r="Q86" i="52" s="1"/>
  <c r="I31" i="47"/>
  <c r="I68" i="46" s="1"/>
  <c r="L77" i="54" l="1"/>
  <c r="L132" i="52" s="1"/>
  <c r="K49" i="54"/>
  <c r="K137" i="49" s="1"/>
  <c r="P80" i="47"/>
  <c r="P86" i="52" s="1"/>
  <c r="H31" i="47"/>
  <c r="H68" i="46" s="1"/>
  <c r="J49" i="54" l="1"/>
  <c r="J137" i="49" s="1"/>
  <c r="K77" i="54"/>
  <c r="K132" i="52" s="1"/>
  <c r="G31" i="47"/>
  <c r="G68" i="46" s="1"/>
  <c r="O80" i="47"/>
  <c r="O86" i="52" s="1"/>
  <c r="J77" i="54" l="1"/>
  <c r="J132" i="52" s="1"/>
  <c r="I49" i="54"/>
  <c r="I137" i="49" s="1"/>
  <c r="N80" i="47"/>
  <c r="N86" i="52" s="1"/>
  <c r="F31" i="47"/>
  <c r="F68" i="46" s="1"/>
  <c r="I77" i="54" l="1"/>
  <c r="I132" i="52" s="1"/>
  <c r="H49" i="54"/>
  <c r="H137" i="49" s="1"/>
  <c r="E31" i="47"/>
  <c r="E68" i="46" s="1"/>
  <c r="M80" i="47"/>
  <c r="M86" i="52" s="1"/>
  <c r="G49" i="54" l="1"/>
  <c r="G137" i="49" s="1"/>
  <c r="H77" i="54"/>
  <c r="H132" i="52" s="1"/>
  <c r="L80" i="47"/>
  <c r="L86" i="52" s="1"/>
  <c r="D31" i="47"/>
  <c r="D68" i="46" s="1"/>
  <c r="F49" i="54" l="1"/>
  <c r="F137" i="49" s="1"/>
  <c r="G77" i="54"/>
  <c r="G132" i="52" s="1"/>
  <c r="C2" i="46"/>
  <c r="C31" i="47"/>
  <c r="C68" i="46" s="1"/>
  <c r="K80" i="47"/>
  <c r="K86" i="52" s="1"/>
  <c r="F77" i="54" l="1"/>
  <c r="F132" i="52" s="1"/>
  <c r="E49" i="54"/>
  <c r="E137" i="49" s="1"/>
  <c r="J80" i="47"/>
  <c r="J86" i="52" s="1"/>
  <c r="R30" i="47"/>
  <c r="R67" i="46" s="1"/>
  <c r="E77" i="54" l="1"/>
  <c r="E132" i="52" s="1"/>
  <c r="D49" i="54"/>
  <c r="D137" i="49" s="1"/>
  <c r="Q30" i="47"/>
  <c r="Q67" i="46" s="1"/>
  <c r="I80" i="47"/>
  <c r="I86" i="52" s="1"/>
  <c r="D77" i="54" l="1"/>
  <c r="D132" i="52" s="1"/>
  <c r="C37" i="49"/>
  <c r="C49" i="54"/>
  <c r="C137" i="49" s="1"/>
  <c r="H80" i="47"/>
  <c r="H86" i="52" s="1"/>
  <c r="P30" i="47"/>
  <c r="P67" i="46" s="1"/>
  <c r="R48" i="54" l="1"/>
  <c r="R136" i="49" s="1"/>
  <c r="C38" i="52"/>
  <c r="C77" i="54"/>
  <c r="C132" i="52" s="1"/>
  <c r="O30" i="47"/>
  <c r="O67" i="46" s="1"/>
  <c r="G80" i="47"/>
  <c r="G86" i="52" s="1"/>
  <c r="R76" i="54" l="1"/>
  <c r="R131" i="52" s="1"/>
  <c r="Q48" i="54"/>
  <c r="Q136" i="49" s="1"/>
  <c r="F80" i="47"/>
  <c r="F86" i="52" s="1"/>
  <c r="N30" i="47"/>
  <c r="N67" i="46" s="1"/>
  <c r="P48" i="54" l="1"/>
  <c r="P136" i="49" s="1"/>
  <c r="Q76" i="54"/>
  <c r="Q131" i="52" s="1"/>
  <c r="M30" i="47"/>
  <c r="M67" i="46" s="1"/>
  <c r="E80" i="47"/>
  <c r="E86" i="52" s="1"/>
  <c r="P76" i="54" l="1"/>
  <c r="P131" i="52" s="1"/>
  <c r="O48" i="54"/>
  <c r="O136" i="49" s="1"/>
  <c r="D80" i="47"/>
  <c r="D86" i="52" s="1"/>
  <c r="L30" i="47"/>
  <c r="L67" i="46" s="1"/>
  <c r="N48" i="54" l="1"/>
  <c r="N136" i="49" s="1"/>
  <c r="O76" i="54"/>
  <c r="O131" i="52" s="1"/>
  <c r="K30" i="47"/>
  <c r="K67" i="46" s="1"/>
  <c r="C6" i="52"/>
  <c r="C80" i="47"/>
  <c r="C86" i="52" s="1"/>
  <c r="M48" i="54" l="1"/>
  <c r="M136" i="49" s="1"/>
  <c r="N76" i="54"/>
  <c r="N131" i="52" s="1"/>
  <c r="R79" i="47"/>
  <c r="R85" i="52" s="1"/>
  <c r="J30" i="47"/>
  <c r="J67" i="46" s="1"/>
  <c r="L48" i="54" l="1"/>
  <c r="L136" i="49" s="1"/>
  <c r="M76" i="54"/>
  <c r="M131" i="52" s="1"/>
  <c r="I30" i="47"/>
  <c r="I67" i="46" s="1"/>
  <c r="Q79" i="47"/>
  <c r="Q85" i="52" s="1"/>
  <c r="K48" i="54" l="1"/>
  <c r="K136" i="49" s="1"/>
  <c r="L76" i="54"/>
  <c r="L131" i="52" s="1"/>
  <c r="P79" i="47"/>
  <c r="P85" i="52" s="1"/>
  <c r="H30" i="47"/>
  <c r="H67" i="46" s="1"/>
  <c r="J48" i="54" l="1"/>
  <c r="J136" i="49" s="1"/>
  <c r="K76" i="54"/>
  <c r="K131" i="52" s="1"/>
  <c r="G30" i="47"/>
  <c r="G67" i="46" s="1"/>
  <c r="O79" i="47"/>
  <c r="O85" i="52" s="1"/>
  <c r="I48" i="54" l="1"/>
  <c r="I136" i="49" s="1"/>
  <c r="J76" i="54"/>
  <c r="J131" i="52" s="1"/>
  <c r="F30" i="47"/>
  <c r="F67" i="46" s="1"/>
  <c r="N79" i="47"/>
  <c r="N85" i="52" s="1"/>
  <c r="I76" i="54" l="1"/>
  <c r="I131" i="52" s="1"/>
  <c r="H48" i="54"/>
  <c r="H136" i="49" s="1"/>
  <c r="M79" i="47"/>
  <c r="M85" i="52" s="1"/>
  <c r="E30" i="47"/>
  <c r="E67" i="46" s="1"/>
  <c r="G48" i="54" l="1"/>
  <c r="G136" i="49" s="1"/>
  <c r="H76" i="54"/>
  <c r="H131" i="52" s="1"/>
  <c r="D30" i="47"/>
  <c r="D67" i="46" s="1"/>
  <c r="L79" i="47"/>
  <c r="L85" i="52" s="1"/>
  <c r="G76" i="54" l="1"/>
  <c r="G131" i="52" s="1"/>
  <c r="F48" i="54"/>
  <c r="F136" i="49" s="1"/>
  <c r="K79" i="47"/>
  <c r="K85" i="52" s="1"/>
  <c r="C11" i="45"/>
  <c r="C30" i="47"/>
  <c r="C67" i="46" s="1"/>
  <c r="E48" i="54" l="1"/>
  <c r="E136" i="49" s="1"/>
  <c r="F76" i="54"/>
  <c r="F131" i="52" s="1"/>
  <c r="R29" i="47"/>
  <c r="R74" i="45" s="1"/>
  <c r="J79" i="47"/>
  <c r="J85" i="52" s="1"/>
  <c r="E76" i="54" l="1"/>
  <c r="E131" i="52" s="1"/>
  <c r="D48" i="54"/>
  <c r="D136" i="49" s="1"/>
  <c r="I79" i="47"/>
  <c r="I85" i="52" s="1"/>
  <c r="Q29" i="47"/>
  <c r="Q74" i="45" s="1"/>
  <c r="D76" i="54" l="1"/>
  <c r="D131" i="52" s="1"/>
  <c r="C36" i="49"/>
  <c r="C48" i="54"/>
  <c r="C136" i="49" s="1"/>
  <c r="P29" i="47"/>
  <c r="P74" i="45" s="1"/>
  <c r="H79" i="47"/>
  <c r="H85" i="52" s="1"/>
  <c r="C37" i="52" l="1"/>
  <c r="C76" i="54"/>
  <c r="C131" i="52" s="1"/>
  <c r="R47" i="54"/>
  <c r="R135" i="49" s="1"/>
  <c r="G79" i="47"/>
  <c r="G85" i="52" s="1"/>
  <c r="O29" i="47"/>
  <c r="O74" i="45" s="1"/>
  <c r="R75" i="54" l="1"/>
  <c r="R130" i="52" s="1"/>
  <c r="Q47" i="54"/>
  <c r="Q135" i="49" s="1"/>
  <c r="N29" i="47"/>
  <c r="N74" i="45" s="1"/>
  <c r="F79" i="47"/>
  <c r="F85" i="52" s="1"/>
  <c r="P47" i="54" l="1"/>
  <c r="P135" i="49" s="1"/>
  <c r="Q75" i="54"/>
  <c r="Q130" i="52" s="1"/>
  <c r="E79" i="47"/>
  <c r="E85" i="52" s="1"/>
  <c r="M29" i="47"/>
  <c r="M74" i="45" s="1"/>
  <c r="P75" i="54" l="1"/>
  <c r="P130" i="52" s="1"/>
  <c r="O47" i="54"/>
  <c r="O135" i="49" s="1"/>
  <c r="L29" i="47"/>
  <c r="L74" i="45" s="1"/>
  <c r="D79" i="47"/>
  <c r="D85" i="52" s="1"/>
  <c r="O75" i="54" l="1"/>
  <c r="O130" i="52" s="1"/>
  <c r="N47" i="54"/>
  <c r="N135" i="49" s="1"/>
  <c r="C5" i="52"/>
  <c r="C79" i="47"/>
  <c r="C85" i="52" s="1"/>
  <c r="K29" i="47"/>
  <c r="K74" i="45" s="1"/>
  <c r="M47" i="54" l="1"/>
  <c r="M135" i="49" s="1"/>
  <c r="N75" i="54"/>
  <c r="N130" i="52" s="1"/>
  <c r="J29" i="47"/>
  <c r="J74" i="45" s="1"/>
  <c r="R78" i="47"/>
  <c r="R84" i="52" s="1"/>
  <c r="L47" i="54" l="1"/>
  <c r="L135" i="49" s="1"/>
  <c r="M75" i="54"/>
  <c r="M130" i="52" s="1"/>
  <c r="Q78" i="47"/>
  <c r="Q84" i="52" s="1"/>
  <c r="I29" i="47"/>
  <c r="I74" i="45" s="1"/>
  <c r="K47" i="54" l="1"/>
  <c r="K135" i="49" s="1"/>
  <c r="L75" i="54"/>
  <c r="L130" i="52" s="1"/>
  <c r="H29" i="47"/>
  <c r="H74" i="45" s="1"/>
  <c r="P78" i="47"/>
  <c r="P84" i="52" s="1"/>
  <c r="J47" i="54" l="1"/>
  <c r="J135" i="49" s="1"/>
  <c r="K75" i="54"/>
  <c r="K130" i="52" s="1"/>
  <c r="O78" i="47"/>
  <c r="O84" i="52" s="1"/>
  <c r="G29" i="47"/>
  <c r="G74" i="45" s="1"/>
  <c r="J75" i="54" l="1"/>
  <c r="J130" i="52" s="1"/>
  <c r="I47" i="54"/>
  <c r="I135" i="49" s="1"/>
  <c r="F29" i="47"/>
  <c r="F74" i="45" s="1"/>
  <c r="N78" i="47"/>
  <c r="N84" i="52" s="1"/>
  <c r="I75" i="54" l="1"/>
  <c r="I130" i="52" s="1"/>
  <c r="H47" i="54"/>
  <c r="H135" i="49" s="1"/>
  <c r="M78" i="47"/>
  <c r="M84" i="52" s="1"/>
  <c r="E29" i="47"/>
  <c r="E74" i="45" s="1"/>
  <c r="G47" i="54" l="1"/>
  <c r="G135" i="49" s="1"/>
  <c r="H75" i="54"/>
  <c r="H130" i="52" s="1"/>
  <c r="L78" i="47"/>
  <c r="L84" i="52" s="1"/>
  <c r="D29" i="47"/>
  <c r="D74" i="45" s="1"/>
  <c r="F47" i="54" l="1"/>
  <c r="F135" i="49" s="1"/>
  <c r="G75" i="54"/>
  <c r="G130" i="52" s="1"/>
  <c r="C10" i="45"/>
  <c r="C29" i="47"/>
  <c r="C74" i="45" s="1"/>
  <c r="K78" i="47"/>
  <c r="K84" i="52" s="1"/>
  <c r="F75" i="54" l="1"/>
  <c r="F130" i="52" s="1"/>
  <c r="E47" i="54"/>
  <c r="E135" i="49" s="1"/>
  <c r="J78" i="47"/>
  <c r="J84" i="52" s="1"/>
  <c r="R28" i="47"/>
  <c r="R73" i="45" s="1"/>
  <c r="E75" i="54" l="1"/>
  <c r="E130" i="52" s="1"/>
  <c r="D47" i="54"/>
  <c r="D135" i="49" s="1"/>
  <c r="Q28" i="47"/>
  <c r="Q73" i="45" s="1"/>
  <c r="I78" i="47"/>
  <c r="I84" i="52" s="1"/>
  <c r="C35" i="49" l="1"/>
  <c r="C47" i="54"/>
  <c r="C135" i="49" s="1"/>
  <c r="D75" i="54"/>
  <c r="D130" i="52" s="1"/>
  <c r="H78" i="47"/>
  <c r="H84" i="52" s="1"/>
  <c r="P28" i="47"/>
  <c r="P73" i="45" s="1"/>
  <c r="R46" i="54" l="1"/>
  <c r="R134" i="49" s="1"/>
  <c r="C49" i="51"/>
  <c r="C75" i="54"/>
  <c r="C130" i="52" s="1"/>
  <c r="O28" i="47"/>
  <c r="O73" i="45" s="1"/>
  <c r="G78" i="47"/>
  <c r="G84" i="52" s="1"/>
  <c r="R74" i="54" l="1"/>
  <c r="R151" i="51" s="1"/>
  <c r="Q46" i="54"/>
  <c r="Q134" i="49" s="1"/>
  <c r="F78" i="47"/>
  <c r="F84" i="52" s="1"/>
  <c r="N28" i="47"/>
  <c r="N73" i="45" s="1"/>
  <c r="P46" i="54" l="1"/>
  <c r="P134" i="49" s="1"/>
  <c r="Q74" i="54"/>
  <c r="Q151" i="51" s="1"/>
  <c r="M28" i="47"/>
  <c r="M73" i="45" s="1"/>
  <c r="E78" i="47"/>
  <c r="E84" i="52" s="1"/>
  <c r="P74" i="54" l="1"/>
  <c r="P151" i="51" s="1"/>
  <c r="O46" i="54"/>
  <c r="O134" i="49" s="1"/>
  <c r="D78" i="47"/>
  <c r="D84" i="52" s="1"/>
  <c r="L28" i="47"/>
  <c r="L73" i="45" s="1"/>
  <c r="O74" i="54" l="1"/>
  <c r="O151" i="51" s="1"/>
  <c r="N46" i="54"/>
  <c r="N134" i="49" s="1"/>
  <c r="K28" i="47"/>
  <c r="K73" i="45" s="1"/>
  <c r="C4" i="52"/>
  <c r="C78" i="47"/>
  <c r="C84" i="52" s="1"/>
  <c r="M46" i="54" l="1"/>
  <c r="M134" i="49" s="1"/>
  <c r="N74" i="54"/>
  <c r="N151" i="51" s="1"/>
  <c r="R77" i="47"/>
  <c r="R83" i="52" s="1"/>
  <c r="J28" i="47"/>
  <c r="J73" i="45" s="1"/>
  <c r="L46" i="54" l="1"/>
  <c r="L134" i="49" s="1"/>
  <c r="M74" i="54"/>
  <c r="M151" i="51" s="1"/>
  <c r="I28" i="47"/>
  <c r="I73" i="45" s="1"/>
  <c r="Q77" i="47"/>
  <c r="Q83" i="52" s="1"/>
  <c r="K46" i="54" l="1"/>
  <c r="K134" i="49" s="1"/>
  <c r="L74" i="54"/>
  <c r="L151" i="51" s="1"/>
  <c r="P77" i="47"/>
  <c r="P83" i="52" s="1"/>
  <c r="H28" i="47"/>
  <c r="H73" i="45" s="1"/>
  <c r="K74" i="54" l="1"/>
  <c r="K151" i="51" s="1"/>
  <c r="J46" i="54"/>
  <c r="J134" i="49" s="1"/>
  <c r="G28" i="47"/>
  <c r="G73" i="45" s="1"/>
  <c r="O77" i="47"/>
  <c r="O83" i="52" s="1"/>
  <c r="I46" i="54" l="1"/>
  <c r="I134" i="49" s="1"/>
  <c r="J74" i="54"/>
  <c r="J151" i="51" s="1"/>
  <c r="N77" i="47"/>
  <c r="N83" i="52" s="1"/>
  <c r="F28" i="47"/>
  <c r="F73" i="45" s="1"/>
  <c r="H46" i="54" l="1"/>
  <c r="H134" i="49" s="1"/>
  <c r="I74" i="54"/>
  <c r="I151" i="51" s="1"/>
  <c r="E28" i="47"/>
  <c r="E73" i="45" s="1"/>
  <c r="M77" i="47"/>
  <c r="M83" i="52" s="1"/>
  <c r="G46" i="54" l="1"/>
  <c r="G134" i="49" s="1"/>
  <c r="H74" i="54"/>
  <c r="H151" i="51" s="1"/>
  <c r="L77" i="47"/>
  <c r="L83" i="52" s="1"/>
  <c r="D28" i="47"/>
  <c r="D73" i="45" s="1"/>
  <c r="F46" i="54" l="1"/>
  <c r="F134" i="49" s="1"/>
  <c r="G74" i="54"/>
  <c r="G151" i="51" s="1"/>
  <c r="C9" i="45"/>
  <c r="C28" i="47"/>
  <c r="C73" i="45" s="1"/>
  <c r="K77" i="47"/>
  <c r="K83" i="52" s="1"/>
  <c r="F74" i="54" l="1"/>
  <c r="F151" i="51" s="1"/>
  <c r="E46" i="54"/>
  <c r="E134" i="49" s="1"/>
  <c r="R27" i="47"/>
  <c r="R72" i="45" s="1"/>
  <c r="J77" i="47"/>
  <c r="J83" i="52" s="1"/>
  <c r="D46" i="54" l="1"/>
  <c r="D134" i="49" s="1"/>
  <c r="E74" i="54"/>
  <c r="E151" i="51" s="1"/>
  <c r="I77" i="47"/>
  <c r="I83" i="52" s="1"/>
  <c r="Q27" i="47"/>
  <c r="Q72" i="45" s="1"/>
  <c r="C34" i="49" l="1"/>
  <c r="C46" i="54"/>
  <c r="C134" i="49" s="1"/>
  <c r="D74" i="54"/>
  <c r="D151" i="51" s="1"/>
  <c r="P27" i="47"/>
  <c r="P72" i="45" s="1"/>
  <c r="H77" i="47"/>
  <c r="H83" i="52" s="1"/>
  <c r="C48" i="51" l="1"/>
  <c r="C74" i="54"/>
  <c r="C151" i="51" s="1"/>
  <c r="R45" i="54"/>
  <c r="R133" i="49" s="1"/>
  <c r="G77" i="47"/>
  <c r="G83" i="52" s="1"/>
  <c r="O27" i="47"/>
  <c r="O72" i="45" s="1"/>
  <c r="Q45" i="54" l="1"/>
  <c r="Q133" i="49" s="1"/>
  <c r="R73" i="54"/>
  <c r="R150" i="51" s="1"/>
  <c r="N27" i="47"/>
  <c r="N72" i="45" s="1"/>
  <c r="F77" i="47"/>
  <c r="F83" i="52" s="1"/>
  <c r="P45" i="54" l="1"/>
  <c r="P133" i="49" s="1"/>
  <c r="Q73" i="54"/>
  <c r="Q150" i="51" s="1"/>
  <c r="E77" i="47"/>
  <c r="E83" i="52" s="1"/>
  <c r="M27" i="47"/>
  <c r="M72" i="45" s="1"/>
  <c r="O45" i="54" l="1"/>
  <c r="O133" i="49" s="1"/>
  <c r="P73" i="54"/>
  <c r="P150" i="51" s="1"/>
  <c r="L27" i="47"/>
  <c r="L72" i="45" s="1"/>
  <c r="D77" i="47"/>
  <c r="D83" i="52" s="1"/>
  <c r="N45" i="54" l="1"/>
  <c r="N133" i="49" s="1"/>
  <c r="O73" i="54"/>
  <c r="O150" i="51" s="1"/>
  <c r="C3" i="52"/>
  <c r="C77" i="47"/>
  <c r="C83" i="52" s="1"/>
  <c r="K27" i="47"/>
  <c r="K72" i="45" s="1"/>
  <c r="M45" i="54" l="1"/>
  <c r="M133" i="49" s="1"/>
  <c r="N73" i="54"/>
  <c r="N150" i="51" s="1"/>
  <c r="J27" i="47"/>
  <c r="J72" i="45" s="1"/>
  <c r="R76" i="47"/>
  <c r="R82" i="52" s="1"/>
  <c r="L45" i="54" l="1"/>
  <c r="L133" i="49" s="1"/>
  <c r="M73" i="54"/>
  <c r="M150" i="51" s="1"/>
  <c r="Q76" i="47"/>
  <c r="Q82" i="52" s="1"/>
  <c r="I27" i="47"/>
  <c r="I72" i="45" s="1"/>
  <c r="K45" i="54" l="1"/>
  <c r="K133" i="49" s="1"/>
  <c r="L73" i="54"/>
  <c r="L150" i="51" s="1"/>
  <c r="H27" i="47"/>
  <c r="H72" i="45" s="1"/>
  <c r="P76" i="47"/>
  <c r="P82" i="52" s="1"/>
  <c r="K73" i="54" l="1"/>
  <c r="K150" i="51" s="1"/>
  <c r="J45" i="54"/>
  <c r="J133" i="49" s="1"/>
  <c r="O76" i="47"/>
  <c r="O82" i="52" s="1"/>
  <c r="G27" i="47"/>
  <c r="G72" i="45" s="1"/>
  <c r="I45" i="54" l="1"/>
  <c r="I133" i="49" s="1"/>
  <c r="J73" i="54"/>
  <c r="J150" i="51" s="1"/>
  <c r="F27" i="47"/>
  <c r="F72" i="45" s="1"/>
  <c r="N76" i="47"/>
  <c r="N82" i="52" s="1"/>
  <c r="I73" i="54" l="1"/>
  <c r="I150" i="51" s="1"/>
  <c r="H45" i="54"/>
  <c r="H133" i="49" s="1"/>
  <c r="M76" i="47"/>
  <c r="M82" i="52" s="1"/>
  <c r="E27" i="47"/>
  <c r="E72" i="45" s="1"/>
  <c r="G45" i="54" l="1"/>
  <c r="G133" i="49" s="1"/>
  <c r="H73" i="54"/>
  <c r="H150" i="51" s="1"/>
  <c r="D27" i="47"/>
  <c r="D72" i="45" s="1"/>
  <c r="L76" i="47"/>
  <c r="L82" i="52" s="1"/>
  <c r="F45" i="54" l="1"/>
  <c r="F133" i="49" s="1"/>
  <c r="G73" i="54"/>
  <c r="G150" i="51" s="1"/>
  <c r="K76" i="47"/>
  <c r="K82" i="52" s="1"/>
  <c r="C27" i="47"/>
  <c r="C72" i="45" s="1"/>
  <c r="C8" i="45" l="1"/>
  <c r="F73" i="54"/>
  <c r="F150" i="51" s="1"/>
  <c r="E45" i="54"/>
  <c r="E133" i="49" s="1"/>
  <c r="J76" i="47"/>
  <c r="J82" i="52" s="1"/>
  <c r="R26" i="47"/>
  <c r="R71" i="45" s="1"/>
  <c r="E73" i="54" l="1"/>
  <c r="E150" i="51" s="1"/>
  <c r="D45" i="54"/>
  <c r="D133" i="49" s="1"/>
  <c r="I76" i="47"/>
  <c r="I82" i="52" s="1"/>
  <c r="Q26" i="47"/>
  <c r="Q71" i="45" s="1"/>
  <c r="D73" i="54" l="1"/>
  <c r="D150" i="51" s="1"/>
  <c r="C40" i="48"/>
  <c r="C45" i="54"/>
  <c r="C133" i="49" s="1"/>
  <c r="H76" i="47"/>
  <c r="H82" i="52" s="1"/>
  <c r="P26" i="47"/>
  <c r="P71" i="45" s="1"/>
  <c r="R44" i="54" l="1"/>
  <c r="R118" i="48" s="1"/>
  <c r="C47" i="51"/>
  <c r="C73" i="54"/>
  <c r="C150" i="51" s="1"/>
  <c r="O26" i="47"/>
  <c r="O71" i="45" s="1"/>
  <c r="G76" i="47"/>
  <c r="G82" i="52" s="1"/>
  <c r="R72" i="54" l="1"/>
  <c r="R149" i="51" s="1"/>
  <c r="Q44" i="54"/>
  <c r="Q118" i="48" s="1"/>
  <c r="F76" i="47"/>
  <c r="F82" i="52" s="1"/>
  <c r="N26" i="47"/>
  <c r="N71" i="45" s="1"/>
  <c r="Q72" i="54" l="1"/>
  <c r="Q149" i="51" s="1"/>
  <c r="P44" i="54"/>
  <c r="P118" i="48" s="1"/>
  <c r="M26" i="47"/>
  <c r="M71" i="45" s="1"/>
  <c r="E76" i="47"/>
  <c r="E82" i="52" s="1"/>
  <c r="O44" i="54" l="1"/>
  <c r="O118" i="48" s="1"/>
  <c r="P72" i="54"/>
  <c r="P149" i="51" s="1"/>
  <c r="D76" i="47"/>
  <c r="D82" i="52" s="1"/>
  <c r="L26" i="47"/>
  <c r="L71" i="45" s="1"/>
  <c r="O72" i="54" l="1"/>
  <c r="O149" i="51" s="1"/>
  <c r="N44" i="54"/>
  <c r="N118" i="48" s="1"/>
  <c r="K26" i="47"/>
  <c r="K71" i="45" s="1"/>
  <c r="C2" i="52"/>
  <c r="C76" i="47"/>
  <c r="C82" i="52" s="1"/>
  <c r="M44" i="54" l="1"/>
  <c r="M118" i="48" s="1"/>
  <c r="N72" i="54"/>
  <c r="N149" i="51" s="1"/>
  <c r="R75" i="47"/>
  <c r="R81" i="52" s="1"/>
  <c r="J26" i="47"/>
  <c r="J71" i="45" s="1"/>
  <c r="M72" i="54" l="1"/>
  <c r="M149" i="51" s="1"/>
  <c r="L44" i="54"/>
  <c r="L118" i="48" s="1"/>
  <c r="I26" i="47"/>
  <c r="I71" i="45" s="1"/>
  <c r="Q75" i="47"/>
  <c r="Q81" i="52" s="1"/>
  <c r="K44" i="54" l="1"/>
  <c r="K118" i="48" s="1"/>
  <c r="L72" i="54"/>
  <c r="L149" i="51" s="1"/>
  <c r="P75" i="47"/>
  <c r="P81" i="52" s="1"/>
  <c r="H26" i="47"/>
  <c r="H71" i="45" s="1"/>
  <c r="K72" i="54" l="1"/>
  <c r="K149" i="51" s="1"/>
  <c r="J44" i="54"/>
  <c r="J118" i="48" s="1"/>
  <c r="G26" i="47"/>
  <c r="G71" i="45" s="1"/>
  <c r="O75" i="47"/>
  <c r="O81" i="52" s="1"/>
  <c r="J72" i="54" l="1"/>
  <c r="J149" i="51" s="1"/>
  <c r="I44" i="54"/>
  <c r="I118" i="48" s="1"/>
  <c r="N75" i="47"/>
  <c r="N81" i="52" s="1"/>
  <c r="F26" i="47"/>
  <c r="F71" i="45" s="1"/>
  <c r="H44" i="54" l="1"/>
  <c r="H118" i="48" s="1"/>
  <c r="I72" i="54"/>
  <c r="I149" i="51" s="1"/>
  <c r="E26" i="47"/>
  <c r="E71" i="45" s="1"/>
  <c r="M75" i="47"/>
  <c r="M81" i="52" s="1"/>
  <c r="H72" i="54" l="1"/>
  <c r="H149" i="51" s="1"/>
  <c r="G44" i="54"/>
  <c r="G118" i="48" s="1"/>
  <c r="D26" i="47"/>
  <c r="D71" i="45" s="1"/>
  <c r="L75" i="47"/>
  <c r="L81" i="52" s="1"/>
  <c r="F44" i="54" l="1"/>
  <c r="F118" i="48" s="1"/>
  <c r="G72" i="54"/>
  <c r="G149" i="51" s="1"/>
  <c r="K75" i="47"/>
  <c r="K81" i="52" s="1"/>
  <c r="C7" i="45"/>
  <c r="C26" i="47"/>
  <c r="C71" i="45" s="1"/>
  <c r="E44" i="54" l="1"/>
  <c r="E118" i="48" s="1"/>
  <c r="F72" i="54"/>
  <c r="F149" i="51" s="1"/>
  <c r="R25" i="47"/>
  <c r="R70" i="45" s="1"/>
  <c r="J75" i="47"/>
  <c r="J81" i="52" s="1"/>
  <c r="E72" i="54" l="1"/>
  <c r="E149" i="51" s="1"/>
  <c r="D44" i="54"/>
  <c r="D118" i="48" s="1"/>
  <c r="I75" i="47"/>
  <c r="I81" i="52" s="1"/>
  <c r="Q25" i="47"/>
  <c r="Q70" i="45" s="1"/>
  <c r="C39" i="48" l="1"/>
  <c r="C44" i="54"/>
  <c r="C118" i="48" s="1"/>
  <c r="D72" i="54"/>
  <c r="D149" i="51" s="1"/>
  <c r="H75" i="47"/>
  <c r="H81" i="52" s="1"/>
  <c r="P25" i="47"/>
  <c r="P70" i="45" s="1"/>
  <c r="R43" i="54" l="1"/>
  <c r="R117" i="48" s="1"/>
  <c r="C46" i="51"/>
  <c r="C72" i="54"/>
  <c r="C149" i="51" s="1"/>
  <c r="G75" i="47"/>
  <c r="G81" i="52" s="1"/>
  <c r="O25" i="47"/>
  <c r="O70" i="45" s="1"/>
  <c r="R71" i="54" l="1"/>
  <c r="R148" i="51" s="1"/>
  <c r="Q43" i="54"/>
  <c r="Q117" i="48" s="1"/>
  <c r="F75" i="47"/>
  <c r="F81" i="52" s="1"/>
  <c r="N25" i="47"/>
  <c r="N70" i="45" s="1"/>
  <c r="Q71" i="54" l="1"/>
  <c r="Q148" i="51" s="1"/>
  <c r="P43" i="54"/>
  <c r="P117" i="48" s="1"/>
  <c r="E75" i="47"/>
  <c r="E81" i="52" s="1"/>
  <c r="M25" i="47"/>
  <c r="M70" i="45" s="1"/>
  <c r="O43" i="54" l="1"/>
  <c r="O117" i="48" s="1"/>
  <c r="P71" i="54"/>
  <c r="P148" i="51" s="1"/>
  <c r="L25" i="47"/>
  <c r="L70" i="45" s="1"/>
  <c r="D75" i="47"/>
  <c r="D81" i="52" s="1"/>
  <c r="O71" i="54" l="1"/>
  <c r="O148" i="51" s="1"/>
  <c r="N43" i="54"/>
  <c r="N117" i="48" s="1"/>
  <c r="C13" i="51"/>
  <c r="C75" i="47"/>
  <c r="C81" i="52" s="1"/>
  <c r="K25" i="47"/>
  <c r="K70" i="45" s="1"/>
  <c r="N71" i="54" l="1"/>
  <c r="N148" i="51" s="1"/>
  <c r="M43" i="54"/>
  <c r="M117" i="48" s="1"/>
  <c r="J25" i="47"/>
  <c r="J70" i="45" s="1"/>
  <c r="R74" i="47"/>
  <c r="R92" i="51" s="1"/>
  <c r="L43" i="54" l="1"/>
  <c r="L117" i="48" s="1"/>
  <c r="M71" i="54"/>
  <c r="M148" i="51" s="1"/>
  <c r="I25" i="47"/>
  <c r="I70" i="45" s="1"/>
  <c r="Q74" i="47"/>
  <c r="Q92" i="51" s="1"/>
  <c r="K43" i="54" l="1"/>
  <c r="K117" i="48" s="1"/>
  <c r="L71" i="54"/>
  <c r="L148" i="51" s="1"/>
  <c r="H25" i="47"/>
  <c r="H70" i="45" s="1"/>
  <c r="P74" i="47"/>
  <c r="P92" i="51" s="1"/>
  <c r="K71" i="54" l="1"/>
  <c r="K148" i="51" s="1"/>
  <c r="J43" i="54"/>
  <c r="J117" i="48" s="1"/>
  <c r="O74" i="47"/>
  <c r="O92" i="51" s="1"/>
  <c r="G25" i="47"/>
  <c r="G70" i="45" s="1"/>
  <c r="J71" i="54" l="1"/>
  <c r="J148" i="51" s="1"/>
  <c r="I43" i="54"/>
  <c r="I117" i="48" s="1"/>
  <c r="N74" i="47"/>
  <c r="N92" i="51" s="1"/>
  <c r="F25" i="47"/>
  <c r="F70" i="45" s="1"/>
  <c r="H43" i="54" l="1"/>
  <c r="H117" i="48" s="1"/>
  <c r="I71" i="54"/>
  <c r="I148" i="51" s="1"/>
  <c r="E25" i="47"/>
  <c r="E70" i="45" s="1"/>
  <c r="M74" i="47"/>
  <c r="M92" i="51" s="1"/>
  <c r="H71" i="54" l="1"/>
  <c r="H148" i="51" s="1"/>
  <c r="D25" i="47"/>
  <c r="D70" i="45" s="1"/>
  <c r="L74" i="47"/>
  <c r="L92" i="51" s="1"/>
  <c r="G71" i="54" l="1"/>
  <c r="G148" i="51" s="1"/>
  <c r="K74" i="47"/>
  <c r="K92" i="51" s="1"/>
  <c r="C6" i="45"/>
  <c r="C25" i="47"/>
  <c r="C70" i="45" s="1"/>
  <c r="F71" i="54" l="1"/>
  <c r="F148" i="51" s="1"/>
  <c r="R24" i="47"/>
  <c r="R69" i="45" s="1"/>
  <c r="J74" i="47"/>
  <c r="J92" i="51" s="1"/>
  <c r="E71" i="54" l="1"/>
  <c r="E148" i="51" s="1"/>
  <c r="I74" i="47"/>
  <c r="I92" i="51" s="1"/>
  <c r="Q24" i="47"/>
  <c r="Q69" i="45" s="1"/>
  <c r="D71" i="54" l="1"/>
  <c r="D148" i="51" s="1"/>
  <c r="C38" i="48"/>
  <c r="P24" i="47"/>
  <c r="P69" i="45" s="1"/>
  <c r="H74" i="47"/>
  <c r="H92" i="51" s="1"/>
  <c r="R42" i="54" l="1"/>
  <c r="R116" i="48" s="1"/>
  <c r="C45" i="51"/>
  <c r="C71" i="54"/>
  <c r="C148" i="51" s="1"/>
  <c r="G74" i="47"/>
  <c r="G92" i="51" s="1"/>
  <c r="O24" i="47"/>
  <c r="O69" i="45" s="1"/>
  <c r="Q42" i="54" l="1"/>
  <c r="Q116" i="48" s="1"/>
  <c r="R70" i="54"/>
  <c r="R147" i="51" s="1"/>
  <c r="N24" i="47"/>
  <c r="N69" i="45" s="1"/>
  <c r="F74" i="47"/>
  <c r="F92" i="51" s="1"/>
  <c r="P42" i="54" l="1"/>
  <c r="P116" i="48" s="1"/>
  <c r="Q70" i="54"/>
  <c r="Q147" i="51" s="1"/>
  <c r="E74" i="47"/>
  <c r="E92" i="51" s="1"/>
  <c r="M24" i="47"/>
  <c r="M69" i="45" s="1"/>
  <c r="O42" i="54" l="1"/>
  <c r="O116" i="48" s="1"/>
  <c r="P70" i="54"/>
  <c r="P147" i="51" s="1"/>
  <c r="D74" i="47"/>
  <c r="D92" i="51" s="1"/>
  <c r="L24" i="47"/>
  <c r="L69" i="45" s="1"/>
  <c r="O70" i="54" l="1"/>
  <c r="O147" i="51" s="1"/>
  <c r="N42" i="54"/>
  <c r="N116" i="48" s="1"/>
  <c r="C12" i="51"/>
  <c r="C74" i="47"/>
  <c r="C92" i="51" s="1"/>
  <c r="K24" i="47"/>
  <c r="K69" i="45" s="1"/>
  <c r="M42" i="54" l="1"/>
  <c r="M116" i="48" s="1"/>
  <c r="N70" i="54"/>
  <c r="N147" i="51" s="1"/>
  <c r="J24" i="47"/>
  <c r="J69" i="45" s="1"/>
  <c r="R73" i="47"/>
  <c r="R91" i="51" s="1"/>
  <c r="M70" i="54" l="1"/>
  <c r="M147" i="51" s="1"/>
  <c r="L42" i="54"/>
  <c r="L116" i="48" s="1"/>
  <c r="Q73" i="47"/>
  <c r="Q91" i="51" s="1"/>
  <c r="I24" i="47"/>
  <c r="I69" i="45" s="1"/>
  <c r="K42" i="54" l="1"/>
  <c r="K116" i="48" s="1"/>
  <c r="L70" i="54"/>
  <c r="L147" i="51" s="1"/>
  <c r="H24" i="47"/>
  <c r="H69" i="45" s="1"/>
  <c r="P73" i="47"/>
  <c r="P91" i="51" s="1"/>
  <c r="K70" i="54" l="1"/>
  <c r="K147" i="51" s="1"/>
  <c r="J42" i="54"/>
  <c r="J116" i="48" s="1"/>
  <c r="O73" i="47"/>
  <c r="O91" i="51" s="1"/>
  <c r="G24" i="47"/>
  <c r="G69" i="45" s="1"/>
  <c r="J70" i="54" l="1"/>
  <c r="J147" i="51" s="1"/>
  <c r="I42" i="54"/>
  <c r="I116" i="48" s="1"/>
  <c r="F24" i="47"/>
  <c r="F69" i="45" s="1"/>
  <c r="N73" i="47"/>
  <c r="N91" i="51" s="1"/>
  <c r="I70" i="54" l="1"/>
  <c r="I147" i="51" s="1"/>
  <c r="H42" i="54"/>
  <c r="H116" i="48" s="1"/>
  <c r="E24" i="47"/>
  <c r="E69" i="45" s="1"/>
  <c r="M73" i="47"/>
  <c r="M91" i="51" s="1"/>
  <c r="G42" i="54" l="1"/>
  <c r="G116" i="48" s="1"/>
  <c r="H70" i="54"/>
  <c r="H147" i="51" s="1"/>
  <c r="L73" i="47"/>
  <c r="L91" i="51" s="1"/>
  <c r="D24" i="47"/>
  <c r="D69" i="45" s="1"/>
  <c r="G70" i="54" l="1"/>
  <c r="G147" i="51" s="1"/>
  <c r="F42" i="54"/>
  <c r="F116" i="48" s="1"/>
  <c r="C5" i="45"/>
  <c r="C24" i="47"/>
  <c r="C69" i="45" s="1"/>
  <c r="K73" i="47"/>
  <c r="K91" i="51" s="1"/>
  <c r="E42" i="54" l="1"/>
  <c r="E116" i="48" s="1"/>
  <c r="F70" i="54"/>
  <c r="F147" i="51" s="1"/>
  <c r="J73" i="47"/>
  <c r="J91" i="51" s="1"/>
  <c r="R23" i="47"/>
  <c r="R68" i="45" s="1"/>
  <c r="D42" i="54" l="1"/>
  <c r="D116" i="48" s="1"/>
  <c r="E70" i="54"/>
  <c r="E147" i="51" s="1"/>
  <c r="Q23" i="47"/>
  <c r="Q68" i="45" s="1"/>
  <c r="I73" i="47"/>
  <c r="I91" i="51" s="1"/>
  <c r="D70" i="54" l="1"/>
  <c r="D147" i="51" s="1"/>
  <c r="C37" i="48"/>
  <c r="C42" i="54"/>
  <c r="C116" i="48" s="1"/>
  <c r="H73" i="47"/>
  <c r="H91" i="51" s="1"/>
  <c r="P23" i="47"/>
  <c r="P68" i="45" s="1"/>
  <c r="R41" i="54" l="1"/>
  <c r="R115" i="48" s="1"/>
  <c r="C44" i="51"/>
  <c r="C70" i="54"/>
  <c r="C147" i="51" s="1"/>
  <c r="O23" i="47"/>
  <c r="O68" i="45" s="1"/>
  <c r="G73" i="47"/>
  <c r="G91" i="51" s="1"/>
  <c r="Q41" i="54" l="1"/>
  <c r="Q115" i="48" s="1"/>
  <c r="R69" i="54"/>
  <c r="R146" i="51" s="1"/>
  <c r="F73" i="47"/>
  <c r="F91" i="51" s="1"/>
  <c r="N23" i="47"/>
  <c r="N68" i="45" s="1"/>
  <c r="P41" i="54" l="1"/>
  <c r="P115" i="48" s="1"/>
  <c r="Q69" i="54"/>
  <c r="Q146" i="51" s="1"/>
  <c r="M23" i="47"/>
  <c r="M68" i="45" s="1"/>
  <c r="E73" i="47"/>
  <c r="E91" i="51" s="1"/>
  <c r="P69" i="54" l="1"/>
  <c r="P146" i="51" s="1"/>
  <c r="O41" i="54"/>
  <c r="O115" i="48" s="1"/>
  <c r="L23" i="47"/>
  <c r="L68" i="45" s="1"/>
  <c r="D73" i="47"/>
  <c r="D91" i="51" s="1"/>
  <c r="O69" i="54" l="1"/>
  <c r="O146" i="51" s="1"/>
  <c r="N41" i="54"/>
  <c r="N115" i="48" s="1"/>
  <c r="C11" i="51"/>
  <c r="C73" i="47"/>
  <c r="C91" i="51" s="1"/>
  <c r="K23" i="47"/>
  <c r="K68" i="45" s="1"/>
  <c r="M41" i="54" l="1"/>
  <c r="M115" i="48" s="1"/>
  <c r="N69" i="54"/>
  <c r="N146" i="51" s="1"/>
  <c r="R72" i="47"/>
  <c r="R90" i="51" s="1"/>
  <c r="J23" i="47"/>
  <c r="J68" i="45" s="1"/>
  <c r="L41" i="54" l="1"/>
  <c r="L115" i="48" s="1"/>
  <c r="M69" i="54"/>
  <c r="M146" i="51" s="1"/>
  <c r="Q72" i="47"/>
  <c r="Q90" i="51" s="1"/>
  <c r="I23" i="47"/>
  <c r="I68" i="45" s="1"/>
  <c r="L69" i="54" l="1"/>
  <c r="L146" i="51" s="1"/>
  <c r="K41" i="54"/>
  <c r="K115" i="48" s="1"/>
  <c r="H23" i="47"/>
  <c r="H68" i="45" s="1"/>
  <c r="P72" i="47"/>
  <c r="P90" i="51" s="1"/>
  <c r="J41" i="54" l="1"/>
  <c r="J115" i="48" s="1"/>
  <c r="K69" i="54"/>
  <c r="K146" i="51" s="1"/>
  <c r="G23" i="47"/>
  <c r="G68" i="45" s="1"/>
  <c r="O72" i="47"/>
  <c r="O90" i="51" s="1"/>
  <c r="J69" i="54" l="1"/>
  <c r="J146" i="51" s="1"/>
  <c r="I41" i="54"/>
  <c r="I115" i="48" s="1"/>
  <c r="N72" i="47"/>
  <c r="N90" i="51" s="1"/>
  <c r="F23" i="47"/>
  <c r="F68" i="45" s="1"/>
  <c r="H41" i="54" l="1"/>
  <c r="H115" i="48" s="1"/>
  <c r="I69" i="54"/>
  <c r="I146" i="51" s="1"/>
  <c r="E23" i="47"/>
  <c r="E68" i="45" s="1"/>
  <c r="M72" i="47"/>
  <c r="M90" i="51" s="1"/>
  <c r="G41" i="54" l="1"/>
  <c r="G115" i="48" s="1"/>
  <c r="H69" i="54"/>
  <c r="H146" i="51" s="1"/>
  <c r="L72" i="47"/>
  <c r="L90" i="51" s="1"/>
  <c r="D23" i="47"/>
  <c r="D68" i="45" s="1"/>
  <c r="F41" i="54" l="1"/>
  <c r="F115" i="48" s="1"/>
  <c r="G69" i="54"/>
  <c r="G146" i="51" s="1"/>
  <c r="C4" i="45"/>
  <c r="C23" i="47"/>
  <c r="C68" i="45" s="1"/>
  <c r="K72" i="47"/>
  <c r="K90" i="51" s="1"/>
  <c r="E41" i="54" l="1"/>
  <c r="E115" i="48" s="1"/>
  <c r="F69" i="54"/>
  <c r="F146" i="51" s="1"/>
  <c r="J72" i="47"/>
  <c r="J90" i="51" s="1"/>
  <c r="R22" i="47"/>
  <c r="R67" i="45" s="1"/>
  <c r="D41" i="54" l="1"/>
  <c r="D115" i="48" s="1"/>
  <c r="E69" i="54"/>
  <c r="E146" i="51" s="1"/>
  <c r="Q22" i="47"/>
  <c r="Q67" i="45" s="1"/>
  <c r="I72" i="47"/>
  <c r="I90" i="51" s="1"/>
  <c r="C36" i="48" l="1"/>
  <c r="C41" i="54"/>
  <c r="C115" i="48" s="1"/>
  <c r="D69" i="54"/>
  <c r="D146" i="51" s="1"/>
  <c r="H72" i="47"/>
  <c r="H90" i="51" s="1"/>
  <c r="P22" i="47"/>
  <c r="P67" i="45" s="1"/>
  <c r="R40" i="54" l="1"/>
  <c r="R114" i="48" s="1"/>
  <c r="C43" i="51"/>
  <c r="C69" i="54"/>
  <c r="C146" i="51" s="1"/>
  <c r="O22" i="47"/>
  <c r="O67" i="45" s="1"/>
  <c r="G72" i="47"/>
  <c r="G90" i="51" s="1"/>
  <c r="Q40" i="54" l="1"/>
  <c r="Q114" i="48" s="1"/>
  <c r="R68" i="54"/>
  <c r="R145" i="51" s="1"/>
  <c r="F72" i="47"/>
  <c r="F90" i="51" s="1"/>
  <c r="N22" i="47"/>
  <c r="N67" i="45" s="1"/>
  <c r="Q68" i="54" l="1"/>
  <c r="Q145" i="51" s="1"/>
  <c r="P40" i="54"/>
  <c r="P114" i="48" s="1"/>
  <c r="M22" i="47"/>
  <c r="M67" i="45" s="1"/>
  <c r="E72" i="47"/>
  <c r="E90" i="51" s="1"/>
  <c r="O40" i="54" l="1"/>
  <c r="O114" i="48" s="1"/>
  <c r="P68" i="54"/>
  <c r="P145" i="51" s="1"/>
  <c r="D72" i="47"/>
  <c r="D90" i="51" s="1"/>
  <c r="L22" i="47"/>
  <c r="L67" i="45" s="1"/>
  <c r="O68" i="54" l="1"/>
  <c r="O145" i="51" s="1"/>
  <c r="N40" i="54"/>
  <c r="N114" i="48" s="1"/>
  <c r="K22" i="47"/>
  <c r="K67" i="45" s="1"/>
  <c r="C10" i="51"/>
  <c r="C72" i="47"/>
  <c r="C90" i="51" s="1"/>
  <c r="M40" i="54" l="1"/>
  <c r="M114" i="48" s="1"/>
  <c r="N68" i="54"/>
  <c r="N145" i="51" s="1"/>
  <c r="R71" i="47"/>
  <c r="R89" i="51" s="1"/>
  <c r="J22" i="47"/>
  <c r="J67" i="45" s="1"/>
  <c r="M68" i="54" l="1"/>
  <c r="M145" i="51" s="1"/>
  <c r="L40" i="54"/>
  <c r="L114" i="48" s="1"/>
  <c r="I22" i="47"/>
  <c r="I67" i="45" s="1"/>
  <c r="Q71" i="47"/>
  <c r="Q89" i="51" s="1"/>
  <c r="L68" i="54" l="1"/>
  <c r="L145" i="51" s="1"/>
  <c r="K40" i="54"/>
  <c r="K114" i="48" s="1"/>
  <c r="H22" i="47"/>
  <c r="H67" i="45" s="1"/>
  <c r="P71" i="47"/>
  <c r="P89" i="51" s="1"/>
  <c r="K68" i="54" l="1"/>
  <c r="K145" i="51" s="1"/>
  <c r="J40" i="54"/>
  <c r="J114" i="48" s="1"/>
  <c r="O71" i="47"/>
  <c r="O89" i="51" s="1"/>
  <c r="G22" i="47"/>
  <c r="G67" i="45" s="1"/>
  <c r="I40" i="54" l="1"/>
  <c r="I114" i="48" s="1"/>
  <c r="J68" i="54"/>
  <c r="J145" i="51" s="1"/>
  <c r="N71" i="47"/>
  <c r="N89" i="51" s="1"/>
  <c r="F22" i="47"/>
  <c r="F67" i="45" s="1"/>
  <c r="H40" i="54" l="1"/>
  <c r="H114" i="48" s="1"/>
  <c r="I68" i="54"/>
  <c r="I145" i="51" s="1"/>
  <c r="E22" i="47"/>
  <c r="E67" i="45" s="1"/>
  <c r="M71" i="47"/>
  <c r="M89" i="51" s="1"/>
  <c r="H68" i="54" l="1"/>
  <c r="H145" i="51" s="1"/>
  <c r="G40" i="54"/>
  <c r="G114" i="48" s="1"/>
  <c r="L71" i="47"/>
  <c r="L89" i="51" s="1"/>
  <c r="D22" i="47"/>
  <c r="D67" i="45" s="1"/>
  <c r="G68" i="54" l="1"/>
  <c r="G145" i="51" s="1"/>
  <c r="F40" i="54"/>
  <c r="F114" i="48" s="1"/>
  <c r="C3" i="45"/>
  <c r="C22" i="47"/>
  <c r="C67" i="45" s="1"/>
  <c r="K71" i="47"/>
  <c r="K89" i="51" s="1"/>
  <c r="F68" i="54" l="1"/>
  <c r="F145" i="51" s="1"/>
  <c r="E40" i="54"/>
  <c r="E114" i="48" s="1"/>
  <c r="R21" i="47"/>
  <c r="R66" i="45" s="1"/>
  <c r="J71" i="47"/>
  <c r="J89" i="51" s="1"/>
  <c r="E68" i="54" l="1"/>
  <c r="E145" i="51" s="1"/>
  <c r="D40" i="54"/>
  <c r="D114" i="48" s="1"/>
  <c r="Q21" i="47"/>
  <c r="Q66" i="45" s="1"/>
  <c r="I71" i="47"/>
  <c r="I89" i="51" s="1"/>
  <c r="C35" i="48" l="1"/>
  <c r="C40" i="54"/>
  <c r="C114" i="48" s="1"/>
  <c r="D68" i="54"/>
  <c r="D145" i="51" s="1"/>
  <c r="P21" i="47"/>
  <c r="P66" i="45" s="1"/>
  <c r="H71" i="47"/>
  <c r="H89" i="51" s="1"/>
  <c r="C42" i="51" l="1"/>
  <c r="C68" i="54"/>
  <c r="C145" i="51" s="1"/>
  <c r="R39" i="54"/>
  <c r="R113" i="48" s="1"/>
  <c r="G71" i="47"/>
  <c r="G89" i="51" s="1"/>
  <c r="O21" i="47"/>
  <c r="O66" i="45" s="1"/>
  <c r="Q39" i="54" l="1"/>
  <c r="Q113" i="48" s="1"/>
  <c r="R67" i="54"/>
  <c r="R144" i="51" s="1"/>
  <c r="N21" i="47"/>
  <c r="N66" i="45" s="1"/>
  <c r="F71" i="47"/>
  <c r="F89" i="51" s="1"/>
  <c r="P39" i="54" l="1"/>
  <c r="P113" i="48" s="1"/>
  <c r="Q67" i="54"/>
  <c r="Q144" i="51" s="1"/>
  <c r="E71" i="47"/>
  <c r="E89" i="51" s="1"/>
  <c r="M21" i="47"/>
  <c r="M66" i="45" s="1"/>
  <c r="O39" i="54" l="1"/>
  <c r="O113" i="48" s="1"/>
  <c r="P67" i="54"/>
  <c r="P144" i="51" s="1"/>
  <c r="D71" i="47"/>
  <c r="D89" i="51" s="1"/>
  <c r="L21" i="47"/>
  <c r="L66" i="45" s="1"/>
  <c r="N39" i="54" l="1"/>
  <c r="N113" i="48" s="1"/>
  <c r="O67" i="54"/>
  <c r="O144" i="51" s="1"/>
  <c r="C9" i="51"/>
  <c r="C71" i="47"/>
  <c r="C89" i="51" s="1"/>
  <c r="K21" i="47"/>
  <c r="K66" i="45" s="1"/>
  <c r="M39" i="54" l="1"/>
  <c r="M113" i="48" s="1"/>
  <c r="N67" i="54"/>
  <c r="N144" i="51" s="1"/>
  <c r="J21" i="47"/>
  <c r="J66" i="45" s="1"/>
  <c r="R70" i="47"/>
  <c r="R88" i="51" s="1"/>
  <c r="L39" i="54" l="1"/>
  <c r="L113" i="48" s="1"/>
  <c r="M67" i="54"/>
  <c r="M144" i="51" s="1"/>
  <c r="I21" i="47"/>
  <c r="I66" i="45" s="1"/>
  <c r="Q70" i="47"/>
  <c r="Q88" i="51" s="1"/>
  <c r="L67" i="54" l="1"/>
  <c r="L144" i="51" s="1"/>
  <c r="K39" i="54"/>
  <c r="K113" i="48" s="1"/>
  <c r="H21" i="47"/>
  <c r="H66" i="45" s="1"/>
  <c r="P70" i="47"/>
  <c r="P88" i="51" s="1"/>
  <c r="K67" i="54" l="1"/>
  <c r="K144" i="51" s="1"/>
  <c r="O70" i="47"/>
  <c r="O88" i="51" s="1"/>
  <c r="G21" i="47"/>
  <c r="G66" i="45" s="1"/>
  <c r="J67" i="54" l="1"/>
  <c r="J144" i="51" s="1"/>
  <c r="N70" i="47"/>
  <c r="N88" i="51" s="1"/>
  <c r="F21" i="47"/>
  <c r="F66" i="45" s="1"/>
  <c r="I67" i="54" l="1"/>
  <c r="I144" i="51" s="1"/>
  <c r="M70" i="47"/>
  <c r="M88" i="51" s="1"/>
  <c r="E21" i="47"/>
  <c r="E66" i="45" s="1"/>
  <c r="H67" i="54" l="1"/>
  <c r="H144" i="51" s="1"/>
  <c r="D21" i="47"/>
  <c r="D66" i="45" s="1"/>
  <c r="L70" i="47"/>
  <c r="L88" i="51" s="1"/>
  <c r="G67" i="54" l="1"/>
  <c r="G144" i="51" s="1"/>
  <c r="K70" i="47"/>
  <c r="K88" i="51" s="1"/>
  <c r="C2" i="45"/>
  <c r="C21" i="47"/>
  <c r="C66" i="45" s="1"/>
  <c r="F67" i="54" l="1"/>
  <c r="F144" i="51" s="1"/>
  <c r="R20" i="47"/>
  <c r="R65" i="45" s="1"/>
  <c r="J70" i="47"/>
  <c r="J88" i="51" s="1"/>
  <c r="E67" i="54" l="1"/>
  <c r="E144" i="51" s="1"/>
  <c r="I70" i="47"/>
  <c r="I88" i="51" s="1"/>
  <c r="Q20" i="47"/>
  <c r="Q65" i="45" s="1"/>
  <c r="D67" i="54" l="1"/>
  <c r="D144" i="51" s="1"/>
  <c r="C34" i="48"/>
  <c r="P20" i="47"/>
  <c r="P65" i="45" s="1"/>
  <c r="H70" i="47"/>
  <c r="H88" i="51" s="1"/>
  <c r="R38" i="54" l="1"/>
  <c r="R112" i="48" s="1"/>
  <c r="C41" i="51"/>
  <c r="C67" i="54"/>
  <c r="C144" i="51" s="1"/>
  <c r="G70" i="47"/>
  <c r="G88" i="51" s="1"/>
  <c r="O20" i="47"/>
  <c r="O65" i="45" s="1"/>
  <c r="R66" i="54" l="1"/>
  <c r="R143" i="51" s="1"/>
  <c r="Q38" i="54"/>
  <c r="Q112" i="48" s="1"/>
  <c r="N20" i="47"/>
  <c r="N65" i="45" s="1"/>
  <c r="F70" i="47"/>
  <c r="F88" i="51" s="1"/>
  <c r="Q66" i="54" l="1"/>
  <c r="Q143" i="51" s="1"/>
  <c r="P38" i="54"/>
  <c r="P112" i="48" s="1"/>
  <c r="M20" i="47"/>
  <c r="M65" i="45" s="1"/>
  <c r="E70" i="47"/>
  <c r="E88" i="51" s="1"/>
  <c r="P66" i="54" l="1"/>
  <c r="P143" i="51" s="1"/>
  <c r="O38" i="54"/>
  <c r="O112" i="48" s="1"/>
  <c r="D70" i="47"/>
  <c r="D88" i="51" s="1"/>
  <c r="L20" i="47"/>
  <c r="L65" i="45" s="1"/>
  <c r="N38" i="54" l="1"/>
  <c r="N112" i="48" s="1"/>
  <c r="O66" i="54"/>
  <c r="O143" i="51" s="1"/>
  <c r="K20" i="47"/>
  <c r="K65" i="45" s="1"/>
  <c r="C8" i="51"/>
  <c r="C70" i="47"/>
  <c r="C88" i="51" s="1"/>
  <c r="M38" i="54" l="1"/>
  <c r="M112" i="48" s="1"/>
  <c r="N66" i="54"/>
  <c r="N143" i="51" s="1"/>
  <c r="J20" i="47"/>
  <c r="J65" i="45" s="1"/>
  <c r="R69" i="47"/>
  <c r="R87" i="51" s="1"/>
  <c r="L38" i="54" l="1"/>
  <c r="L112" i="48" s="1"/>
  <c r="M66" i="54"/>
  <c r="M143" i="51" s="1"/>
  <c r="Q69" i="47"/>
  <c r="Q87" i="51" s="1"/>
  <c r="I20" i="47"/>
  <c r="I65" i="45" s="1"/>
  <c r="L66" i="54" l="1"/>
  <c r="L143" i="51" s="1"/>
  <c r="K38" i="54"/>
  <c r="K112" i="48" s="1"/>
  <c r="H20" i="47"/>
  <c r="H65" i="45" s="1"/>
  <c r="P69" i="47"/>
  <c r="P87" i="51" s="1"/>
  <c r="K66" i="54" l="1"/>
  <c r="K143" i="51" s="1"/>
  <c r="J38" i="54"/>
  <c r="J112" i="48" s="1"/>
  <c r="O69" i="47"/>
  <c r="O87" i="51" s="1"/>
  <c r="G20" i="47"/>
  <c r="G65" i="45" s="1"/>
  <c r="J66" i="54" l="1"/>
  <c r="J143" i="51" s="1"/>
  <c r="I38" i="54"/>
  <c r="I112" i="48" s="1"/>
  <c r="F20" i="47"/>
  <c r="F65" i="45" s="1"/>
  <c r="N69" i="47"/>
  <c r="N87" i="51" s="1"/>
  <c r="I66" i="54" l="1"/>
  <c r="I143" i="51" s="1"/>
  <c r="H38" i="54"/>
  <c r="H112" i="48" s="1"/>
  <c r="M69" i="47"/>
  <c r="M87" i="51" s="1"/>
  <c r="E20" i="47"/>
  <c r="E65" i="45" s="1"/>
  <c r="H66" i="54" l="1"/>
  <c r="H143" i="51" s="1"/>
  <c r="G38" i="54"/>
  <c r="G112" i="48" s="1"/>
  <c r="L69" i="47"/>
  <c r="L87" i="51" s="1"/>
  <c r="D20" i="47"/>
  <c r="D65" i="45" s="1"/>
  <c r="G66" i="54" l="1"/>
  <c r="G143" i="51" s="1"/>
  <c r="F38" i="54"/>
  <c r="F112" i="48" s="1"/>
  <c r="K69" i="47"/>
  <c r="K87" i="51" s="1"/>
  <c r="C19" i="44"/>
  <c r="C20" i="47"/>
  <c r="C65" i="45" s="1"/>
  <c r="E38" i="54" l="1"/>
  <c r="E112" i="48" s="1"/>
  <c r="F66" i="54"/>
  <c r="F143" i="51" s="1"/>
  <c r="R19" i="47"/>
  <c r="R103" i="44" s="1"/>
  <c r="J69" i="47"/>
  <c r="J87" i="51" s="1"/>
  <c r="D38" i="54" l="1"/>
  <c r="D112" i="48" s="1"/>
  <c r="E66" i="54"/>
  <c r="E143" i="51" s="1"/>
  <c r="I69" i="47"/>
  <c r="I87" i="51" s="1"/>
  <c r="Q19" i="47"/>
  <c r="Q103" i="44" s="1"/>
  <c r="C39" i="46" l="1"/>
  <c r="C38" i="54"/>
  <c r="C112" i="48" s="1"/>
  <c r="D66" i="54"/>
  <c r="D143" i="51" s="1"/>
  <c r="P19" i="47"/>
  <c r="P103" i="44" s="1"/>
  <c r="H69" i="47"/>
  <c r="H87" i="51" s="1"/>
  <c r="C40" i="51" l="1"/>
  <c r="C66" i="54"/>
  <c r="C143" i="51" s="1"/>
  <c r="R37" i="54"/>
  <c r="R131" i="46" s="1"/>
  <c r="O19" i="47"/>
  <c r="O103" i="44" s="1"/>
  <c r="G69" i="47"/>
  <c r="G87" i="51" s="1"/>
  <c r="R65" i="54" l="1"/>
  <c r="R142" i="51" s="1"/>
  <c r="Q37" i="54"/>
  <c r="Q131" i="46" s="1"/>
  <c r="F69" i="47"/>
  <c r="F87" i="51" s="1"/>
  <c r="N19" i="47"/>
  <c r="N103" i="44" s="1"/>
  <c r="P37" i="54" l="1"/>
  <c r="P131" i="46" s="1"/>
  <c r="Q65" i="54"/>
  <c r="Q142" i="51" s="1"/>
  <c r="M19" i="47"/>
  <c r="M103" i="44" s="1"/>
  <c r="E69" i="47"/>
  <c r="E87" i="51" s="1"/>
  <c r="O37" i="54" l="1"/>
  <c r="O131" i="46" s="1"/>
  <c r="P65" i="54"/>
  <c r="P142" i="51" s="1"/>
  <c r="D69" i="47"/>
  <c r="D87" i="51" s="1"/>
  <c r="L19" i="47"/>
  <c r="L103" i="44" s="1"/>
  <c r="N37" i="54" l="1"/>
  <c r="N131" i="46" s="1"/>
  <c r="O65" i="54"/>
  <c r="O142" i="51" s="1"/>
  <c r="C7" i="51"/>
  <c r="C69" i="47"/>
  <c r="C87" i="51" s="1"/>
  <c r="K19" i="47"/>
  <c r="K103" i="44" s="1"/>
  <c r="N65" i="54" l="1"/>
  <c r="N142" i="51" s="1"/>
  <c r="M37" i="54"/>
  <c r="M131" i="46" s="1"/>
  <c r="R68" i="47"/>
  <c r="R86" i="51" s="1"/>
  <c r="J19" i="47"/>
  <c r="J103" i="44" s="1"/>
  <c r="L37" i="54" l="1"/>
  <c r="L131" i="46" s="1"/>
  <c r="M65" i="54"/>
  <c r="M142" i="51" s="1"/>
  <c r="I19" i="47"/>
  <c r="I103" i="44" s="1"/>
  <c r="Q68" i="47"/>
  <c r="Q86" i="51" s="1"/>
  <c r="L65" i="54" l="1"/>
  <c r="L142" i="51" s="1"/>
  <c r="P68" i="47"/>
  <c r="P86" i="51" s="1"/>
  <c r="H19" i="47"/>
  <c r="H103" i="44" s="1"/>
  <c r="K65" i="54" l="1"/>
  <c r="K142" i="51" s="1"/>
  <c r="G19" i="47"/>
  <c r="G103" i="44" s="1"/>
  <c r="O68" i="47"/>
  <c r="O86" i="51" s="1"/>
  <c r="J65" i="54" l="1"/>
  <c r="J142" i="51" s="1"/>
  <c r="F19" i="47"/>
  <c r="F103" i="44" s="1"/>
  <c r="N68" i="47"/>
  <c r="N86" i="51" s="1"/>
  <c r="I65" i="54" l="1"/>
  <c r="I142" i="51" s="1"/>
  <c r="M68" i="47"/>
  <c r="M86" i="51" s="1"/>
  <c r="E19" i="47"/>
  <c r="E103" i="44" s="1"/>
  <c r="H65" i="54" l="1"/>
  <c r="H142" i="51" s="1"/>
  <c r="D19" i="47"/>
  <c r="D103" i="44" s="1"/>
  <c r="L68" i="47"/>
  <c r="L86" i="51" s="1"/>
  <c r="G65" i="54" l="1"/>
  <c r="G142" i="51" s="1"/>
  <c r="C18" i="44"/>
  <c r="C19" i="47"/>
  <c r="C103" i="44" s="1"/>
  <c r="K68" i="47"/>
  <c r="K86" i="51" s="1"/>
  <c r="F65" i="54" l="1"/>
  <c r="F142" i="51" s="1"/>
  <c r="R18" i="47"/>
  <c r="R102" i="44" s="1"/>
  <c r="J68" i="47"/>
  <c r="J86" i="51" s="1"/>
  <c r="E65" i="54" l="1"/>
  <c r="E142" i="51" s="1"/>
  <c r="Q18" i="47"/>
  <c r="Q102" i="44" s="1"/>
  <c r="I68" i="47"/>
  <c r="I86" i="51" s="1"/>
  <c r="D65" i="54" l="1"/>
  <c r="D142" i="51" s="1"/>
  <c r="C38" i="46"/>
  <c r="H68" i="47"/>
  <c r="H86" i="51" s="1"/>
  <c r="P18" i="47"/>
  <c r="P102" i="44" s="1"/>
  <c r="R36" i="54" l="1"/>
  <c r="R130" i="46" s="1"/>
  <c r="C39" i="51"/>
  <c r="C65" i="54"/>
  <c r="C142" i="51" s="1"/>
  <c r="O18" i="47"/>
  <c r="O102" i="44" s="1"/>
  <c r="G68" i="47"/>
  <c r="G86" i="51" s="1"/>
  <c r="Q36" i="54" l="1"/>
  <c r="Q130" i="46" s="1"/>
  <c r="R64" i="54"/>
  <c r="R141" i="51" s="1"/>
  <c r="F68" i="47"/>
  <c r="F86" i="51" s="1"/>
  <c r="N18" i="47"/>
  <c r="N102" i="44" s="1"/>
  <c r="Q64" i="54" l="1"/>
  <c r="Q141" i="51" s="1"/>
  <c r="P36" i="54"/>
  <c r="P130" i="46" s="1"/>
  <c r="M18" i="47"/>
  <c r="M102" i="44" s="1"/>
  <c r="E68" i="47"/>
  <c r="E86" i="51" s="1"/>
  <c r="O36" i="54" l="1"/>
  <c r="O130" i="46" s="1"/>
  <c r="P64" i="54"/>
  <c r="P141" i="51" s="1"/>
  <c r="D68" i="47"/>
  <c r="D86" i="51" s="1"/>
  <c r="L18" i="47"/>
  <c r="L102" i="44" s="1"/>
  <c r="O64" i="54" l="1"/>
  <c r="O141" i="51" s="1"/>
  <c r="N36" i="54"/>
  <c r="N130" i="46" s="1"/>
  <c r="K18" i="47"/>
  <c r="K102" i="44" s="1"/>
  <c r="C6" i="51"/>
  <c r="C68" i="47"/>
  <c r="C86" i="51" s="1"/>
  <c r="M36" i="54" l="1"/>
  <c r="M130" i="46" s="1"/>
  <c r="N64" i="54"/>
  <c r="N141" i="51" s="1"/>
  <c r="R67" i="47"/>
  <c r="R85" i="51" s="1"/>
  <c r="J18" i="47"/>
  <c r="J102" i="44" s="1"/>
  <c r="L36" i="54" l="1"/>
  <c r="L130" i="46" s="1"/>
  <c r="M64" i="54"/>
  <c r="M141" i="51" s="1"/>
  <c r="I18" i="47"/>
  <c r="I102" i="44" s="1"/>
  <c r="Q67" i="47"/>
  <c r="Q85" i="51" s="1"/>
  <c r="K36" i="54" l="1"/>
  <c r="K130" i="46" s="1"/>
  <c r="L64" i="54"/>
  <c r="L141" i="51" s="1"/>
  <c r="P67" i="47"/>
  <c r="P85" i="51" s="1"/>
  <c r="H18" i="47"/>
  <c r="H102" i="44" s="1"/>
  <c r="J36" i="54" l="1"/>
  <c r="J130" i="46" s="1"/>
  <c r="K64" i="54"/>
  <c r="K141" i="51" s="1"/>
  <c r="G18" i="47"/>
  <c r="G102" i="44" s="1"/>
  <c r="O67" i="47"/>
  <c r="O85" i="51" s="1"/>
  <c r="I36" i="54" l="1"/>
  <c r="I130" i="46" s="1"/>
  <c r="J64" i="54"/>
  <c r="J141" i="51" s="1"/>
  <c r="N67" i="47"/>
  <c r="N85" i="51" s="1"/>
  <c r="F18" i="47"/>
  <c r="F102" i="44" s="1"/>
  <c r="I64" i="54" l="1"/>
  <c r="I141" i="51" s="1"/>
  <c r="H36" i="54"/>
  <c r="H130" i="46" s="1"/>
  <c r="M67" i="47"/>
  <c r="M85" i="51" s="1"/>
  <c r="E18" i="47"/>
  <c r="E102" i="44" s="1"/>
  <c r="H64" i="54" l="1"/>
  <c r="H141" i="51" s="1"/>
  <c r="G36" i="54"/>
  <c r="G130" i="46" s="1"/>
  <c r="L67" i="47"/>
  <c r="L85" i="51" s="1"/>
  <c r="D18" i="47"/>
  <c r="D102" i="44" s="1"/>
  <c r="G64" i="54" l="1"/>
  <c r="G141" i="51" s="1"/>
  <c r="F36" i="54"/>
  <c r="F130" i="46" s="1"/>
  <c r="C17" i="44"/>
  <c r="C18" i="47"/>
  <c r="C102" i="44" s="1"/>
  <c r="K67" i="47"/>
  <c r="K85" i="51" s="1"/>
  <c r="E36" i="54" l="1"/>
  <c r="E130" i="46" s="1"/>
  <c r="F64" i="54"/>
  <c r="F141" i="51" s="1"/>
  <c r="J67" i="47"/>
  <c r="J85" i="51" s="1"/>
  <c r="R17" i="47"/>
  <c r="R101" i="44" s="1"/>
  <c r="D36" i="54" l="1"/>
  <c r="D130" i="46" s="1"/>
  <c r="E64" i="54"/>
  <c r="E141" i="51" s="1"/>
  <c r="I67" i="47"/>
  <c r="I85" i="51" s="1"/>
  <c r="Q17" i="47"/>
  <c r="Q101" i="44" s="1"/>
  <c r="D64" i="54" l="1"/>
  <c r="D141" i="51" s="1"/>
  <c r="C37" i="46"/>
  <c r="C36" i="54"/>
  <c r="C130" i="46" s="1"/>
  <c r="H67" i="47"/>
  <c r="H85" i="51" s="1"/>
  <c r="P17" i="47"/>
  <c r="P101" i="44" s="1"/>
  <c r="R35" i="54" l="1"/>
  <c r="R129" i="46" s="1"/>
  <c r="C38" i="51"/>
  <c r="C64" i="54"/>
  <c r="C141" i="51" s="1"/>
  <c r="G67" i="47"/>
  <c r="G85" i="51" s="1"/>
  <c r="O17" i="47"/>
  <c r="O101" i="44" s="1"/>
  <c r="Q35" i="54" l="1"/>
  <c r="Q129" i="46" s="1"/>
  <c r="R63" i="54"/>
  <c r="R140" i="51" s="1"/>
  <c r="F67" i="47"/>
  <c r="F85" i="51" s="1"/>
  <c r="N17" i="47"/>
  <c r="N101" i="44" s="1"/>
  <c r="P35" i="54" l="1"/>
  <c r="P129" i="46" s="1"/>
  <c r="Q63" i="54"/>
  <c r="Q140" i="51" s="1"/>
  <c r="M17" i="47"/>
  <c r="M101" i="44" s="1"/>
  <c r="E67" i="47"/>
  <c r="E85" i="51" s="1"/>
  <c r="O35" i="54" l="1"/>
  <c r="O129" i="46" s="1"/>
  <c r="P63" i="54"/>
  <c r="P140" i="51" s="1"/>
  <c r="D67" i="47"/>
  <c r="D85" i="51" s="1"/>
  <c r="L17" i="47"/>
  <c r="L101" i="44" s="1"/>
  <c r="N35" i="54" l="1"/>
  <c r="N129" i="46" s="1"/>
  <c r="O63" i="54"/>
  <c r="O140" i="51" s="1"/>
  <c r="K17" i="47"/>
  <c r="K101" i="44" s="1"/>
  <c r="C5" i="51"/>
  <c r="C67" i="47"/>
  <c r="C85" i="51" s="1"/>
  <c r="M35" i="54" l="1"/>
  <c r="M129" i="46" s="1"/>
  <c r="N63" i="54"/>
  <c r="N140" i="51" s="1"/>
  <c r="R66" i="47"/>
  <c r="R84" i="51" s="1"/>
  <c r="J17" i="47"/>
  <c r="J101" i="44" s="1"/>
  <c r="M63" i="54" l="1"/>
  <c r="M140" i="51" s="1"/>
  <c r="L35" i="54"/>
  <c r="L129" i="46" s="1"/>
  <c r="Q66" i="47"/>
  <c r="Q84" i="51" s="1"/>
  <c r="I17" i="47"/>
  <c r="I101" i="44" s="1"/>
  <c r="L63" i="54" l="1"/>
  <c r="L140" i="51" s="1"/>
  <c r="K35" i="54"/>
  <c r="K129" i="46" s="1"/>
  <c r="P66" i="47"/>
  <c r="P84" i="51" s="1"/>
  <c r="H17" i="47"/>
  <c r="H101" i="44" s="1"/>
  <c r="K63" i="54" l="1"/>
  <c r="K140" i="51" s="1"/>
  <c r="J35" i="54"/>
  <c r="J129" i="46" s="1"/>
  <c r="G17" i="47"/>
  <c r="G101" i="44" s="1"/>
  <c r="O66" i="47"/>
  <c r="O84" i="51" s="1"/>
  <c r="J63" i="54" l="1"/>
  <c r="J140" i="51" s="1"/>
  <c r="I35" i="54"/>
  <c r="I129" i="46" s="1"/>
  <c r="N66" i="47"/>
  <c r="N84" i="51" s="1"/>
  <c r="F17" i="47"/>
  <c r="F101" i="44" s="1"/>
  <c r="I63" i="54" l="1"/>
  <c r="I140" i="51" s="1"/>
  <c r="H35" i="54"/>
  <c r="H129" i="46" s="1"/>
  <c r="E17" i="47"/>
  <c r="E101" i="44" s="1"/>
  <c r="M66" i="47"/>
  <c r="M84" i="51" s="1"/>
  <c r="H63" i="54" l="1"/>
  <c r="H140" i="51" s="1"/>
  <c r="G35" i="54"/>
  <c r="G129" i="46" s="1"/>
  <c r="L66" i="47"/>
  <c r="L84" i="51" s="1"/>
  <c r="D17" i="47"/>
  <c r="D101" i="44" s="1"/>
  <c r="G63" i="54" l="1"/>
  <c r="G140" i="51" s="1"/>
  <c r="F35" i="54"/>
  <c r="F129" i="46" s="1"/>
  <c r="C16" i="44"/>
  <c r="C17" i="47"/>
  <c r="C101" i="44" s="1"/>
  <c r="K66" i="47"/>
  <c r="K84" i="51" s="1"/>
  <c r="F63" i="54" l="1"/>
  <c r="F140" i="51" s="1"/>
  <c r="E35" i="54"/>
  <c r="E129" i="46" s="1"/>
  <c r="R16" i="47"/>
  <c r="R100" i="44" s="1"/>
  <c r="J66" i="47"/>
  <c r="J84" i="51" s="1"/>
  <c r="E63" i="54" l="1"/>
  <c r="E140" i="51" s="1"/>
  <c r="D35" i="54"/>
  <c r="D129" i="46" s="1"/>
  <c r="Q16" i="47"/>
  <c r="Q100" i="44" s="1"/>
  <c r="I66" i="47"/>
  <c r="I84" i="51" s="1"/>
  <c r="D63" i="54" l="1"/>
  <c r="D140" i="51" s="1"/>
  <c r="C36" i="46"/>
  <c r="C35" i="54"/>
  <c r="C129" i="46" s="1"/>
  <c r="P16" i="47"/>
  <c r="P100" i="44" s="1"/>
  <c r="H66" i="47"/>
  <c r="H84" i="51" s="1"/>
  <c r="C38" i="50" l="1"/>
  <c r="C63" i="54"/>
  <c r="C140" i="51" s="1"/>
  <c r="R34" i="54"/>
  <c r="R128" i="46" s="1"/>
  <c r="O16" i="47"/>
  <c r="O100" i="44" s="1"/>
  <c r="G66" i="47"/>
  <c r="G84" i="51" s="1"/>
  <c r="R62" i="54" l="1"/>
  <c r="R120" i="50" s="1"/>
  <c r="Q34" i="54"/>
  <c r="Q128" i="46" s="1"/>
  <c r="N16" i="47"/>
  <c r="N100" i="44" s="1"/>
  <c r="F66" i="47"/>
  <c r="F84" i="51" s="1"/>
  <c r="P34" i="54" l="1"/>
  <c r="P128" i="46" s="1"/>
  <c r="Q62" i="54"/>
  <c r="Q120" i="50" s="1"/>
  <c r="M16" i="47"/>
  <c r="M100" i="44" s="1"/>
  <c r="E66" i="47"/>
  <c r="E84" i="51" s="1"/>
  <c r="P62" i="54" l="1"/>
  <c r="P120" i="50" s="1"/>
  <c r="O34" i="54"/>
  <c r="O128" i="46" s="1"/>
  <c r="D66" i="47"/>
  <c r="D84" i="51" s="1"/>
  <c r="L16" i="47"/>
  <c r="L100" i="44" s="1"/>
  <c r="O62" i="54" l="1"/>
  <c r="O120" i="50" s="1"/>
  <c r="N34" i="54"/>
  <c r="N128" i="46" s="1"/>
  <c r="K16" i="47"/>
  <c r="K100" i="44" s="1"/>
  <c r="C4" i="51"/>
  <c r="C66" i="47"/>
  <c r="C84" i="51" s="1"/>
  <c r="N62" i="54" l="1"/>
  <c r="N120" i="50" s="1"/>
  <c r="M34" i="54"/>
  <c r="M128" i="46" s="1"/>
  <c r="J16" i="47"/>
  <c r="J100" i="44" s="1"/>
  <c r="R65" i="47"/>
  <c r="R83" i="51" s="1"/>
  <c r="L34" i="54" l="1"/>
  <c r="L128" i="46" s="1"/>
  <c r="M62" i="54"/>
  <c r="M120" i="50" s="1"/>
  <c r="I16" i="47"/>
  <c r="I100" i="44" s="1"/>
  <c r="Q65" i="47"/>
  <c r="Q83" i="51" s="1"/>
  <c r="L62" i="54" l="1"/>
  <c r="L120" i="50" s="1"/>
  <c r="K34" i="54"/>
  <c r="K128" i="46" s="1"/>
  <c r="H16" i="47"/>
  <c r="H100" i="44" s="1"/>
  <c r="P65" i="47"/>
  <c r="P83" i="51" s="1"/>
  <c r="J34" i="54" l="1"/>
  <c r="J128" i="46" s="1"/>
  <c r="K62" i="54"/>
  <c r="K120" i="50" s="1"/>
  <c r="G16" i="47"/>
  <c r="G100" i="44" s="1"/>
  <c r="O65" i="47"/>
  <c r="O83" i="51" s="1"/>
  <c r="J62" i="54" l="1"/>
  <c r="J120" i="50" s="1"/>
  <c r="I34" i="54"/>
  <c r="I128" i="46" s="1"/>
  <c r="F16" i="47"/>
  <c r="F100" i="44" s="1"/>
  <c r="N65" i="47"/>
  <c r="N83" i="51" s="1"/>
  <c r="I62" i="54" l="1"/>
  <c r="I120" i="50" s="1"/>
  <c r="H34" i="54"/>
  <c r="H128" i="46" s="1"/>
  <c r="E16" i="47"/>
  <c r="E100" i="44" s="1"/>
  <c r="M65" i="47"/>
  <c r="M83" i="51" s="1"/>
  <c r="H62" i="54" l="1"/>
  <c r="H120" i="50" s="1"/>
  <c r="G34" i="54"/>
  <c r="G128" i="46" s="1"/>
  <c r="D16" i="47"/>
  <c r="D100" i="44" s="1"/>
  <c r="L65" i="47"/>
  <c r="L83" i="51" s="1"/>
  <c r="G62" i="54" l="1"/>
  <c r="G120" i="50" s="1"/>
  <c r="F34" i="54"/>
  <c r="F128" i="46" s="1"/>
  <c r="K65" i="47"/>
  <c r="K83" i="51" s="1"/>
  <c r="C15" i="44"/>
  <c r="C16" i="47"/>
  <c r="C100" i="44" s="1"/>
  <c r="E34" i="54" l="1"/>
  <c r="E128" i="46" s="1"/>
  <c r="F62" i="54"/>
  <c r="F120" i="50" s="1"/>
  <c r="R15" i="47"/>
  <c r="R99" i="44" s="1"/>
  <c r="J65" i="47"/>
  <c r="J83" i="51" s="1"/>
  <c r="D34" i="54" l="1"/>
  <c r="D128" i="46" s="1"/>
  <c r="E62" i="54"/>
  <c r="E120" i="50" s="1"/>
  <c r="I65" i="47"/>
  <c r="I83" i="51" s="1"/>
  <c r="Q15" i="47"/>
  <c r="Q99" i="44" s="1"/>
  <c r="C35" i="46" l="1"/>
  <c r="C34" i="54"/>
  <c r="C128" i="46" s="1"/>
  <c r="D62" i="54"/>
  <c r="D120" i="50" s="1"/>
  <c r="H65" i="47"/>
  <c r="H83" i="51" s="1"/>
  <c r="P15" i="47"/>
  <c r="P99" i="44" s="1"/>
  <c r="C37" i="50" l="1"/>
  <c r="C62" i="54"/>
  <c r="C120" i="50" s="1"/>
  <c r="R33" i="54"/>
  <c r="R127" i="46" s="1"/>
  <c r="O15" i="47"/>
  <c r="O99" i="44" s="1"/>
  <c r="G65" i="47"/>
  <c r="G83" i="51" s="1"/>
  <c r="R61" i="54" l="1"/>
  <c r="R119" i="50" s="1"/>
  <c r="Q33" i="54"/>
  <c r="Q127" i="46" s="1"/>
  <c r="F65" i="47"/>
  <c r="F83" i="51" s="1"/>
  <c r="N15" i="47"/>
  <c r="N99" i="44" s="1"/>
  <c r="Q61" i="54" l="1"/>
  <c r="Q119" i="50" s="1"/>
  <c r="P33" i="54"/>
  <c r="P127" i="46" s="1"/>
  <c r="M15" i="47"/>
  <c r="M99" i="44" s="1"/>
  <c r="E65" i="47"/>
  <c r="E83" i="51" s="1"/>
  <c r="O33" i="54" l="1"/>
  <c r="O127" i="46" s="1"/>
  <c r="P61" i="54"/>
  <c r="P119" i="50" s="1"/>
  <c r="L15" i="47"/>
  <c r="L99" i="44" s="1"/>
  <c r="D65" i="47"/>
  <c r="D83" i="51" s="1"/>
  <c r="O61" i="54" l="1"/>
  <c r="O119" i="50" s="1"/>
  <c r="N33" i="54"/>
  <c r="N127" i="46" s="1"/>
  <c r="C3" i="51"/>
  <c r="C65" i="47"/>
  <c r="C83" i="51" s="1"/>
  <c r="K15" i="47"/>
  <c r="K99" i="44" s="1"/>
  <c r="N61" i="54" l="1"/>
  <c r="N119" i="50" s="1"/>
  <c r="M33" i="54"/>
  <c r="M127" i="46" s="1"/>
  <c r="J15" i="47"/>
  <c r="J99" i="44" s="1"/>
  <c r="R64" i="47"/>
  <c r="R82" i="51" s="1"/>
  <c r="L33" i="54" l="1"/>
  <c r="L127" i="46" s="1"/>
  <c r="M61" i="54"/>
  <c r="M119" i="50" s="1"/>
  <c r="I15" i="47"/>
  <c r="I99" i="44" s="1"/>
  <c r="Q64" i="47"/>
  <c r="Q82" i="51" s="1"/>
  <c r="K33" i="54" l="1"/>
  <c r="K127" i="46" s="1"/>
  <c r="L61" i="54"/>
  <c r="L119" i="50" s="1"/>
  <c r="H15" i="47"/>
  <c r="H99" i="44" s="1"/>
  <c r="P64" i="47"/>
  <c r="P82" i="51" s="1"/>
  <c r="J33" i="54" l="1"/>
  <c r="J127" i="46" s="1"/>
  <c r="K61" i="54"/>
  <c r="K119" i="50" s="1"/>
  <c r="O64" i="47"/>
  <c r="O82" i="51" s="1"/>
  <c r="G15" i="47"/>
  <c r="G99" i="44" s="1"/>
  <c r="I33" i="54" l="1"/>
  <c r="I127" i="46" s="1"/>
  <c r="J61" i="54"/>
  <c r="J119" i="50" s="1"/>
  <c r="F15" i="47"/>
  <c r="F99" i="44" s="1"/>
  <c r="N64" i="47"/>
  <c r="N82" i="51" s="1"/>
  <c r="I61" i="54" l="1"/>
  <c r="I119" i="50" s="1"/>
  <c r="H33" i="54"/>
  <c r="H127" i="46" s="1"/>
  <c r="E15" i="47"/>
  <c r="E99" i="44" s="1"/>
  <c r="M64" i="47"/>
  <c r="M82" i="51" s="1"/>
  <c r="G33" i="54" l="1"/>
  <c r="G127" i="46" s="1"/>
  <c r="H61" i="54"/>
  <c r="H119" i="50" s="1"/>
  <c r="L64" i="47"/>
  <c r="L82" i="51" s="1"/>
  <c r="D15" i="47"/>
  <c r="D99" i="44" s="1"/>
  <c r="F33" i="54" l="1"/>
  <c r="F127" i="46" s="1"/>
  <c r="G61" i="54"/>
  <c r="G119" i="50" s="1"/>
  <c r="K64" i="47"/>
  <c r="K82" i="51" s="1"/>
  <c r="C14" i="44"/>
  <c r="C15" i="47"/>
  <c r="C99" i="44" s="1"/>
  <c r="F61" i="54" l="1"/>
  <c r="F119" i="50" s="1"/>
  <c r="E33" i="54"/>
  <c r="E127" i="46" s="1"/>
  <c r="J64" i="47"/>
  <c r="J82" i="51" s="1"/>
  <c r="R14" i="47"/>
  <c r="R98" i="44" s="1"/>
  <c r="E61" i="54" l="1"/>
  <c r="E119" i="50" s="1"/>
  <c r="D33" i="54"/>
  <c r="D127" i="46" s="1"/>
  <c r="Q14" i="47"/>
  <c r="Q98" i="44" s="1"/>
  <c r="I64" i="47"/>
  <c r="I82" i="51" s="1"/>
  <c r="D61" i="54" l="1"/>
  <c r="D119" i="50" s="1"/>
  <c r="C34" i="46"/>
  <c r="C33" i="54"/>
  <c r="C127" i="46" s="1"/>
  <c r="H64" i="47"/>
  <c r="H82" i="51" s="1"/>
  <c r="P14" i="47"/>
  <c r="P98" i="44" s="1"/>
  <c r="R32" i="54" l="1"/>
  <c r="R126" i="46" s="1"/>
  <c r="C36" i="50"/>
  <c r="C61" i="54"/>
  <c r="C119" i="50" s="1"/>
  <c r="O14" i="47"/>
  <c r="O98" i="44" s="1"/>
  <c r="G64" i="47"/>
  <c r="G82" i="51" s="1"/>
  <c r="Q32" i="54" l="1"/>
  <c r="Q126" i="46" s="1"/>
  <c r="R60" i="54"/>
  <c r="R118" i="50" s="1"/>
  <c r="N14" i="47"/>
  <c r="N98" i="44" s="1"/>
  <c r="F64" i="47"/>
  <c r="F82" i="51" s="1"/>
  <c r="Q60" i="54" l="1"/>
  <c r="Q118" i="50" s="1"/>
  <c r="P32" i="54"/>
  <c r="P126" i="46" s="1"/>
  <c r="E64" i="47"/>
  <c r="E82" i="51" s="1"/>
  <c r="M14" i="47"/>
  <c r="M98" i="44" s="1"/>
  <c r="O32" i="54" l="1"/>
  <c r="O126" i="46" s="1"/>
  <c r="P60" i="54"/>
  <c r="P118" i="50" s="1"/>
  <c r="D64" i="47"/>
  <c r="D82" i="51" s="1"/>
  <c r="L14" i="47"/>
  <c r="L98" i="44" s="1"/>
  <c r="O60" i="54" l="1"/>
  <c r="O118" i="50" s="1"/>
  <c r="N32" i="54"/>
  <c r="N126" i="46" s="1"/>
  <c r="K14" i="47"/>
  <c r="K98" i="44" s="1"/>
  <c r="C2" i="51"/>
  <c r="C64" i="47"/>
  <c r="C82" i="51" s="1"/>
  <c r="M32" i="54" l="1"/>
  <c r="M126" i="46" s="1"/>
  <c r="N60" i="54"/>
  <c r="N118" i="50" s="1"/>
  <c r="J14" i="47"/>
  <c r="J98" i="44" s="1"/>
  <c r="R63" i="47"/>
  <c r="R81" i="51" s="1"/>
  <c r="M60" i="54" l="1"/>
  <c r="M118" i="50" s="1"/>
  <c r="L32" i="54"/>
  <c r="L126" i="46" s="1"/>
  <c r="Q63" i="47"/>
  <c r="Q81" i="51" s="1"/>
  <c r="I14" i="47"/>
  <c r="I98" i="44" s="1"/>
  <c r="L60" i="54" l="1"/>
  <c r="L118" i="50" s="1"/>
  <c r="P63" i="47"/>
  <c r="P81" i="51" s="1"/>
  <c r="H14" i="47"/>
  <c r="H98" i="44" s="1"/>
  <c r="K60" i="54" l="1"/>
  <c r="K118" i="50" s="1"/>
  <c r="O63" i="47"/>
  <c r="O81" i="51" s="1"/>
  <c r="G14" i="47"/>
  <c r="G98" i="44" s="1"/>
  <c r="J60" i="54" l="1"/>
  <c r="J118" i="50" s="1"/>
  <c r="N63" i="47"/>
  <c r="N81" i="51" s="1"/>
  <c r="F14" i="47"/>
  <c r="F98" i="44" s="1"/>
  <c r="I60" i="54" l="1"/>
  <c r="I118" i="50" s="1"/>
  <c r="M63" i="47"/>
  <c r="M81" i="51" s="1"/>
  <c r="E14" i="47"/>
  <c r="E98" i="44" s="1"/>
  <c r="H60" i="54" l="1"/>
  <c r="H118" i="50" s="1"/>
  <c r="D14" i="47"/>
  <c r="D98" i="44" s="1"/>
  <c r="L63" i="47"/>
  <c r="L81" i="51" s="1"/>
  <c r="G60" i="54" l="1"/>
  <c r="G118" i="50" s="1"/>
  <c r="K63" i="47"/>
  <c r="K81" i="51" s="1"/>
  <c r="C13" i="44"/>
  <c r="C14" i="47"/>
  <c r="C98" i="44" s="1"/>
  <c r="F60" i="54" l="1"/>
  <c r="F118" i="50" s="1"/>
  <c r="J63" i="47"/>
  <c r="J81" i="51" s="1"/>
  <c r="R13" i="47"/>
  <c r="R97" i="44" s="1"/>
  <c r="E60" i="54" l="1"/>
  <c r="E118" i="50" s="1"/>
  <c r="Q13" i="47"/>
  <c r="Q97" i="44" s="1"/>
  <c r="I63" i="47"/>
  <c r="I81" i="51" s="1"/>
  <c r="C33" i="46" l="1"/>
  <c r="D60" i="54"/>
  <c r="D118" i="50" s="1"/>
  <c r="H63" i="47"/>
  <c r="H81" i="51" s="1"/>
  <c r="P13" i="47"/>
  <c r="P97" i="44" s="1"/>
  <c r="R31" i="54" l="1"/>
  <c r="R125" i="46" s="1"/>
  <c r="C35" i="50"/>
  <c r="C60" i="54"/>
  <c r="C118" i="50" s="1"/>
  <c r="O13" i="47"/>
  <c r="O97" i="44" s="1"/>
  <c r="G63" i="47"/>
  <c r="G81" i="51" s="1"/>
  <c r="Q31" i="54" l="1"/>
  <c r="Q125" i="46" s="1"/>
  <c r="R59" i="54"/>
  <c r="R117" i="50" s="1"/>
  <c r="F63" i="47"/>
  <c r="F81" i="51" s="1"/>
  <c r="N13" i="47"/>
  <c r="N97" i="44" s="1"/>
  <c r="P31" i="54" l="1"/>
  <c r="P125" i="46" s="1"/>
  <c r="Q59" i="54"/>
  <c r="Q117" i="50" s="1"/>
  <c r="M13" i="47"/>
  <c r="M97" i="44" s="1"/>
  <c r="E63" i="47"/>
  <c r="E81" i="51" s="1"/>
  <c r="O31" i="54" l="1"/>
  <c r="O125" i="46" s="1"/>
  <c r="P59" i="54"/>
  <c r="P117" i="50" s="1"/>
  <c r="D63" i="47"/>
  <c r="D81" i="51" s="1"/>
  <c r="L13" i="47"/>
  <c r="L97" i="44" s="1"/>
  <c r="N31" i="54" l="1"/>
  <c r="N125" i="46" s="1"/>
  <c r="O59" i="54"/>
  <c r="O117" i="50" s="1"/>
  <c r="K13" i="47"/>
  <c r="K97" i="44" s="1"/>
  <c r="C5" i="50"/>
  <c r="C63" i="47"/>
  <c r="C81" i="51" s="1"/>
  <c r="N59" i="54" l="1"/>
  <c r="N117" i="50" s="1"/>
  <c r="M31" i="54"/>
  <c r="M125" i="46" s="1"/>
  <c r="R62" i="47"/>
  <c r="R79" i="50" s="1"/>
  <c r="J13" i="47"/>
  <c r="J97" i="44" s="1"/>
  <c r="L31" i="54" l="1"/>
  <c r="L125" i="46" s="1"/>
  <c r="M59" i="54"/>
  <c r="M117" i="50" s="1"/>
  <c r="I13" i="47"/>
  <c r="I97" i="44" s="1"/>
  <c r="Q62" i="47"/>
  <c r="Q79" i="50" s="1"/>
  <c r="K31" i="54" l="1"/>
  <c r="K125" i="46" s="1"/>
  <c r="L59" i="54"/>
  <c r="L117" i="50" s="1"/>
  <c r="H13" i="47"/>
  <c r="H97" i="44" s="1"/>
  <c r="P62" i="47"/>
  <c r="P79" i="50" s="1"/>
  <c r="J31" i="54" l="1"/>
  <c r="J125" i="46" s="1"/>
  <c r="K59" i="54"/>
  <c r="K117" i="50" s="1"/>
  <c r="G13" i="47"/>
  <c r="G97" i="44" s="1"/>
  <c r="O62" i="47"/>
  <c r="O79" i="50" s="1"/>
  <c r="J59" i="54" l="1"/>
  <c r="J117" i="50" s="1"/>
  <c r="I31" i="54"/>
  <c r="I125" i="46" s="1"/>
  <c r="N62" i="47"/>
  <c r="N79" i="50" s="1"/>
  <c r="F13" i="47"/>
  <c r="F97" i="44" s="1"/>
  <c r="I59" i="54" l="1"/>
  <c r="I117" i="50" s="1"/>
  <c r="H31" i="54"/>
  <c r="H125" i="46" s="1"/>
  <c r="E13" i="47"/>
  <c r="E97" i="44" s="1"/>
  <c r="M62" i="47"/>
  <c r="M79" i="50" s="1"/>
  <c r="H59" i="54" l="1"/>
  <c r="H117" i="50" s="1"/>
  <c r="G31" i="54"/>
  <c r="G125" i="46" s="1"/>
  <c r="L62" i="47"/>
  <c r="L79" i="50" s="1"/>
  <c r="D13" i="47"/>
  <c r="D97" i="44" s="1"/>
  <c r="G59" i="54" l="1"/>
  <c r="G117" i="50" s="1"/>
  <c r="F31" i="54"/>
  <c r="F125" i="46" s="1"/>
  <c r="C12" i="44"/>
  <c r="C13" i="47"/>
  <c r="C97" i="44" s="1"/>
  <c r="K62" i="47"/>
  <c r="K79" i="50" s="1"/>
  <c r="E31" i="54" l="1"/>
  <c r="E125" i="46" s="1"/>
  <c r="F59" i="54"/>
  <c r="F117" i="50" s="1"/>
  <c r="J62" i="47"/>
  <c r="J79" i="50" s="1"/>
  <c r="R12" i="47"/>
  <c r="R96" i="44" s="1"/>
  <c r="D31" i="54" l="1"/>
  <c r="D125" i="46" s="1"/>
  <c r="E59" i="54"/>
  <c r="E117" i="50" s="1"/>
  <c r="I62" i="47"/>
  <c r="I79" i="50" s="1"/>
  <c r="Q12" i="47"/>
  <c r="Q96" i="44" s="1"/>
  <c r="D59" i="54" l="1"/>
  <c r="D117" i="50" s="1"/>
  <c r="C32" i="46"/>
  <c r="C31" i="54"/>
  <c r="C125" i="46" s="1"/>
  <c r="P12" i="47"/>
  <c r="P96" i="44" s="1"/>
  <c r="H62" i="47"/>
  <c r="H79" i="50" s="1"/>
  <c r="R30" i="54" l="1"/>
  <c r="R124" i="46" s="1"/>
  <c r="C47" i="49"/>
  <c r="C59" i="54"/>
  <c r="C117" i="50" s="1"/>
  <c r="G62" i="47"/>
  <c r="G79" i="50" s="1"/>
  <c r="O12" i="47"/>
  <c r="O96" i="44" s="1"/>
  <c r="Q30" i="54" l="1"/>
  <c r="Q124" i="46" s="1"/>
  <c r="R58" i="54"/>
  <c r="R146" i="49" s="1"/>
  <c r="N12" i="47"/>
  <c r="N96" i="44" s="1"/>
  <c r="F62" i="47"/>
  <c r="F79" i="50" s="1"/>
  <c r="Q58" i="54" l="1"/>
  <c r="Q146" i="49" s="1"/>
  <c r="P30" i="54"/>
  <c r="P124" i="46" s="1"/>
  <c r="M12" i="47"/>
  <c r="M96" i="44" s="1"/>
  <c r="E62" i="47"/>
  <c r="E79" i="50" s="1"/>
  <c r="P58" i="54" l="1"/>
  <c r="P146" i="49" s="1"/>
  <c r="O30" i="54"/>
  <c r="O124" i="46" s="1"/>
  <c r="D62" i="47"/>
  <c r="D79" i="50" s="1"/>
  <c r="L12" i="47"/>
  <c r="L96" i="44" s="1"/>
  <c r="O58" i="54" l="1"/>
  <c r="O146" i="49" s="1"/>
  <c r="N30" i="54"/>
  <c r="N124" i="46" s="1"/>
  <c r="C4" i="50"/>
  <c r="C62" i="47"/>
  <c r="C79" i="50" s="1"/>
  <c r="K12" i="47"/>
  <c r="K96" i="44" s="1"/>
  <c r="M30" i="54" l="1"/>
  <c r="M124" i="46" s="1"/>
  <c r="N58" i="54"/>
  <c r="N146" i="49" s="1"/>
  <c r="J12" i="47"/>
  <c r="J96" i="44" s="1"/>
  <c r="R61" i="47"/>
  <c r="R78" i="50" s="1"/>
  <c r="M58" i="54" l="1"/>
  <c r="M146" i="49" s="1"/>
  <c r="L30" i="54"/>
  <c r="L124" i="46" s="1"/>
  <c r="I12" i="47"/>
  <c r="I96" i="44" s="1"/>
  <c r="Q61" i="47"/>
  <c r="Q78" i="50" s="1"/>
  <c r="L58" i="54" l="1"/>
  <c r="L146" i="49" s="1"/>
  <c r="K30" i="54"/>
  <c r="K124" i="46" s="1"/>
  <c r="P61" i="47"/>
  <c r="P78" i="50" s="1"/>
  <c r="H12" i="47"/>
  <c r="H96" i="44" s="1"/>
  <c r="K58" i="54" l="1"/>
  <c r="K146" i="49" s="1"/>
  <c r="J30" i="54"/>
  <c r="J124" i="46" s="1"/>
  <c r="O61" i="47"/>
  <c r="O78" i="50" s="1"/>
  <c r="G12" i="47"/>
  <c r="G96" i="44" s="1"/>
  <c r="J58" i="54" l="1"/>
  <c r="J146" i="49" s="1"/>
  <c r="I30" i="54"/>
  <c r="I124" i="46" s="1"/>
  <c r="N61" i="47"/>
  <c r="N78" i="50" s="1"/>
  <c r="F12" i="47"/>
  <c r="F96" i="44" s="1"/>
  <c r="H30" i="54" l="1"/>
  <c r="H124" i="46" s="1"/>
  <c r="I58" i="54"/>
  <c r="I146" i="49" s="1"/>
  <c r="E12" i="47"/>
  <c r="E96" i="44" s="1"/>
  <c r="M61" i="47"/>
  <c r="M78" i="50" s="1"/>
  <c r="H58" i="54" l="1"/>
  <c r="H146" i="49" s="1"/>
  <c r="G30" i="54"/>
  <c r="G124" i="46" s="1"/>
  <c r="D12" i="47"/>
  <c r="D96" i="44" s="1"/>
  <c r="L61" i="47"/>
  <c r="L78" i="50" s="1"/>
  <c r="G58" i="54" l="1"/>
  <c r="G146" i="49" s="1"/>
  <c r="F30" i="54"/>
  <c r="F124" i="46" s="1"/>
  <c r="C11" i="44"/>
  <c r="C12" i="47"/>
  <c r="C96" i="44" s="1"/>
  <c r="K61" i="47"/>
  <c r="K78" i="50" s="1"/>
  <c r="F58" i="54" l="1"/>
  <c r="F146" i="49" s="1"/>
  <c r="E30" i="54"/>
  <c r="E124" i="46" s="1"/>
  <c r="J61" i="47"/>
  <c r="J78" i="50" s="1"/>
  <c r="R11" i="47"/>
  <c r="R95" i="44" s="1"/>
  <c r="D30" i="54" l="1"/>
  <c r="D124" i="46" s="1"/>
  <c r="E58" i="54"/>
  <c r="E146" i="49" s="1"/>
  <c r="Q11" i="47"/>
  <c r="Q95" i="44" s="1"/>
  <c r="I61" i="47"/>
  <c r="I78" i="50" s="1"/>
  <c r="C35" i="45" l="1"/>
  <c r="C30" i="54"/>
  <c r="C124" i="46" s="1"/>
  <c r="D58" i="54"/>
  <c r="D146" i="49" s="1"/>
  <c r="H61" i="47"/>
  <c r="H78" i="50" s="1"/>
  <c r="P11" i="47"/>
  <c r="P95" i="44" s="1"/>
  <c r="C46" i="49" l="1"/>
  <c r="C58" i="54"/>
  <c r="C146" i="49" s="1"/>
  <c r="R29" i="54"/>
  <c r="R127" i="45" s="1"/>
  <c r="O11" i="47"/>
  <c r="O95" i="44" s="1"/>
  <c r="G61" i="47"/>
  <c r="G78" i="50" s="1"/>
  <c r="Q29" i="54" l="1"/>
  <c r="Q127" i="45" s="1"/>
  <c r="R57" i="54"/>
  <c r="R145" i="49" s="1"/>
  <c r="F61" i="47"/>
  <c r="F78" i="50" s="1"/>
  <c r="N11" i="47"/>
  <c r="N95" i="44" s="1"/>
  <c r="Q57" i="54" l="1"/>
  <c r="Q145" i="49" s="1"/>
  <c r="P29" i="54"/>
  <c r="P127" i="45" s="1"/>
  <c r="M11" i="47"/>
  <c r="M95" i="44" s="1"/>
  <c r="E61" i="47"/>
  <c r="E78" i="50" s="1"/>
  <c r="P57" i="54" l="1"/>
  <c r="P145" i="49" s="1"/>
  <c r="O29" i="54"/>
  <c r="O127" i="45" s="1"/>
  <c r="D61" i="47"/>
  <c r="D78" i="50" s="1"/>
  <c r="L11" i="47"/>
  <c r="L95" i="44" s="1"/>
  <c r="O57" i="54" l="1"/>
  <c r="O145" i="49" s="1"/>
  <c r="N29" i="54"/>
  <c r="N127" i="45" s="1"/>
  <c r="K11" i="47"/>
  <c r="K95" i="44" s="1"/>
  <c r="C3" i="50"/>
  <c r="C61" i="47"/>
  <c r="C78" i="50" s="1"/>
  <c r="M29" i="54" l="1"/>
  <c r="M127" i="45" s="1"/>
  <c r="N57" i="54"/>
  <c r="N145" i="49" s="1"/>
  <c r="R60" i="47"/>
  <c r="R77" i="50" s="1"/>
  <c r="J11" i="47"/>
  <c r="J95" i="44" s="1"/>
  <c r="L29" i="54" l="1"/>
  <c r="L127" i="45" s="1"/>
  <c r="M57" i="54"/>
  <c r="M145" i="49" s="1"/>
  <c r="I11" i="47"/>
  <c r="I95" i="44" s="1"/>
  <c r="Q60" i="47"/>
  <c r="Q77" i="50" s="1"/>
  <c r="K29" i="54" l="1"/>
  <c r="K127" i="45" s="1"/>
  <c r="L57" i="54"/>
  <c r="L145" i="49" s="1"/>
  <c r="P60" i="47"/>
  <c r="P77" i="50" s="1"/>
  <c r="H11" i="47"/>
  <c r="H95" i="44" s="1"/>
  <c r="J29" i="54" l="1"/>
  <c r="J127" i="45" s="1"/>
  <c r="K57" i="54"/>
  <c r="K145" i="49" s="1"/>
  <c r="O60" i="47"/>
  <c r="O77" i="50" s="1"/>
  <c r="G11" i="47"/>
  <c r="G95" i="44" s="1"/>
  <c r="I29" i="54" l="1"/>
  <c r="I127" i="45" s="1"/>
  <c r="J57" i="54"/>
  <c r="J145" i="49" s="1"/>
  <c r="N60" i="47"/>
  <c r="N77" i="50" s="1"/>
  <c r="F11" i="47"/>
  <c r="F95" i="44" s="1"/>
  <c r="I57" i="54" l="1"/>
  <c r="I145" i="49" s="1"/>
  <c r="H29" i="54"/>
  <c r="H127" i="45" s="1"/>
  <c r="E11" i="47"/>
  <c r="E95" i="44" s="1"/>
  <c r="M60" i="47"/>
  <c r="M77" i="50" s="1"/>
  <c r="H57" i="54" l="1"/>
  <c r="H145" i="49" s="1"/>
  <c r="G29" i="54"/>
  <c r="G127" i="45" s="1"/>
  <c r="D11" i="47"/>
  <c r="D95" i="44" s="1"/>
  <c r="L60" i="47"/>
  <c r="L77" i="50" s="1"/>
  <c r="G57" i="54" l="1"/>
  <c r="G145" i="49" s="1"/>
  <c r="F29" i="54"/>
  <c r="F127" i="45" s="1"/>
  <c r="C10" i="44"/>
  <c r="C11" i="47"/>
  <c r="C95" i="44" s="1"/>
  <c r="K60" i="47"/>
  <c r="K77" i="50" s="1"/>
  <c r="F57" i="54" l="1"/>
  <c r="F145" i="49" s="1"/>
  <c r="E29" i="54"/>
  <c r="E127" i="45" s="1"/>
  <c r="J60" i="47"/>
  <c r="J77" i="50" s="1"/>
  <c r="R10" i="47"/>
  <c r="R94" i="44" s="1"/>
  <c r="E57" i="54" l="1"/>
  <c r="E145" i="49" s="1"/>
  <c r="D29" i="54"/>
  <c r="D127" i="45" s="1"/>
  <c r="I60" i="47"/>
  <c r="I77" i="50" s="1"/>
  <c r="Q10" i="47"/>
  <c r="Q94" i="44" s="1"/>
  <c r="C34" i="45" l="1"/>
  <c r="C29" i="54"/>
  <c r="C127" i="45" s="1"/>
  <c r="D57" i="54"/>
  <c r="D145" i="49" s="1"/>
  <c r="H60" i="47"/>
  <c r="H77" i="50" s="1"/>
  <c r="P10" i="47"/>
  <c r="P94" i="44" s="1"/>
  <c r="R28" i="54" l="1"/>
  <c r="R126" i="45" s="1"/>
  <c r="C45" i="49"/>
  <c r="C57" i="54"/>
  <c r="C145" i="49" s="1"/>
  <c r="G60" i="47"/>
  <c r="G77" i="50" s="1"/>
  <c r="O10" i="47"/>
  <c r="O94" i="44" s="1"/>
  <c r="R56" i="54" l="1"/>
  <c r="R144" i="49" s="1"/>
  <c r="Q28" i="54"/>
  <c r="Q126" i="45" s="1"/>
  <c r="F60" i="47"/>
  <c r="F77" i="50" s="1"/>
  <c r="N10" i="47"/>
  <c r="N94" i="44" s="1"/>
  <c r="Q56" i="54" l="1"/>
  <c r="Q144" i="49" s="1"/>
  <c r="P28" i="54"/>
  <c r="P126" i="45" s="1"/>
  <c r="M10" i="47"/>
  <c r="M94" i="44" s="1"/>
  <c r="E60" i="47"/>
  <c r="E77" i="50" s="1"/>
  <c r="O28" i="54" l="1"/>
  <c r="O126" i="45" s="1"/>
  <c r="P56" i="54"/>
  <c r="P144" i="49" s="1"/>
  <c r="D60" i="47"/>
  <c r="D77" i="50" s="1"/>
  <c r="L10" i="47"/>
  <c r="L94" i="44" s="1"/>
  <c r="N28" i="54" l="1"/>
  <c r="N126" i="45" s="1"/>
  <c r="O56" i="54"/>
  <c r="O144" i="49" s="1"/>
  <c r="C2" i="50"/>
  <c r="C60" i="47"/>
  <c r="C77" i="50" s="1"/>
  <c r="K10" i="47"/>
  <c r="K94" i="44" s="1"/>
  <c r="N56" i="54" l="1"/>
  <c r="N144" i="49" s="1"/>
  <c r="M28" i="54"/>
  <c r="M126" i="45" s="1"/>
  <c r="R59" i="47"/>
  <c r="R76" i="50" s="1"/>
  <c r="J10" i="47"/>
  <c r="J94" i="44" s="1"/>
  <c r="L28" i="54" l="1"/>
  <c r="L126" i="45" s="1"/>
  <c r="M56" i="54"/>
  <c r="M144" i="49" s="1"/>
  <c r="Q59" i="47"/>
  <c r="Q76" i="50" s="1"/>
  <c r="I10" i="47"/>
  <c r="I94" i="44" s="1"/>
  <c r="K28" i="54" l="1"/>
  <c r="K126" i="45" s="1"/>
  <c r="L56" i="54"/>
  <c r="L144" i="49" s="1"/>
  <c r="H10" i="47"/>
  <c r="H94" i="44" s="1"/>
  <c r="P59" i="47"/>
  <c r="P76" i="50" s="1"/>
  <c r="J28" i="54" l="1"/>
  <c r="J126" i="45" s="1"/>
  <c r="K56" i="54"/>
  <c r="K144" i="49" s="1"/>
  <c r="O59" i="47"/>
  <c r="O76" i="50" s="1"/>
  <c r="G10" i="47"/>
  <c r="G94" i="44" s="1"/>
  <c r="J56" i="54" l="1"/>
  <c r="J144" i="49" s="1"/>
  <c r="I28" i="54"/>
  <c r="I126" i="45" s="1"/>
  <c r="F10" i="47"/>
  <c r="F94" i="44" s="1"/>
  <c r="N59" i="47"/>
  <c r="N76" i="50" s="1"/>
  <c r="H28" i="54" l="1"/>
  <c r="H126" i="45" s="1"/>
  <c r="I56" i="54"/>
  <c r="I144" i="49" s="1"/>
  <c r="M59" i="47"/>
  <c r="M76" i="50" s="1"/>
  <c r="E10" i="47"/>
  <c r="E94" i="44" s="1"/>
  <c r="G28" i="54" l="1"/>
  <c r="G126" i="45" s="1"/>
  <c r="H56" i="54"/>
  <c r="H144" i="49" s="1"/>
  <c r="D10" i="47"/>
  <c r="D94" i="44" s="1"/>
  <c r="L59" i="47"/>
  <c r="L76" i="50" s="1"/>
  <c r="G56" i="54" l="1"/>
  <c r="G144" i="49" s="1"/>
  <c r="F28" i="54"/>
  <c r="F126" i="45" s="1"/>
  <c r="K59" i="47"/>
  <c r="K76" i="50" s="1"/>
  <c r="C9" i="44"/>
  <c r="C10" i="47"/>
  <c r="C94" i="44" s="1"/>
  <c r="E28" i="54" l="1"/>
  <c r="E126" i="45" s="1"/>
  <c r="F56" i="54"/>
  <c r="F144" i="49" s="1"/>
  <c r="J59" i="47"/>
  <c r="J76" i="50" s="1"/>
  <c r="R9" i="47"/>
  <c r="R93" i="44" s="1"/>
  <c r="E56" i="54" l="1"/>
  <c r="E144" i="49" s="1"/>
  <c r="D28" i="54"/>
  <c r="D126" i="45" s="1"/>
  <c r="I59" i="47"/>
  <c r="I76" i="50" s="1"/>
  <c r="Q9" i="47"/>
  <c r="Q93" i="44" s="1"/>
  <c r="C33" i="45" l="1"/>
  <c r="C28" i="54"/>
  <c r="C126" i="45" s="1"/>
  <c r="D56" i="54"/>
  <c r="D144" i="49" s="1"/>
  <c r="H59" i="47"/>
  <c r="H76" i="50" s="1"/>
  <c r="P9" i="47"/>
  <c r="P93" i="44" s="1"/>
  <c r="C44" i="49" l="1"/>
  <c r="C56" i="54"/>
  <c r="C144" i="49" s="1"/>
  <c r="R27" i="54"/>
  <c r="R125" i="45" s="1"/>
  <c r="G59" i="47"/>
  <c r="G76" i="50" s="1"/>
  <c r="O9" i="47"/>
  <c r="O93" i="44" s="1"/>
  <c r="Q27" i="54" l="1"/>
  <c r="Q125" i="45" s="1"/>
  <c r="R55" i="54"/>
  <c r="R143" i="49" s="1"/>
  <c r="N9" i="47"/>
  <c r="N93" i="44" s="1"/>
  <c r="F59" i="47"/>
  <c r="F76" i="50" s="1"/>
  <c r="Q55" i="54" l="1"/>
  <c r="Q143" i="49" s="1"/>
  <c r="P27" i="54"/>
  <c r="P125" i="45" s="1"/>
  <c r="E59" i="47"/>
  <c r="E76" i="50" s="1"/>
  <c r="M9" i="47"/>
  <c r="M93" i="44" s="1"/>
  <c r="O27" i="54" l="1"/>
  <c r="O125" i="45" s="1"/>
  <c r="P55" i="54"/>
  <c r="P143" i="49" s="1"/>
  <c r="L9" i="47"/>
  <c r="L93" i="44" s="1"/>
  <c r="D59" i="47"/>
  <c r="D76" i="50" s="1"/>
  <c r="O55" i="54" l="1"/>
  <c r="O143" i="49" s="1"/>
  <c r="N27" i="54"/>
  <c r="N125" i="45" s="1"/>
  <c r="K9" i="47"/>
  <c r="K93" i="44" s="1"/>
  <c r="C15" i="49"/>
  <c r="C59" i="47"/>
  <c r="C76" i="50" s="1"/>
  <c r="M27" i="54" l="1"/>
  <c r="M125" i="45" s="1"/>
  <c r="N55" i="54"/>
  <c r="N143" i="49" s="1"/>
  <c r="J9" i="47"/>
  <c r="J93" i="44" s="1"/>
  <c r="R58" i="47"/>
  <c r="R81" i="49" s="1"/>
  <c r="L27" i="54" l="1"/>
  <c r="L125" i="45" s="1"/>
  <c r="M55" i="54"/>
  <c r="M143" i="49" s="1"/>
  <c r="I9" i="47"/>
  <c r="I93" i="44" s="1"/>
  <c r="Q58" i="47"/>
  <c r="Q81" i="49" s="1"/>
  <c r="K27" i="54" l="1"/>
  <c r="K125" i="45" s="1"/>
  <c r="L55" i="54"/>
  <c r="L143" i="49" s="1"/>
  <c r="P58" i="47"/>
  <c r="P81" i="49" s="1"/>
  <c r="H9" i="47"/>
  <c r="H93" i="44" s="1"/>
  <c r="J27" i="54" l="1"/>
  <c r="J125" i="45" s="1"/>
  <c r="K55" i="54"/>
  <c r="K143" i="49" s="1"/>
  <c r="O58" i="47"/>
  <c r="O81" i="49" s="1"/>
  <c r="G9" i="47"/>
  <c r="G93" i="44" s="1"/>
  <c r="I27" i="54" l="1"/>
  <c r="I125" i="45" s="1"/>
  <c r="J55" i="54"/>
  <c r="J143" i="49" s="1"/>
  <c r="N58" i="47"/>
  <c r="N81" i="49" s="1"/>
  <c r="F9" i="47"/>
  <c r="F93" i="44" s="1"/>
  <c r="H27" i="54" l="1"/>
  <c r="H125" i="45" s="1"/>
  <c r="I55" i="54"/>
  <c r="I143" i="49" s="1"/>
  <c r="M58" i="47"/>
  <c r="M81" i="49" s="1"/>
  <c r="E9" i="47"/>
  <c r="E93" i="44" s="1"/>
  <c r="G27" i="54" l="1"/>
  <c r="G125" i="45" s="1"/>
  <c r="H55" i="54"/>
  <c r="H143" i="49" s="1"/>
  <c r="L58" i="47"/>
  <c r="L81" i="49" s="1"/>
  <c r="D9" i="47"/>
  <c r="D93" i="44" s="1"/>
  <c r="F27" i="54" l="1"/>
  <c r="F125" i="45" s="1"/>
  <c r="G55" i="54"/>
  <c r="G143" i="49" s="1"/>
  <c r="C8" i="44"/>
  <c r="C9" i="47"/>
  <c r="C93" i="44" s="1"/>
  <c r="K58" i="47"/>
  <c r="K81" i="49" s="1"/>
  <c r="F55" i="54" l="1"/>
  <c r="F143" i="49" s="1"/>
  <c r="E27" i="54"/>
  <c r="E125" i="45" s="1"/>
  <c r="R8" i="47"/>
  <c r="R92" i="44" s="1"/>
  <c r="J58" i="47"/>
  <c r="J81" i="49" s="1"/>
  <c r="E55" i="54" l="1"/>
  <c r="E143" i="49" s="1"/>
  <c r="D27" i="54"/>
  <c r="D125" i="45" s="1"/>
  <c r="I58" i="47"/>
  <c r="I81" i="49" s="1"/>
  <c r="Q8" i="47"/>
  <c r="Q92" i="44" s="1"/>
  <c r="C32" i="45" l="1"/>
  <c r="C27" i="54"/>
  <c r="C125" i="45" s="1"/>
  <c r="D55" i="54"/>
  <c r="D143" i="49" s="1"/>
  <c r="H58" i="47"/>
  <c r="H81" i="49" s="1"/>
  <c r="P8" i="47"/>
  <c r="P92" i="44" s="1"/>
  <c r="R26" i="54" l="1"/>
  <c r="R124" i="45" s="1"/>
  <c r="C43" i="49"/>
  <c r="C55" i="54"/>
  <c r="C143" i="49" s="1"/>
  <c r="O8" i="47"/>
  <c r="O92" i="44" s="1"/>
  <c r="G58" i="47"/>
  <c r="G81" i="49" s="1"/>
  <c r="Q26" i="54" l="1"/>
  <c r="Q124" i="45" s="1"/>
  <c r="R54" i="54"/>
  <c r="R142" i="49" s="1"/>
  <c r="N8" i="47"/>
  <c r="N92" i="44" s="1"/>
  <c r="F58" i="47"/>
  <c r="F81" i="49" s="1"/>
  <c r="P26" i="54" l="1"/>
  <c r="P124" i="45" s="1"/>
  <c r="Q54" i="54"/>
  <c r="Q142" i="49" s="1"/>
  <c r="E58" i="47"/>
  <c r="E81" i="49" s="1"/>
  <c r="M8" i="47"/>
  <c r="M92" i="44" s="1"/>
  <c r="O26" i="54" l="1"/>
  <c r="O124" i="45" s="1"/>
  <c r="P54" i="54"/>
  <c r="P142" i="49" s="1"/>
  <c r="L8" i="47"/>
  <c r="L92" i="44" s="1"/>
  <c r="D58" i="47"/>
  <c r="D81" i="49" s="1"/>
  <c r="O54" i="54" l="1"/>
  <c r="O142" i="49" s="1"/>
  <c r="N26" i="54"/>
  <c r="N124" i="45" s="1"/>
  <c r="C14" i="49"/>
  <c r="C58" i="47"/>
  <c r="C81" i="49" s="1"/>
  <c r="K8" i="47"/>
  <c r="K92" i="44" s="1"/>
  <c r="N54" i="54" l="1"/>
  <c r="N142" i="49" s="1"/>
  <c r="M26" i="54"/>
  <c r="M124" i="45" s="1"/>
  <c r="J8" i="47"/>
  <c r="J92" i="44" s="1"/>
  <c r="R57" i="47"/>
  <c r="R80" i="49" s="1"/>
  <c r="M54" i="54" l="1"/>
  <c r="M142" i="49" s="1"/>
  <c r="L26" i="54"/>
  <c r="L124" i="45" s="1"/>
  <c r="I8" i="47"/>
  <c r="I92" i="44" s="1"/>
  <c r="Q57" i="47"/>
  <c r="Q80" i="49" s="1"/>
  <c r="K26" i="54" l="1"/>
  <c r="K124" i="45" s="1"/>
  <c r="L54" i="54"/>
  <c r="L142" i="49" s="1"/>
  <c r="P57" i="47"/>
  <c r="P80" i="49" s="1"/>
  <c r="H8" i="47"/>
  <c r="H92" i="44" s="1"/>
  <c r="K54" i="54" l="1"/>
  <c r="K142" i="49" s="1"/>
  <c r="J26" i="54"/>
  <c r="J124" i="45" s="1"/>
  <c r="O57" i="47"/>
  <c r="O80" i="49" s="1"/>
  <c r="G8" i="47"/>
  <c r="G92" i="44" s="1"/>
  <c r="J54" i="54" l="1"/>
  <c r="J142" i="49" s="1"/>
  <c r="I26" i="54"/>
  <c r="I124" i="45" s="1"/>
  <c r="F8" i="47"/>
  <c r="F92" i="44" s="1"/>
  <c r="N57" i="47"/>
  <c r="N80" i="49" s="1"/>
  <c r="I54" i="54" l="1"/>
  <c r="I142" i="49" s="1"/>
  <c r="H26" i="54"/>
  <c r="H124" i="45" s="1"/>
  <c r="M57" i="47"/>
  <c r="M80" i="49" s="1"/>
  <c r="E8" i="47"/>
  <c r="E92" i="44" s="1"/>
  <c r="G26" i="54" l="1"/>
  <c r="G124" i="45" s="1"/>
  <c r="H54" i="54"/>
  <c r="H142" i="49" s="1"/>
  <c r="D8" i="47"/>
  <c r="D92" i="44" s="1"/>
  <c r="L57" i="47"/>
  <c r="L80" i="49" s="1"/>
  <c r="G54" i="54" l="1"/>
  <c r="G142" i="49" s="1"/>
  <c r="F26" i="54"/>
  <c r="F124" i="45" s="1"/>
  <c r="K57" i="47"/>
  <c r="K80" i="49" s="1"/>
  <c r="C7" i="44"/>
  <c r="C8" i="47"/>
  <c r="C92" i="44" s="1"/>
  <c r="E26" i="54" l="1"/>
  <c r="E124" i="45" s="1"/>
  <c r="F54" i="54"/>
  <c r="F142" i="49" s="1"/>
  <c r="R7" i="47"/>
  <c r="R91" i="44" s="1"/>
  <c r="J57" i="47"/>
  <c r="J80" i="49" s="1"/>
  <c r="D26" i="54" l="1"/>
  <c r="D124" i="45" s="1"/>
  <c r="E54" i="54"/>
  <c r="E142" i="49" s="1"/>
  <c r="Q7" i="47"/>
  <c r="Q91" i="44" s="1"/>
  <c r="I57" i="47"/>
  <c r="I80" i="49" s="1"/>
  <c r="C54" i="54" l="1"/>
  <c r="C142" i="49" s="1"/>
  <c r="D54" i="54"/>
  <c r="D142" i="49" s="1"/>
  <c r="C31" i="45"/>
  <c r="C26" i="54"/>
  <c r="C124" i="45" s="1"/>
  <c r="P7" i="47"/>
  <c r="P91" i="44" s="1"/>
  <c r="H57" i="47"/>
  <c r="H80" i="49" s="1"/>
  <c r="R25" i="54" l="1"/>
  <c r="R123" i="45" s="1"/>
  <c r="O7" i="47"/>
  <c r="O91" i="44" s="1"/>
  <c r="G57" i="47"/>
  <c r="G80" i="49" s="1"/>
  <c r="Q25" i="54" l="1"/>
  <c r="Q123" i="45" s="1"/>
  <c r="N7" i="47"/>
  <c r="N91" i="44" s="1"/>
  <c r="F57" i="47"/>
  <c r="F80" i="49" s="1"/>
  <c r="P25" i="54" l="1"/>
  <c r="P123" i="45" s="1"/>
  <c r="M7" i="47"/>
  <c r="M91" i="44" s="1"/>
  <c r="E57" i="47"/>
  <c r="E80" i="49" s="1"/>
  <c r="O25" i="54" l="1"/>
  <c r="O123" i="45" s="1"/>
  <c r="D57" i="47"/>
  <c r="D80" i="49" s="1"/>
  <c r="L7" i="47"/>
  <c r="L91" i="44" s="1"/>
  <c r="N25" i="54" l="1"/>
  <c r="N123" i="45" s="1"/>
  <c r="C13" i="49"/>
  <c r="C57" i="47"/>
  <c r="C80" i="49" s="1"/>
  <c r="K7" i="47"/>
  <c r="K91" i="44" s="1"/>
  <c r="M25" i="54" l="1"/>
  <c r="M123" i="45" s="1"/>
  <c r="R56" i="47"/>
  <c r="R79" i="49" s="1"/>
  <c r="J7" i="47"/>
  <c r="J91" i="44" s="1"/>
  <c r="L25" i="54" l="1"/>
  <c r="L123" i="45" s="1"/>
  <c r="I7" i="47"/>
  <c r="I91" i="44" s="1"/>
  <c r="Q56" i="47"/>
  <c r="Q79" i="49" s="1"/>
  <c r="K25" i="54" l="1"/>
  <c r="K123" i="45" s="1"/>
  <c r="P56" i="47"/>
  <c r="P79" i="49" s="1"/>
  <c r="H7" i="47"/>
  <c r="H91" i="44" s="1"/>
  <c r="J25" i="54" l="1"/>
  <c r="J123" i="45" s="1"/>
  <c r="O56" i="47"/>
  <c r="O79" i="49" s="1"/>
  <c r="G7" i="47"/>
  <c r="G91" i="44" s="1"/>
  <c r="I25" i="54" l="1"/>
  <c r="I123" i="45" s="1"/>
  <c r="F7" i="47"/>
  <c r="F91" i="44" s="1"/>
  <c r="N56" i="47"/>
  <c r="N79" i="49" s="1"/>
  <c r="H25" i="54" l="1"/>
  <c r="H123" i="45" s="1"/>
  <c r="M56" i="47"/>
  <c r="M79" i="49" s="1"/>
  <c r="E7" i="47"/>
  <c r="E91" i="44" s="1"/>
  <c r="G25" i="54" l="1"/>
  <c r="G123" i="45" s="1"/>
  <c r="D7" i="47"/>
  <c r="D91" i="44" s="1"/>
  <c r="L56" i="47"/>
  <c r="L79" i="49" s="1"/>
  <c r="F25" i="54" l="1"/>
  <c r="F123" i="45" s="1"/>
  <c r="C6" i="44"/>
  <c r="C7" i="47"/>
  <c r="C91" i="44" s="1"/>
  <c r="K56" i="47"/>
  <c r="K79" i="49" s="1"/>
  <c r="E25" i="54" l="1"/>
  <c r="E123" i="45" s="1"/>
  <c r="J56" i="47"/>
  <c r="J79" i="49" s="1"/>
  <c r="R6" i="47"/>
  <c r="R90" i="44" s="1"/>
  <c r="D25" i="54" l="1"/>
  <c r="D123" i="45" s="1"/>
  <c r="Q6" i="47"/>
  <c r="Q90" i="44" s="1"/>
  <c r="I56" i="47"/>
  <c r="I79" i="49" s="1"/>
  <c r="C30" i="45" l="1"/>
  <c r="C25" i="54"/>
  <c r="C123" i="45" s="1"/>
  <c r="H56" i="47"/>
  <c r="H79" i="49" s="1"/>
  <c r="P6" i="47"/>
  <c r="P90" i="44" s="1"/>
  <c r="R24" i="54" l="1"/>
  <c r="R122" i="45" s="1"/>
  <c r="G56" i="47"/>
  <c r="G79" i="49" s="1"/>
  <c r="O6" i="47"/>
  <c r="O90" i="44" s="1"/>
  <c r="Q24" i="54" l="1"/>
  <c r="Q122" i="45" s="1"/>
  <c r="F56" i="47"/>
  <c r="F79" i="49" s="1"/>
  <c r="N6" i="47"/>
  <c r="N90" i="44" s="1"/>
  <c r="P24" i="54" l="1"/>
  <c r="P122" i="45" s="1"/>
  <c r="E56" i="47"/>
  <c r="E79" i="49" s="1"/>
  <c r="M6" i="47"/>
  <c r="M90" i="44" s="1"/>
  <c r="O24" i="54" l="1"/>
  <c r="O122" i="45" s="1"/>
  <c r="D56" i="47"/>
  <c r="D79" i="49" s="1"/>
  <c r="L6" i="47"/>
  <c r="L90" i="44" s="1"/>
  <c r="N24" i="54" l="1"/>
  <c r="N122" i="45" s="1"/>
  <c r="C12" i="49"/>
  <c r="C56" i="47"/>
  <c r="C79" i="49" s="1"/>
  <c r="K6" i="47"/>
  <c r="K90" i="44" s="1"/>
  <c r="M24" i="54" l="1"/>
  <c r="M122" i="45" s="1"/>
  <c r="J6" i="47"/>
  <c r="J90" i="44" s="1"/>
  <c r="R55" i="47"/>
  <c r="R78" i="49" s="1"/>
  <c r="L24" i="54" l="1"/>
  <c r="L122" i="45" s="1"/>
  <c r="Q55" i="47"/>
  <c r="Q78" i="49" s="1"/>
  <c r="I6" i="47"/>
  <c r="I90" i="44" s="1"/>
  <c r="K24" i="54" l="1"/>
  <c r="K122" i="45" s="1"/>
  <c r="P55" i="47"/>
  <c r="P78" i="49" s="1"/>
  <c r="H6" i="47"/>
  <c r="H90" i="44" s="1"/>
  <c r="J24" i="54" l="1"/>
  <c r="J122" i="45" s="1"/>
  <c r="O55" i="47"/>
  <c r="O78" i="49" s="1"/>
  <c r="G6" i="47"/>
  <c r="G90" i="44" s="1"/>
  <c r="I24" i="54" l="1"/>
  <c r="I122" i="45" s="1"/>
  <c r="N55" i="47"/>
  <c r="N78" i="49" s="1"/>
  <c r="F6" i="47"/>
  <c r="F90" i="44" s="1"/>
  <c r="H24" i="54" l="1"/>
  <c r="H122" i="45" s="1"/>
  <c r="E6" i="47"/>
  <c r="E90" i="44" s="1"/>
  <c r="M55" i="47"/>
  <c r="M78" i="49" s="1"/>
  <c r="G24" i="54" l="1"/>
  <c r="G122" i="45" s="1"/>
  <c r="L55" i="47"/>
  <c r="L78" i="49" s="1"/>
  <c r="D6" i="47"/>
  <c r="D90" i="44" s="1"/>
  <c r="F24" i="54" l="1"/>
  <c r="F122" i="45" s="1"/>
  <c r="C5" i="44"/>
  <c r="C6" i="47"/>
  <c r="C90" i="44" s="1"/>
  <c r="K55" i="47"/>
  <c r="K78" i="49" s="1"/>
  <c r="E24" i="54" l="1"/>
  <c r="E122" i="45" s="1"/>
  <c r="J55" i="47"/>
  <c r="J78" i="49" s="1"/>
  <c r="R5" i="47"/>
  <c r="R89" i="44" s="1"/>
  <c r="D24" i="54" l="1"/>
  <c r="D122" i="45" s="1"/>
  <c r="Q5" i="47"/>
  <c r="Q89" i="44" s="1"/>
  <c r="I55" i="47"/>
  <c r="I78" i="49" s="1"/>
  <c r="C29" i="45" l="1"/>
  <c r="C24" i="54"/>
  <c r="C122" i="45" s="1"/>
  <c r="H55" i="47"/>
  <c r="H78" i="49" s="1"/>
  <c r="P5" i="47"/>
  <c r="P89" i="44" s="1"/>
  <c r="R23" i="54" l="1"/>
  <c r="R121" i="45" s="1"/>
  <c r="O5" i="47"/>
  <c r="O89" i="44" s="1"/>
  <c r="G55" i="47"/>
  <c r="G78" i="49" s="1"/>
  <c r="Q23" i="54" l="1"/>
  <c r="Q121" i="45" s="1"/>
  <c r="F55" i="47"/>
  <c r="F78" i="49" s="1"/>
  <c r="N5" i="47"/>
  <c r="N89" i="44" s="1"/>
  <c r="P23" i="54" l="1"/>
  <c r="P121" i="45" s="1"/>
  <c r="M5" i="47"/>
  <c r="M89" i="44" s="1"/>
  <c r="E55" i="47"/>
  <c r="E78" i="49" s="1"/>
  <c r="O23" i="54" l="1"/>
  <c r="O121" i="45" s="1"/>
  <c r="D55" i="47"/>
  <c r="D78" i="49" s="1"/>
  <c r="L5" i="47"/>
  <c r="L89" i="44" s="1"/>
  <c r="N23" i="54" l="1"/>
  <c r="N121" i="45" s="1"/>
  <c r="K5" i="47"/>
  <c r="K89" i="44" s="1"/>
  <c r="C11" i="49"/>
  <c r="C55" i="47"/>
  <c r="C78" i="49" s="1"/>
  <c r="M23" i="54" l="1"/>
  <c r="M121" i="45" s="1"/>
  <c r="J5" i="47"/>
  <c r="J89" i="44" s="1"/>
  <c r="R54" i="47"/>
  <c r="R77" i="49" s="1"/>
  <c r="L23" i="54" l="1"/>
  <c r="L121" i="45" s="1"/>
  <c r="I5" i="47"/>
  <c r="I89" i="44" s="1"/>
  <c r="Q54" i="47"/>
  <c r="Q77" i="49" s="1"/>
  <c r="K23" i="54" l="1"/>
  <c r="K121" i="45" s="1"/>
  <c r="H5" i="47"/>
  <c r="H89" i="44" s="1"/>
  <c r="P54" i="47"/>
  <c r="P77" i="49" s="1"/>
  <c r="J23" i="54" l="1"/>
  <c r="J121" i="45" s="1"/>
  <c r="G5" i="47"/>
  <c r="G89" i="44" s="1"/>
  <c r="O54" i="47"/>
  <c r="O77" i="49" s="1"/>
  <c r="I23" i="54" l="1"/>
  <c r="I121" i="45" s="1"/>
  <c r="F5" i="47"/>
  <c r="F89" i="44" s="1"/>
  <c r="N54" i="47"/>
  <c r="N77" i="49" s="1"/>
  <c r="H23" i="54" l="1"/>
  <c r="H121" i="45" s="1"/>
  <c r="E5" i="47"/>
  <c r="E89" i="44" s="1"/>
  <c r="M54" i="47"/>
  <c r="M77" i="49" s="1"/>
  <c r="G23" i="54" l="1"/>
  <c r="G121" i="45" s="1"/>
  <c r="L54" i="47"/>
  <c r="L77" i="49" s="1"/>
  <c r="D5" i="47"/>
  <c r="D89" i="44" s="1"/>
  <c r="F23" i="54" l="1"/>
  <c r="F121" i="45" s="1"/>
  <c r="K54" i="47"/>
  <c r="K77" i="49" s="1"/>
  <c r="C4" i="44"/>
  <c r="C5" i="47"/>
  <c r="C89" i="44" s="1"/>
  <c r="E23" i="54" l="1"/>
  <c r="E121" i="45" s="1"/>
  <c r="R4" i="47"/>
  <c r="R88" i="44" s="1"/>
  <c r="J54" i="47"/>
  <c r="J77" i="49" s="1"/>
  <c r="D23" i="54" l="1"/>
  <c r="D121" i="45" s="1"/>
  <c r="I54" i="47"/>
  <c r="I77" i="49" s="1"/>
  <c r="Q4" i="47"/>
  <c r="Q88" i="44" s="1"/>
  <c r="C28" i="45" l="1"/>
  <c r="C23" i="54"/>
  <c r="C121" i="45" s="1"/>
  <c r="H54" i="47"/>
  <c r="H77" i="49" s="1"/>
  <c r="P4" i="47"/>
  <c r="P88" i="44" s="1"/>
  <c r="R22" i="54" l="1"/>
  <c r="R120" i="45" s="1"/>
  <c r="O4" i="47"/>
  <c r="O88" i="44" s="1"/>
  <c r="G54" i="47"/>
  <c r="G77" i="49" s="1"/>
  <c r="Q22" i="54" l="1"/>
  <c r="Q120" i="45" s="1"/>
  <c r="F54" i="47"/>
  <c r="F77" i="49" s="1"/>
  <c r="N4" i="47"/>
  <c r="N88" i="44" s="1"/>
  <c r="P22" i="54" l="1"/>
  <c r="P120" i="45" s="1"/>
  <c r="M4" i="47"/>
  <c r="M88" i="44" s="1"/>
  <c r="E54" i="47"/>
  <c r="E77" i="49" s="1"/>
  <c r="O22" i="54" l="1"/>
  <c r="O120" i="45" s="1"/>
  <c r="D54" i="47"/>
  <c r="D77" i="49" s="1"/>
  <c r="L4" i="47"/>
  <c r="L88" i="44" s="1"/>
  <c r="N22" i="54" l="1"/>
  <c r="N120" i="45" s="1"/>
  <c r="C10" i="49"/>
  <c r="C54" i="47"/>
  <c r="C77" i="49" s="1"/>
  <c r="K4" i="47"/>
  <c r="K88" i="44" s="1"/>
  <c r="M22" i="54" l="1"/>
  <c r="M120" i="45" s="1"/>
  <c r="J4" i="47"/>
  <c r="J88" i="44" s="1"/>
  <c r="R53" i="47"/>
  <c r="R76" i="49" s="1"/>
  <c r="L22" i="54" l="1"/>
  <c r="L120" i="45" s="1"/>
  <c r="I4" i="47"/>
  <c r="I88" i="44" s="1"/>
  <c r="Q53" i="47"/>
  <c r="Q76" i="49" s="1"/>
  <c r="K22" i="54" l="1"/>
  <c r="K120" i="45" s="1"/>
  <c r="H4" i="47"/>
  <c r="H88" i="44" s="1"/>
  <c r="P53" i="47"/>
  <c r="P76" i="49" s="1"/>
  <c r="J22" i="54" l="1"/>
  <c r="J120" i="45" s="1"/>
  <c r="O53" i="47"/>
  <c r="O76" i="49" s="1"/>
  <c r="G4" i="47"/>
  <c r="G88" i="44" s="1"/>
  <c r="I22" i="54" l="1"/>
  <c r="I120" i="45" s="1"/>
  <c r="N53" i="47"/>
  <c r="N76" i="49" s="1"/>
  <c r="F4" i="47"/>
  <c r="F88" i="44" s="1"/>
  <c r="H22" i="54" l="1"/>
  <c r="H120" i="45" s="1"/>
  <c r="M53" i="47"/>
  <c r="M76" i="49" s="1"/>
  <c r="E4" i="47"/>
  <c r="E88" i="44" s="1"/>
  <c r="G22" i="54" l="1"/>
  <c r="G120" i="45" s="1"/>
  <c r="L53" i="47"/>
  <c r="L76" i="49" s="1"/>
  <c r="D4" i="47"/>
  <c r="D88" i="44" s="1"/>
  <c r="F22" i="54" l="1"/>
  <c r="F120" i="45" s="1"/>
  <c r="K53" i="47"/>
  <c r="K76" i="49" s="1"/>
  <c r="C3" i="44"/>
  <c r="C4" i="47"/>
  <c r="C88" i="44" s="1"/>
  <c r="E22" i="54" l="1"/>
  <c r="E120" i="45" s="1"/>
  <c r="R3" i="47"/>
  <c r="R87" i="44" s="1"/>
  <c r="J53" i="47"/>
  <c r="J76" i="49" s="1"/>
  <c r="D22" i="54" l="1"/>
  <c r="D120" i="45" s="1"/>
  <c r="I53" i="47"/>
  <c r="I76" i="49" s="1"/>
  <c r="Q3" i="47"/>
  <c r="Q87" i="44" s="1"/>
  <c r="C27" i="45" l="1"/>
  <c r="C22" i="54"/>
  <c r="C120" i="45" s="1"/>
  <c r="P3" i="47"/>
  <c r="P87" i="44" s="1"/>
  <c r="H53" i="47"/>
  <c r="H76" i="49" s="1"/>
  <c r="R21" i="54" l="1"/>
  <c r="R119" i="45" s="1"/>
  <c r="G53" i="47"/>
  <c r="G76" i="49" s="1"/>
  <c r="O3" i="47"/>
  <c r="O87" i="44" s="1"/>
  <c r="Q21" i="54" l="1"/>
  <c r="Q119" i="45" s="1"/>
  <c r="N3" i="47"/>
  <c r="N87" i="44" s="1"/>
  <c r="F53" i="47"/>
  <c r="F76" i="49" s="1"/>
  <c r="P21" i="54" l="1"/>
  <c r="P119" i="45" s="1"/>
  <c r="E53" i="47"/>
  <c r="E76" i="49" s="1"/>
  <c r="M3" i="47"/>
  <c r="M87" i="44" s="1"/>
  <c r="O21" i="54" l="1"/>
  <c r="O119" i="45" s="1"/>
  <c r="L3" i="47"/>
  <c r="L87" i="44" s="1"/>
  <c r="D53" i="47"/>
  <c r="D76" i="49" s="1"/>
  <c r="N21" i="54" l="1"/>
  <c r="N119" i="45" s="1"/>
  <c r="C9" i="49"/>
  <c r="C53" i="47"/>
  <c r="C76" i="49" s="1"/>
  <c r="K3" i="47"/>
  <c r="K87" i="44" s="1"/>
  <c r="M21" i="54" l="1"/>
  <c r="M119" i="45" s="1"/>
  <c r="J3" i="47"/>
  <c r="J87" i="44" s="1"/>
  <c r="R52" i="47"/>
  <c r="R75" i="49" s="1"/>
  <c r="L21" i="54" l="1"/>
  <c r="L119" i="45" s="1"/>
  <c r="Q52" i="47"/>
  <c r="Q75" i="49" s="1"/>
  <c r="I3" i="47"/>
  <c r="I87" i="44" s="1"/>
  <c r="K21" i="54" l="1"/>
  <c r="K119" i="45" s="1"/>
  <c r="P52" i="47"/>
  <c r="P75" i="49" s="1"/>
  <c r="H3" i="47"/>
  <c r="H87" i="44" s="1"/>
  <c r="J21" i="54" l="1"/>
  <c r="J119" i="45" s="1"/>
  <c r="O52" i="47"/>
  <c r="O75" i="49" s="1"/>
  <c r="G3" i="47"/>
  <c r="G87" i="44" s="1"/>
  <c r="I21" i="54" l="1"/>
  <c r="I119" i="45" s="1"/>
  <c r="N52" i="47"/>
  <c r="N75" i="49" s="1"/>
  <c r="F3" i="47"/>
  <c r="F87" i="44" s="1"/>
  <c r="H21" i="54" l="1"/>
  <c r="H119" i="45" s="1"/>
  <c r="M52" i="47"/>
  <c r="M75" i="49" s="1"/>
  <c r="E3" i="47"/>
  <c r="E87" i="44" s="1"/>
  <c r="G21" i="54" l="1"/>
  <c r="G119" i="45" s="1"/>
  <c r="L52" i="47"/>
  <c r="L75" i="49" s="1"/>
  <c r="D3" i="47"/>
  <c r="D87" i="44" s="1"/>
  <c r="F21" i="54" l="1"/>
  <c r="F119" i="45" s="1"/>
  <c r="K52" i="47"/>
  <c r="K75" i="49" s="1"/>
  <c r="C2" i="44"/>
  <c r="C3" i="47"/>
  <c r="C87" i="44" s="1"/>
  <c r="E21" i="54" l="1"/>
  <c r="E119" i="45" s="1"/>
  <c r="J52" i="47"/>
  <c r="J75" i="49" s="1"/>
  <c r="R2" i="47"/>
  <c r="R86" i="44" s="1"/>
  <c r="D21" i="54" l="1"/>
  <c r="D119" i="45" s="1"/>
  <c r="I52" i="47"/>
  <c r="I75" i="49" s="1"/>
  <c r="Q2" i="47"/>
  <c r="Q86" i="44" s="1"/>
  <c r="C26" i="45" l="1"/>
  <c r="C21" i="54"/>
  <c r="C119" i="45" s="1"/>
  <c r="P2" i="47"/>
  <c r="P86" i="44" s="1"/>
  <c r="H52" i="47"/>
  <c r="H75" i="49" s="1"/>
  <c r="R20" i="54" l="1"/>
  <c r="R118" i="45" s="1"/>
  <c r="O2" i="47"/>
  <c r="O86" i="44" s="1"/>
  <c r="G52" i="47"/>
  <c r="G75" i="49" s="1"/>
  <c r="Q20" i="54" l="1"/>
  <c r="Q118" i="45" s="1"/>
  <c r="N2" i="47"/>
  <c r="N86" i="44" s="1"/>
  <c r="F52" i="47"/>
  <c r="F75" i="49" s="1"/>
  <c r="P20" i="54" l="1"/>
  <c r="P118" i="45" s="1"/>
  <c r="E52" i="47"/>
  <c r="E75" i="49" s="1"/>
  <c r="M2" i="47"/>
  <c r="M86" i="44" s="1"/>
  <c r="O20" i="54" l="1"/>
  <c r="O118" i="45" s="1"/>
  <c r="L2" i="47"/>
  <c r="L86" i="44" s="1"/>
  <c r="D52" i="47"/>
  <c r="D75" i="49" s="1"/>
  <c r="N20" i="54" l="1"/>
  <c r="N118" i="45" s="1"/>
  <c r="C8" i="49"/>
  <c r="C52" i="47"/>
  <c r="C75" i="49" s="1"/>
  <c r="K2" i="47"/>
  <c r="K86" i="44" s="1"/>
  <c r="M20" i="54" l="1"/>
  <c r="M118" i="45" s="1"/>
  <c r="R51" i="47"/>
  <c r="R74" i="49" s="1"/>
  <c r="J2" i="47"/>
  <c r="J86" i="44" s="1"/>
  <c r="L20" i="54" l="1"/>
  <c r="L118" i="45" s="1"/>
  <c r="I2" i="47"/>
  <c r="I86" i="44" s="1"/>
  <c r="Q51" i="47"/>
  <c r="Q74" i="49" s="1"/>
  <c r="K20" i="54" l="1"/>
  <c r="K118" i="45" s="1"/>
  <c r="P51" i="47"/>
  <c r="P74" i="49" s="1"/>
  <c r="H2" i="47"/>
  <c r="H86" i="44" s="1"/>
  <c r="J20" i="54" l="1"/>
  <c r="J118" i="45" s="1"/>
  <c r="G2" i="47"/>
  <c r="G86" i="44" s="1"/>
  <c r="O51" i="47"/>
  <c r="O74" i="49" s="1"/>
  <c r="I20" i="54" l="1"/>
  <c r="I118" i="45" s="1"/>
  <c r="N51" i="47"/>
  <c r="N74" i="49" s="1"/>
  <c r="F2" i="47"/>
  <c r="F86" i="44" s="1"/>
  <c r="H20" i="54" l="1"/>
  <c r="H118" i="45" s="1"/>
  <c r="E2" i="47"/>
  <c r="E86" i="44" s="1"/>
  <c r="M51" i="47"/>
  <c r="M74" i="49" s="1"/>
  <c r="G20" i="54" l="1"/>
  <c r="G118" i="45" s="1"/>
  <c r="D2" i="47"/>
  <c r="D86" i="44" s="1"/>
  <c r="L51" i="47"/>
  <c r="L74" i="49" s="1"/>
  <c r="C2" i="47" l="1"/>
  <c r="C86" i="44" s="1"/>
  <c r="F20" i="54"/>
  <c r="F118" i="45" s="1"/>
  <c r="K51" i="47"/>
  <c r="K74" i="49" s="1"/>
  <c r="R83" i="55" l="1"/>
  <c r="R160" i="52" s="1"/>
  <c r="E66" i="52"/>
  <c r="E20" i="54"/>
  <c r="E118" i="45" s="1"/>
  <c r="J51" i="47"/>
  <c r="J74" i="49" s="1"/>
  <c r="D20" i="54" l="1"/>
  <c r="D118" i="45" s="1"/>
  <c r="I51" i="47"/>
  <c r="I74" i="49" s="1"/>
  <c r="C59" i="44" l="1"/>
  <c r="C20" i="54"/>
  <c r="C118" i="45" s="1"/>
  <c r="H51" i="47"/>
  <c r="H74" i="49" s="1"/>
  <c r="R19" i="54" l="1"/>
  <c r="R184" i="44" s="1"/>
  <c r="G51" i="47"/>
  <c r="G74" i="49" s="1"/>
  <c r="Q19" i="54" l="1"/>
  <c r="Q184" i="44" s="1"/>
  <c r="F51" i="47"/>
  <c r="F74" i="49" s="1"/>
  <c r="P19" i="54" l="1"/>
  <c r="P184" i="44" s="1"/>
  <c r="E51" i="47"/>
  <c r="E74" i="49" s="1"/>
  <c r="O19" i="54" l="1"/>
  <c r="O184" i="44" s="1"/>
  <c r="D51" i="47"/>
  <c r="D74" i="49" s="1"/>
  <c r="N19" i="54" l="1"/>
  <c r="N184" i="44" s="1"/>
  <c r="C7" i="49"/>
  <c r="C51" i="47"/>
  <c r="C74" i="49" s="1"/>
  <c r="M19" i="54" l="1"/>
  <c r="M184" i="44" s="1"/>
  <c r="R50" i="47"/>
  <c r="R73" i="49" s="1"/>
  <c r="L19" i="54" l="1"/>
  <c r="L184" i="44" s="1"/>
  <c r="Q50" i="47"/>
  <c r="Q73" i="49" s="1"/>
  <c r="K19" i="54" l="1"/>
  <c r="K184" i="44" s="1"/>
  <c r="P50" i="47"/>
  <c r="P73" i="49" s="1"/>
  <c r="J19" i="54" l="1"/>
  <c r="J184" i="44" s="1"/>
  <c r="O50" i="47"/>
  <c r="O73" i="49" s="1"/>
  <c r="I19" i="54" l="1"/>
  <c r="I184" i="44" s="1"/>
  <c r="N50" i="47"/>
  <c r="N73" i="49" s="1"/>
  <c r="H19" i="54" l="1"/>
  <c r="H184" i="44" s="1"/>
  <c r="M50" i="47"/>
  <c r="M73" i="49" s="1"/>
  <c r="G19" i="54" l="1"/>
  <c r="G184" i="44" s="1"/>
  <c r="L50" i="47"/>
  <c r="L73" i="49" s="1"/>
  <c r="F19" i="54" l="1"/>
  <c r="F184" i="44" s="1"/>
  <c r="K50" i="47"/>
  <c r="K73" i="49" s="1"/>
  <c r="E19" i="54" l="1"/>
  <c r="E184" i="44" s="1"/>
  <c r="J50" i="47"/>
  <c r="J73" i="49" s="1"/>
  <c r="D19" i="54" l="1"/>
  <c r="D184" i="44" s="1"/>
  <c r="I50" i="47"/>
  <c r="I73" i="49" s="1"/>
  <c r="C58" i="44" l="1"/>
  <c r="C19" i="54"/>
  <c r="C184" i="44" s="1"/>
  <c r="H50" i="47"/>
  <c r="H73" i="49" s="1"/>
  <c r="R18" i="54" l="1"/>
  <c r="R183" i="44" s="1"/>
  <c r="G50" i="47"/>
  <c r="G73" i="49" s="1"/>
  <c r="Q18" i="54" l="1"/>
  <c r="Q183" i="44" s="1"/>
  <c r="F50" i="47"/>
  <c r="F73" i="49" s="1"/>
  <c r="P18" i="54" l="1"/>
  <c r="P183" i="44" s="1"/>
  <c r="E50" i="47"/>
  <c r="E73" i="49" s="1"/>
  <c r="O18" i="54" l="1"/>
  <c r="O183" i="44" s="1"/>
  <c r="D50" i="47"/>
  <c r="D73" i="49" s="1"/>
  <c r="N18" i="54" l="1"/>
  <c r="N183" i="44" s="1"/>
  <c r="C6" i="49"/>
  <c r="C50" i="47"/>
  <c r="C73" i="49" s="1"/>
  <c r="M18" i="54" l="1"/>
  <c r="M183" i="44" s="1"/>
  <c r="R49" i="47"/>
  <c r="R72" i="49" s="1"/>
  <c r="L18" i="54" l="1"/>
  <c r="L183" i="44" s="1"/>
  <c r="Q49" i="47"/>
  <c r="Q72" i="49" s="1"/>
  <c r="K18" i="54" l="1"/>
  <c r="K183" i="44" s="1"/>
  <c r="P49" i="47"/>
  <c r="P72" i="49" s="1"/>
  <c r="J18" i="54" l="1"/>
  <c r="J183" i="44" s="1"/>
  <c r="O49" i="47"/>
  <c r="O72" i="49" s="1"/>
  <c r="I18" i="54" l="1"/>
  <c r="I183" i="44" s="1"/>
  <c r="N49" i="47"/>
  <c r="N72" i="49" s="1"/>
  <c r="H18" i="54" l="1"/>
  <c r="H183" i="44" s="1"/>
  <c r="M49" i="47"/>
  <c r="M72" i="49" s="1"/>
  <c r="G18" i="54" l="1"/>
  <c r="G183" i="44" s="1"/>
  <c r="L49" i="47"/>
  <c r="L72" i="49" s="1"/>
  <c r="F18" i="54" l="1"/>
  <c r="F183" i="44" s="1"/>
  <c r="K49" i="47"/>
  <c r="K72" i="49" s="1"/>
  <c r="E18" i="54" l="1"/>
  <c r="E183" i="44" s="1"/>
  <c r="J49" i="47"/>
  <c r="J72" i="49" s="1"/>
  <c r="D18" i="54" l="1"/>
  <c r="D183" i="44" s="1"/>
  <c r="I49" i="47"/>
  <c r="I72" i="49" s="1"/>
  <c r="C57" i="44" l="1"/>
  <c r="C18" i="54"/>
  <c r="C183" i="44" s="1"/>
  <c r="H49" i="47"/>
  <c r="H72" i="49" s="1"/>
  <c r="R17" i="54" l="1"/>
  <c r="R182" i="44" s="1"/>
  <c r="G49" i="47"/>
  <c r="G72" i="49" s="1"/>
  <c r="Q17" i="54" l="1"/>
  <c r="Q182" i="44" s="1"/>
  <c r="F49" i="47"/>
  <c r="F72" i="49" s="1"/>
  <c r="P17" i="54" l="1"/>
  <c r="P182" i="44" s="1"/>
  <c r="E49" i="47"/>
  <c r="E72" i="49" s="1"/>
  <c r="O17" i="54" l="1"/>
  <c r="O182" i="44" s="1"/>
  <c r="D49" i="47"/>
  <c r="D72" i="49" s="1"/>
  <c r="N17" i="54" l="1"/>
  <c r="N182" i="44" s="1"/>
  <c r="C5" i="49"/>
  <c r="C49" i="47"/>
  <c r="C72" i="49" s="1"/>
  <c r="M17" i="54" l="1"/>
  <c r="M182" i="44" s="1"/>
  <c r="R48" i="47"/>
  <c r="R71" i="49" s="1"/>
  <c r="L17" i="54" l="1"/>
  <c r="L182" i="44" s="1"/>
  <c r="Q48" i="47"/>
  <c r="Q71" i="49" s="1"/>
  <c r="K17" i="54" l="1"/>
  <c r="K182" i="44" s="1"/>
  <c r="P48" i="47"/>
  <c r="P71" i="49" s="1"/>
  <c r="J17" i="54" l="1"/>
  <c r="J182" i="44" s="1"/>
  <c r="O48" i="47"/>
  <c r="O71" i="49" s="1"/>
  <c r="I17" i="54" l="1"/>
  <c r="I182" i="44" s="1"/>
  <c r="N48" i="47"/>
  <c r="N71" i="49" s="1"/>
  <c r="H17" i="54" l="1"/>
  <c r="H182" i="44" s="1"/>
  <c r="M48" i="47"/>
  <c r="M71" i="49" s="1"/>
  <c r="G17" i="54" l="1"/>
  <c r="G182" i="44" s="1"/>
  <c r="L48" i="47"/>
  <c r="L71" i="49" s="1"/>
  <c r="F17" i="54" l="1"/>
  <c r="F182" i="44" s="1"/>
  <c r="K48" i="47"/>
  <c r="K71" i="49" s="1"/>
  <c r="E17" i="54" l="1"/>
  <c r="E182" i="44" s="1"/>
  <c r="J48" i="47"/>
  <c r="J71" i="49" s="1"/>
  <c r="D17" i="54" l="1"/>
  <c r="D182" i="44" s="1"/>
  <c r="I48" i="47"/>
  <c r="I71" i="49" s="1"/>
  <c r="C56" i="44" l="1"/>
  <c r="C17" i="54"/>
  <c r="C182" i="44" s="1"/>
  <c r="H48" i="47"/>
  <c r="H71" i="49" s="1"/>
  <c r="R16" i="54" l="1"/>
  <c r="R181" i="44" s="1"/>
  <c r="G48" i="47"/>
  <c r="G71" i="49" s="1"/>
  <c r="Q16" i="54" l="1"/>
  <c r="Q181" i="44" s="1"/>
  <c r="F48" i="47"/>
  <c r="F71" i="49" s="1"/>
  <c r="P16" i="54" l="1"/>
  <c r="P181" i="44" s="1"/>
  <c r="E48" i="47"/>
  <c r="E71" i="49" s="1"/>
  <c r="O16" i="54" l="1"/>
  <c r="O181" i="44" s="1"/>
  <c r="D48" i="47"/>
  <c r="D71" i="49" s="1"/>
  <c r="N16" i="54" l="1"/>
  <c r="N181" i="44" s="1"/>
  <c r="C4" i="49"/>
  <c r="C48" i="47"/>
  <c r="C71" i="49" s="1"/>
  <c r="M16" i="54" l="1"/>
  <c r="M181" i="44" s="1"/>
  <c r="R47" i="47"/>
  <c r="R70" i="49" s="1"/>
  <c r="L16" i="54" l="1"/>
  <c r="L181" i="44" s="1"/>
  <c r="Q47" i="47"/>
  <c r="Q70" i="49" s="1"/>
  <c r="K16" i="54" l="1"/>
  <c r="K181" i="44" s="1"/>
  <c r="P47" i="47"/>
  <c r="P70" i="49" s="1"/>
  <c r="J16" i="54" l="1"/>
  <c r="J181" i="44" s="1"/>
  <c r="O47" i="47"/>
  <c r="O70" i="49" s="1"/>
  <c r="I16" i="54" l="1"/>
  <c r="I181" i="44" s="1"/>
  <c r="N47" i="47"/>
  <c r="N70" i="49" s="1"/>
  <c r="H16" i="54" l="1"/>
  <c r="H181" i="44" s="1"/>
  <c r="M47" i="47"/>
  <c r="M70" i="49" s="1"/>
  <c r="G16" i="54" l="1"/>
  <c r="G181" i="44" s="1"/>
  <c r="L47" i="47"/>
  <c r="L70" i="49" s="1"/>
  <c r="F16" i="54" l="1"/>
  <c r="F181" i="44" s="1"/>
  <c r="K47" i="47"/>
  <c r="K70" i="49" s="1"/>
  <c r="E16" i="54" l="1"/>
  <c r="E181" i="44" s="1"/>
  <c r="J47" i="47"/>
  <c r="J70" i="49" s="1"/>
  <c r="D16" i="54" l="1"/>
  <c r="D181" i="44" s="1"/>
  <c r="I47" i="47"/>
  <c r="I70" i="49" s="1"/>
  <c r="C55" i="44" l="1"/>
  <c r="C16" i="54"/>
  <c r="C181" i="44" s="1"/>
  <c r="H47" i="47"/>
  <c r="H70" i="49" s="1"/>
  <c r="R15" i="54" l="1"/>
  <c r="R180" i="44" s="1"/>
  <c r="G47" i="47"/>
  <c r="G70" i="49" s="1"/>
  <c r="Q15" i="54" l="1"/>
  <c r="Q180" i="44" s="1"/>
  <c r="F47" i="47"/>
  <c r="F70" i="49" s="1"/>
  <c r="P15" i="54" l="1"/>
  <c r="P180" i="44" s="1"/>
  <c r="E47" i="47"/>
  <c r="E70" i="49" s="1"/>
  <c r="O15" i="54" l="1"/>
  <c r="O180" i="44" s="1"/>
  <c r="D47" i="47"/>
  <c r="D70" i="49" s="1"/>
  <c r="N15" i="54" l="1"/>
  <c r="N180" i="44" s="1"/>
  <c r="C3" i="49"/>
  <c r="C47" i="47"/>
  <c r="C70" i="49" s="1"/>
  <c r="M15" i="54" l="1"/>
  <c r="M180" i="44" s="1"/>
  <c r="R46" i="47"/>
  <c r="R69" i="49" s="1"/>
  <c r="L15" i="54" l="1"/>
  <c r="L180" i="44" s="1"/>
  <c r="Q46" i="47"/>
  <c r="Q69" i="49" s="1"/>
  <c r="K15" i="54" l="1"/>
  <c r="K180" i="44" s="1"/>
  <c r="P46" i="47"/>
  <c r="P69" i="49" s="1"/>
  <c r="J15" i="54" l="1"/>
  <c r="J180" i="44" s="1"/>
  <c r="O46" i="47"/>
  <c r="O69" i="49" s="1"/>
  <c r="I15" i="54" l="1"/>
  <c r="I180" i="44" s="1"/>
  <c r="N46" i="47"/>
  <c r="N69" i="49" s="1"/>
  <c r="H15" i="54" l="1"/>
  <c r="H180" i="44" s="1"/>
  <c r="M46" i="47"/>
  <c r="M69" i="49" s="1"/>
  <c r="G15" i="54" l="1"/>
  <c r="G180" i="44" s="1"/>
  <c r="L46" i="47"/>
  <c r="L69" i="49" s="1"/>
  <c r="F15" i="54" l="1"/>
  <c r="F180" i="44" s="1"/>
  <c r="K46" i="47"/>
  <c r="K69" i="49" s="1"/>
  <c r="E15" i="54" l="1"/>
  <c r="E180" i="44" s="1"/>
  <c r="J46" i="47"/>
  <c r="J69" i="49" s="1"/>
  <c r="D15" i="54" l="1"/>
  <c r="D180" i="44" s="1"/>
  <c r="I46" i="47"/>
  <c r="I69" i="49" s="1"/>
  <c r="C54" i="44" l="1"/>
  <c r="C15" i="54"/>
  <c r="C180" i="44" s="1"/>
  <c r="H46" i="47"/>
  <c r="H69" i="49" s="1"/>
  <c r="R14" i="54" l="1"/>
  <c r="R179" i="44" s="1"/>
  <c r="G46" i="47"/>
  <c r="G69" i="49" s="1"/>
  <c r="Q14" i="54" l="1"/>
  <c r="Q179" i="44" s="1"/>
  <c r="F46" i="47"/>
  <c r="F69" i="49" s="1"/>
  <c r="P14" i="54" l="1"/>
  <c r="P179" i="44" s="1"/>
  <c r="E46" i="47"/>
  <c r="E69" i="49" s="1"/>
  <c r="O14" i="54" l="1"/>
  <c r="O179" i="44" s="1"/>
  <c r="D46" i="47"/>
  <c r="D69" i="49" s="1"/>
  <c r="N14" i="54" l="1"/>
  <c r="N179" i="44" s="1"/>
  <c r="C2" i="49"/>
  <c r="C46" i="47"/>
  <c r="C69" i="49" s="1"/>
  <c r="M14" i="54" l="1"/>
  <c r="M179" i="44" s="1"/>
  <c r="R45" i="47"/>
  <c r="R68" i="49" s="1"/>
  <c r="L14" i="54" l="1"/>
  <c r="L179" i="44" s="1"/>
  <c r="Q45" i="47"/>
  <c r="Q68" i="49" s="1"/>
  <c r="K14" i="54" l="1"/>
  <c r="K179" i="44" s="1"/>
  <c r="P45" i="47"/>
  <c r="P68" i="49" s="1"/>
  <c r="J14" i="54" l="1"/>
  <c r="J179" i="44" s="1"/>
  <c r="O45" i="47"/>
  <c r="O68" i="49" s="1"/>
  <c r="I14" i="54" l="1"/>
  <c r="I179" i="44" s="1"/>
  <c r="N45" i="47"/>
  <c r="N68" i="49" s="1"/>
  <c r="H14" i="54" l="1"/>
  <c r="H179" i="44" s="1"/>
  <c r="M45" i="47"/>
  <c r="M68" i="49" s="1"/>
  <c r="G14" i="54" l="1"/>
  <c r="G179" i="44" s="1"/>
  <c r="L45" i="47"/>
  <c r="L68" i="49" s="1"/>
  <c r="F14" i="54" l="1"/>
  <c r="F179" i="44" s="1"/>
  <c r="K45" i="47"/>
  <c r="K68" i="49" s="1"/>
  <c r="E14" i="54" l="1"/>
  <c r="E179" i="44" s="1"/>
  <c r="J45" i="47"/>
  <c r="J68" i="49" s="1"/>
  <c r="D14" i="54" l="1"/>
  <c r="D179" i="44" s="1"/>
  <c r="I45" i="47"/>
  <c r="I68" i="49" s="1"/>
  <c r="C53" i="44" l="1"/>
  <c r="C14" i="54"/>
  <c r="C179" i="44" s="1"/>
  <c r="H45" i="47"/>
  <c r="H68" i="49" s="1"/>
  <c r="R13" i="54" l="1"/>
  <c r="R178" i="44" s="1"/>
  <c r="G45" i="47"/>
  <c r="G68" i="49" s="1"/>
  <c r="Q13" i="54" l="1"/>
  <c r="Q178" i="44" s="1"/>
  <c r="F45" i="47"/>
  <c r="F68" i="49" s="1"/>
  <c r="P13" i="54" l="1"/>
  <c r="P178" i="44" s="1"/>
  <c r="E45" i="47"/>
  <c r="E68" i="49" s="1"/>
  <c r="O13" i="54" l="1"/>
  <c r="O178" i="44" s="1"/>
  <c r="D45" i="47"/>
  <c r="D68" i="49" s="1"/>
  <c r="N13" i="54" l="1"/>
  <c r="N178" i="44" s="1"/>
  <c r="C8" i="48"/>
  <c r="C45" i="47"/>
  <c r="C68" i="49" s="1"/>
  <c r="M13" i="54" l="1"/>
  <c r="M178" i="44" s="1"/>
  <c r="R44" i="47"/>
  <c r="R74" i="48" s="1"/>
  <c r="L13" i="54" l="1"/>
  <c r="L178" i="44" s="1"/>
  <c r="Q44" i="47"/>
  <c r="Q74" i="48" s="1"/>
  <c r="K13" i="54" l="1"/>
  <c r="K178" i="44" s="1"/>
  <c r="P44" i="47"/>
  <c r="P74" i="48" s="1"/>
  <c r="J13" i="54" l="1"/>
  <c r="J178" i="44" s="1"/>
  <c r="O44" i="47"/>
  <c r="O74" i="48" s="1"/>
  <c r="I13" i="54" l="1"/>
  <c r="I178" i="44" s="1"/>
  <c r="N44" i="47"/>
  <c r="N74" i="48" s="1"/>
  <c r="H13" i="54" l="1"/>
  <c r="H178" i="44" s="1"/>
  <c r="M44" i="47"/>
  <c r="M74" i="48" s="1"/>
  <c r="G13" i="54" l="1"/>
  <c r="G178" i="44" s="1"/>
  <c r="L44" i="47"/>
  <c r="L74" i="48" s="1"/>
  <c r="F13" i="54" l="1"/>
  <c r="F178" i="44" s="1"/>
  <c r="K44" i="47"/>
  <c r="K74" i="48" s="1"/>
  <c r="E13" i="54" l="1"/>
  <c r="E178" i="44" s="1"/>
  <c r="J44" i="47"/>
  <c r="J74" i="48" s="1"/>
  <c r="D13" i="54" l="1"/>
  <c r="D178" i="44" s="1"/>
  <c r="I44" i="47"/>
  <c r="I74" i="48" s="1"/>
  <c r="C52" i="44" l="1"/>
  <c r="C13" i="54"/>
  <c r="C178" i="44" s="1"/>
  <c r="H44" i="47"/>
  <c r="H74" i="48" s="1"/>
  <c r="R12" i="54" l="1"/>
  <c r="R177" i="44" s="1"/>
  <c r="G44" i="47"/>
  <c r="G74" i="48" s="1"/>
  <c r="Q12" i="54" l="1"/>
  <c r="Q177" i="44" s="1"/>
  <c r="F44" i="47"/>
  <c r="F74" i="48" s="1"/>
  <c r="P12" i="54" l="1"/>
  <c r="P177" i="44" s="1"/>
  <c r="E44" i="47"/>
  <c r="E74" i="48" s="1"/>
  <c r="O12" i="54" l="1"/>
  <c r="O177" i="44" s="1"/>
  <c r="D44" i="47"/>
  <c r="D74" i="48" s="1"/>
  <c r="N12" i="54" l="1"/>
  <c r="N177" i="44" s="1"/>
  <c r="C7" i="48"/>
  <c r="C44" i="47"/>
  <c r="C74" i="48" s="1"/>
  <c r="M12" i="54" l="1"/>
  <c r="M177" i="44" s="1"/>
  <c r="R43" i="47"/>
  <c r="R73" i="48" s="1"/>
  <c r="L12" i="54" l="1"/>
  <c r="L177" i="44" s="1"/>
  <c r="Q43" i="47"/>
  <c r="Q73" i="48" s="1"/>
  <c r="K12" i="54" l="1"/>
  <c r="K177" i="44" s="1"/>
  <c r="P43" i="47"/>
  <c r="P73" i="48" s="1"/>
  <c r="J12" i="54" l="1"/>
  <c r="J177" i="44" s="1"/>
  <c r="O43" i="47"/>
  <c r="O73" i="48" s="1"/>
  <c r="I12" i="54" l="1"/>
  <c r="I177" i="44" s="1"/>
  <c r="N43" i="47"/>
  <c r="N73" i="48" s="1"/>
  <c r="H12" i="54" l="1"/>
  <c r="H177" i="44" s="1"/>
  <c r="M43" i="47"/>
  <c r="M73" i="48" s="1"/>
  <c r="G12" i="54" l="1"/>
  <c r="G177" i="44" s="1"/>
  <c r="L43" i="47"/>
  <c r="L73" i="48" s="1"/>
  <c r="F12" i="54" l="1"/>
  <c r="F177" i="44" s="1"/>
  <c r="K43" i="47"/>
  <c r="K73" i="48" s="1"/>
  <c r="E12" i="54" l="1"/>
  <c r="E177" i="44" s="1"/>
  <c r="J43" i="47"/>
  <c r="J73" i="48" s="1"/>
  <c r="D12" i="54" l="1"/>
  <c r="D177" i="44" s="1"/>
  <c r="I43" i="47"/>
  <c r="I73" i="48" s="1"/>
  <c r="C51" i="44" l="1"/>
  <c r="C12" i="54"/>
  <c r="C177" i="44" s="1"/>
  <c r="H43" i="47"/>
  <c r="H73" i="48" s="1"/>
  <c r="R11" i="54" l="1"/>
  <c r="R176" i="44" s="1"/>
  <c r="G43" i="47"/>
  <c r="G73" i="48" s="1"/>
  <c r="Q11" i="54" l="1"/>
  <c r="Q176" i="44" s="1"/>
  <c r="F43" i="47"/>
  <c r="F73" i="48" s="1"/>
  <c r="P11" i="54" l="1"/>
  <c r="P176" i="44" s="1"/>
  <c r="E43" i="47"/>
  <c r="E73" i="48" s="1"/>
  <c r="O11" i="54" l="1"/>
  <c r="O176" i="44" s="1"/>
  <c r="D43" i="47"/>
  <c r="D73" i="48" s="1"/>
  <c r="N11" i="54" l="1"/>
  <c r="N176" i="44" s="1"/>
  <c r="C6" i="48"/>
  <c r="C43" i="47"/>
  <c r="C73" i="48" s="1"/>
  <c r="M11" i="54" l="1"/>
  <c r="M176" i="44" s="1"/>
  <c r="R42" i="47"/>
  <c r="R72" i="48" s="1"/>
  <c r="L11" i="54" l="1"/>
  <c r="L176" i="44" s="1"/>
  <c r="Q42" i="47"/>
  <c r="Q72" i="48" s="1"/>
  <c r="K11" i="54" l="1"/>
  <c r="K176" i="44" s="1"/>
  <c r="P42" i="47"/>
  <c r="P72" i="48" s="1"/>
  <c r="J11" i="54" l="1"/>
  <c r="J176" i="44" s="1"/>
  <c r="O42" i="47"/>
  <c r="O72" i="48" s="1"/>
  <c r="I11" i="54" l="1"/>
  <c r="I176" i="44" s="1"/>
  <c r="N42" i="47"/>
  <c r="N72" i="48" s="1"/>
  <c r="H11" i="54" l="1"/>
  <c r="H176" i="44" s="1"/>
  <c r="M42" i="47"/>
  <c r="M72" i="48" s="1"/>
  <c r="G11" i="54" l="1"/>
  <c r="G176" i="44" s="1"/>
  <c r="L42" i="47"/>
  <c r="L72" i="48" s="1"/>
  <c r="F11" i="54" l="1"/>
  <c r="F176" i="44" s="1"/>
  <c r="K42" i="47"/>
  <c r="K72" i="48" s="1"/>
  <c r="E11" i="54" l="1"/>
  <c r="E176" i="44" s="1"/>
  <c r="J42" i="47"/>
  <c r="J72" i="48" s="1"/>
  <c r="D11" i="54" l="1"/>
  <c r="D176" i="44" s="1"/>
  <c r="I42" i="47"/>
  <c r="I72" i="48" s="1"/>
  <c r="C50" i="44" l="1"/>
  <c r="C11" i="54"/>
  <c r="C176" i="44" s="1"/>
  <c r="H42" i="47"/>
  <c r="H72" i="48" s="1"/>
  <c r="R10" i="54" l="1"/>
  <c r="R175" i="44" s="1"/>
  <c r="G42" i="47"/>
  <c r="G72" i="48" s="1"/>
  <c r="Q10" i="54" l="1"/>
  <c r="Q175" i="44" s="1"/>
  <c r="F42" i="47"/>
  <c r="F72" i="48" s="1"/>
  <c r="P10" i="54" l="1"/>
  <c r="P175" i="44" s="1"/>
  <c r="E42" i="47"/>
  <c r="E72" i="48" s="1"/>
  <c r="O10" i="54" l="1"/>
  <c r="O175" i="44" s="1"/>
  <c r="D42" i="47"/>
  <c r="D72" i="48" s="1"/>
  <c r="N10" i="54" l="1"/>
  <c r="N175" i="44" s="1"/>
  <c r="C5" i="48"/>
  <c r="C42" i="47"/>
  <c r="C72" i="48" s="1"/>
  <c r="M10" i="54" l="1"/>
  <c r="M175" i="44" s="1"/>
  <c r="R41" i="47"/>
  <c r="R71" i="48" s="1"/>
  <c r="L10" i="54" l="1"/>
  <c r="L175" i="44" s="1"/>
  <c r="Q41" i="47"/>
  <c r="Q71" i="48" s="1"/>
  <c r="K10" i="54" l="1"/>
  <c r="K175" i="44" s="1"/>
  <c r="P41" i="47"/>
  <c r="P71" i="48" s="1"/>
  <c r="J10" i="54" l="1"/>
  <c r="J175" i="44" s="1"/>
  <c r="O41" i="47"/>
  <c r="O71" i="48" s="1"/>
  <c r="I10" i="54" l="1"/>
  <c r="I175" i="44" s="1"/>
  <c r="N41" i="47"/>
  <c r="N71" i="48" s="1"/>
  <c r="H10" i="54" l="1"/>
  <c r="H175" i="44" s="1"/>
  <c r="M41" i="47"/>
  <c r="M71" i="48" s="1"/>
  <c r="G10" i="54" l="1"/>
  <c r="G175" i="44" s="1"/>
  <c r="L41" i="47"/>
  <c r="L71" i="48" s="1"/>
  <c r="F10" i="54" l="1"/>
  <c r="F175" i="44" s="1"/>
  <c r="K41" i="47"/>
  <c r="K71" i="48" s="1"/>
  <c r="E10" i="54" l="1"/>
  <c r="E175" i="44" s="1"/>
  <c r="J41" i="47"/>
  <c r="J71" i="48" s="1"/>
  <c r="D10" i="54" l="1"/>
  <c r="D175" i="44" s="1"/>
  <c r="I41" i="47"/>
  <c r="I71" i="48" s="1"/>
  <c r="C49" i="44" l="1"/>
  <c r="C10" i="54"/>
  <c r="C175" i="44" s="1"/>
  <c r="H41" i="47"/>
  <c r="H71" i="48" s="1"/>
  <c r="R9" i="54" l="1"/>
  <c r="R174" i="44" s="1"/>
  <c r="G41" i="47"/>
  <c r="G71" i="48" s="1"/>
  <c r="Q9" i="54" l="1"/>
  <c r="Q174" i="44" s="1"/>
  <c r="F41" i="47"/>
  <c r="F71" i="48" s="1"/>
  <c r="P9" i="54" l="1"/>
  <c r="P174" i="44" s="1"/>
  <c r="E41" i="47"/>
  <c r="E71" i="48" s="1"/>
  <c r="O9" i="54" l="1"/>
  <c r="O174" i="44" s="1"/>
  <c r="D41" i="47"/>
  <c r="D71" i="48" s="1"/>
  <c r="N9" i="54" l="1"/>
  <c r="N174" i="44" s="1"/>
  <c r="C4" i="48"/>
  <c r="C41" i="47"/>
  <c r="C71" i="48" s="1"/>
  <c r="M9" i="54" l="1"/>
  <c r="M174" i="44" s="1"/>
  <c r="R40" i="47"/>
  <c r="R70" i="48" s="1"/>
  <c r="L9" i="54" l="1"/>
  <c r="L174" i="44" s="1"/>
  <c r="Q40" i="47"/>
  <c r="Q70" i="48" s="1"/>
  <c r="K9" i="54" l="1"/>
  <c r="K174" i="44" s="1"/>
  <c r="P40" i="47"/>
  <c r="P70" i="48" s="1"/>
  <c r="J9" i="54" l="1"/>
  <c r="J174" i="44" s="1"/>
  <c r="O40" i="47"/>
  <c r="O70" i="48" s="1"/>
  <c r="I9" i="54" l="1"/>
  <c r="I174" i="44" s="1"/>
  <c r="N40" i="47"/>
  <c r="N70" i="48" s="1"/>
  <c r="H9" i="54" l="1"/>
  <c r="H174" i="44" s="1"/>
  <c r="M40" i="47"/>
  <c r="M70" i="48" s="1"/>
  <c r="G9" i="54" l="1"/>
  <c r="G174" i="44" s="1"/>
  <c r="L40" i="47"/>
  <c r="L70" i="48" s="1"/>
  <c r="F9" i="54" l="1"/>
  <c r="F174" i="44" s="1"/>
  <c r="K40" i="47"/>
  <c r="K70" i="48" s="1"/>
  <c r="E9" i="54" l="1"/>
  <c r="E174" i="44" s="1"/>
  <c r="J40" i="47"/>
  <c r="J70" i="48" s="1"/>
  <c r="D9" i="54" l="1"/>
  <c r="D174" i="44" s="1"/>
  <c r="I40" i="47"/>
  <c r="I70" i="48" s="1"/>
  <c r="C48" i="44" l="1"/>
  <c r="C9" i="54"/>
  <c r="C174" i="44" s="1"/>
  <c r="H40" i="47"/>
  <c r="H70" i="48" s="1"/>
  <c r="R8" i="54" l="1"/>
  <c r="R173" i="44" s="1"/>
  <c r="G40" i="47"/>
  <c r="G70" i="48" s="1"/>
  <c r="Q8" i="54" l="1"/>
  <c r="Q173" i="44" s="1"/>
  <c r="F40" i="47"/>
  <c r="F70" i="48" s="1"/>
  <c r="P8" i="54" l="1"/>
  <c r="P173" i="44" s="1"/>
  <c r="E40" i="47"/>
  <c r="E70" i="48" s="1"/>
  <c r="O8" i="54" l="1"/>
  <c r="O173" i="44" s="1"/>
  <c r="D40" i="47"/>
  <c r="D70" i="48" s="1"/>
  <c r="N8" i="54" l="1"/>
  <c r="N173" i="44" s="1"/>
  <c r="C3" i="48"/>
  <c r="C40" i="47"/>
  <c r="C70" i="48" s="1"/>
  <c r="M8" i="54" l="1"/>
  <c r="M173" i="44" s="1"/>
  <c r="R39" i="47"/>
  <c r="R69" i="48" s="1"/>
  <c r="L8" i="54" l="1"/>
  <c r="L173" i="44" s="1"/>
  <c r="Q39" i="47"/>
  <c r="Q69" i="48" s="1"/>
  <c r="K8" i="54" l="1"/>
  <c r="K173" i="44" s="1"/>
  <c r="P39" i="47"/>
  <c r="P69" i="48" s="1"/>
  <c r="J8" i="54" l="1"/>
  <c r="J173" i="44" s="1"/>
  <c r="O39" i="47"/>
  <c r="O69" i="48" s="1"/>
  <c r="I8" i="54" l="1"/>
  <c r="I173" i="44" s="1"/>
  <c r="N39" i="47"/>
  <c r="N69" i="48" s="1"/>
  <c r="H8" i="54" l="1"/>
  <c r="H173" i="44" s="1"/>
  <c r="M39" i="47"/>
  <c r="M69" i="48" s="1"/>
  <c r="G8" i="54" l="1"/>
  <c r="G173" i="44" s="1"/>
  <c r="L39" i="47"/>
  <c r="L69" i="48" s="1"/>
  <c r="F8" i="54" l="1"/>
  <c r="F173" i="44" s="1"/>
  <c r="K39" i="47"/>
  <c r="K69" i="48" s="1"/>
  <c r="E8" i="54" l="1"/>
  <c r="E173" i="44" s="1"/>
  <c r="J39" i="47"/>
  <c r="J69" i="48" s="1"/>
  <c r="D8" i="54" l="1"/>
  <c r="D173" i="44" s="1"/>
  <c r="I39" i="47"/>
  <c r="I69" i="48" s="1"/>
  <c r="C47" i="44" l="1"/>
  <c r="C8" i="54"/>
  <c r="C173" i="44" s="1"/>
  <c r="H39" i="47"/>
  <c r="H69" i="48" s="1"/>
  <c r="R7" i="54" l="1"/>
  <c r="R172" i="44" s="1"/>
  <c r="G39" i="47"/>
  <c r="G69" i="48" s="1"/>
  <c r="Q7" i="54" l="1"/>
  <c r="Q172" i="44" s="1"/>
  <c r="F39" i="47"/>
  <c r="F69" i="48" s="1"/>
  <c r="P7" i="54" l="1"/>
  <c r="P172" i="44" s="1"/>
  <c r="E39" i="47"/>
  <c r="E69" i="48" s="1"/>
  <c r="O7" i="54" l="1"/>
  <c r="O172" i="44" s="1"/>
  <c r="D39" i="47"/>
  <c r="D69" i="48" s="1"/>
  <c r="N7" i="54" l="1"/>
  <c r="N172" i="44" s="1"/>
  <c r="C2" i="48"/>
  <c r="C39" i="47"/>
  <c r="C69" i="48" s="1"/>
  <c r="M7" i="54" l="1"/>
  <c r="M172" i="44" s="1"/>
  <c r="R38" i="47"/>
  <c r="R68" i="48" s="1"/>
  <c r="L7" i="54" l="1"/>
  <c r="L172" i="44" s="1"/>
  <c r="Q38" i="47"/>
  <c r="Q68" i="48" s="1"/>
  <c r="K7" i="54" l="1"/>
  <c r="K172" i="44" s="1"/>
  <c r="P38" i="47"/>
  <c r="P68" i="48" s="1"/>
  <c r="J7" i="54" l="1"/>
  <c r="J172" i="44" s="1"/>
  <c r="O38" i="47"/>
  <c r="O68" i="48" s="1"/>
  <c r="I7" i="54" l="1"/>
  <c r="I172" i="44" s="1"/>
  <c r="N38" i="47"/>
  <c r="N68" i="48" s="1"/>
  <c r="H7" i="54" l="1"/>
  <c r="H172" i="44" s="1"/>
  <c r="M38" i="47"/>
  <c r="M68" i="48" s="1"/>
  <c r="G7" i="54" l="1"/>
  <c r="G172" i="44" s="1"/>
  <c r="L38" i="47"/>
  <c r="L68" i="48" s="1"/>
  <c r="F7" i="54" l="1"/>
  <c r="F172" i="44" s="1"/>
  <c r="K38" i="47"/>
  <c r="K68" i="48" s="1"/>
  <c r="E7" i="54" l="1"/>
  <c r="E172" i="44" s="1"/>
  <c r="J38" i="47"/>
  <c r="J68" i="48" s="1"/>
  <c r="D7" i="54" l="1"/>
  <c r="D172" i="44" s="1"/>
  <c r="I38" i="47"/>
  <c r="I68" i="48" s="1"/>
  <c r="C46" i="44" l="1"/>
  <c r="C7" i="54"/>
  <c r="C172" i="44" s="1"/>
  <c r="H38" i="47"/>
  <c r="H68" i="48" s="1"/>
  <c r="R6" i="54" l="1"/>
  <c r="R171" i="44" s="1"/>
  <c r="G38" i="47"/>
  <c r="G68" i="48" s="1"/>
  <c r="Q6" i="54" l="1"/>
  <c r="Q171" i="44" s="1"/>
  <c r="F38" i="47"/>
  <c r="F68" i="48" s="1"/>
  <c r="P6" i="54" l="1"/>
  <c r="P171" i="44" s="1"/>
  <c r="E38" i="47"/>
  <c r="E68" i="48" s="1"/>
  <c r="O6" i="54" l="1"/>
  <c r="O171" i="44" s="1"/>
  <c r="D38" i="47"/>
  <c r="D68" i="48" s="1"/>
  <c r="N6" i="54" l="1"/>
  <c r="N171" i="44" s="1"/>
  <c r="C9" i="46"/>
  <c r="C38" i="47"/>
  <c r="C68" i="48" s="1"/>
  <c r="M6" i="54" l="1"/>
  <c r="M171" i="44" s="1"/>
  <c r="R37" i="47"/>
  <c r="R74" i="46" s="1"/>
  <c r="L6" i="54" l="1"/>
  <c r="L171" i="44" s="1"/>
  <c r="Q37" i="47"/>
  <c r="Q74" i="46" s="1"/>
  <c r="K6" i="54" l="1"/>
  <c r="K171" i="44" s="1"/>
  <c r="P37" i="47"/>
  <c r="P74" i="46" s="1"/>
  <c r="J6" i="54" l="1"/>
  <c r="J171" i="44" s="1"/>
  <c r="O37" i="47"/>
  <c r="O74" i="46" s="1"/>
  <c r="I6" i="54" l="1"/>
  <c r="I171" i="44" s="1"/>
  <c r="N37" i="47"/>
  <c r="N74" i="46" s="1"/>
  <c r="H6" i="54" l="1"/>
  <c r="H171" i="44" s="1"/>
  <c r="C8" i="46"/>
  <c r="M37" i="47"/>
  <c r="M74" i="46" s="1"/>
  <c r="G6" i="54" l="1"/>
  <c r="G171" i="44" s="1"/>
  <c r="R36" i="47"/>
  <c r="R73" i="46" s="1"/>
  <c r="F6" i="54" l="1"/>
  <c r="F171" i="44" s="1"/>
  <c r="Q36" i="47"/>
  <c r="Q73" i="46" s="1"/>
  <c r="E6" i="54" l="1"/>
  <c r="E171" i="44" s="1"/>
  <c r="P36" i="47"/>
  <c r="P73" i="46" s="1"/>
  <c r="D6" i="54" l="1"/>
  <c r="D171" i="44" s="1"/>
  <c r="O36" i="47"/>
  <c r="O73" i="46" s="1"/>
  <c r="C45" i="44" l="1"/>
  <c r="C6" i="54"/>
  <c r="C171" i="44" s="1"/>
  <c r="N36" i="47"/>
  <c r="N73" i="46" s="1"/>
  <c r="R5" i="54" l="1"/>
  <c r="R170" i="44" s="1"/>
  <c r="M36" i="47"/>
  <c r="M73" i="46" s="1"/>
  <c r="Q5" i="54" l="1"/>
  <c r="Q170" i="44" s="1"/>
  <c r="L36" i="47"/>
  <c r="L73" i="46" s="1"/>
  <c r="P5" i="54" l="1"/>
  <c r="P170" i="44" s="1"/>
  <c r="K36" i="47"/>
  <c r="K73" i="46" s="1"/>
  <c r="O5" i="54" l="1"/>
  <c r="O170" i="44" s="1"/>
  <c r="J36" i="47"/>
  <c r="J73" i="46" s="1"/>
  <c r="N5" i="54" l="1"/>
  <c r="N170" i="44" s="1"/>
  <c r="I36" i="47"/>
  <c r="I73" i="46" s="1"/>
  <c r="M5" i="54" l="1"/>
  <c r="M170" i="44" s="1"/>
  <c r="H36" i="47"/>
  <c r="H73" i="46" s="1"/>
  <c r="L5" i="54" l="1"/>
  <c r="L170" i="44" s="1"/>
  <c r="G36" i="47"/>
  <c r="G73" i="46" s="1"/>
  <c r="K5" i="54" l="1"/>
  <c r="K170" i="44" s="1"/>
  <c r="F36" i="47"/>
  <c r="F73" i="46" s="1"/>
  <c r="J5" i="54" l="1"/>
  <c r="J170" i="44" s="1"/>
  <c r="E36" i="47"/>
  <c r="E73" i="46" s="1"/>
  <c r="I5" i="54" l="1"/>
  <c r="I170" i="44" s="1"/>
  <c r="D36" i="47"/>
  <c r="D73" i="46" s="1"/>
  <c r="H5" i="54" l="1"/>
  <c r="H170" i="44" s="1"/>
  <c r="C7" i="46"/>
  <c r="C36" i="47"/>
  <c r="C73" i="46" s="1"/>
  <c r="G5" i="54" l="1"/>
  <c r="G170" i="44" s="1"/>
  <c r="R35" i="47"/>
  <c r="R72" i="46" s="1"/>
  <c r="F5" i="54" l="1"/>
  <c r="F170" i="44" s="1"/>
  <c r="Q35" i="47"/>
  <c r="Q72" i="46" s="1"/>
  <c r="E5" i="54" l="1"/>
  <c r="E170" i="44" s="1"/>
  <c r="P35" i="47"/>
  <c r="P72" i="46" s="1"/>
  <c r="D5" i="54" l="1"/>
  <c r="D170" i="44" s="1"/>
  <c r="O35" i="47"/>
  <c r="O72" i="46" s="1"/>
  <c r="C44" i="44" l="1"/>
  <c r="C5" i="54"/>
  <c r="C170" i="44" s="1"/>
  <c r="N35" i="47"/>
  <c r="N72" i="46" s="1"/>
  <c r="R4" i="54" l="1"/>
  <c r="R169" i="44" s="1"/>
  <c r="M35" i="47"/>
  <c r="M72" i="46" s="1"/>
  <c r="Q4" i="54" l="1"/>
  <c r="Q169" i="44" s="1"/>
  <c r="L35" i="47"/>
  <c r="L72" i="46" s="1"/>
  <c r="P4" i="54" l="1"/>
  <c r="P169" i="44" s="1"/>
  <c r="K35" i="47"/>
  <c r="K72" i="46" s="1"/>
  <c r="O4" i="54" l="1"/>
  <c r="O169" i="44" s="1"/>
  <c r="J35" i="47"/>
  <c r="J72" i="46" s="1"/>
  <c r="N4" i="54" l="1"/>
  <c r="N169" i="44" s="1"/>
  <c r="I35" i="47"/>
  <c r="I72" i="46" s="1"/>
  <c r="M4" i="54" l="1"/>
  <c r="M169" i="44" s="1"/>
  <c r="H35" i="47"/>
  <c r="H72" i="46" s="1"/>
  <c r="L4" i="54" l="1"/>
  <c r="L169" i="44" s="1"/>
  <c r="G35" i="47"/>
  <c r="G72" i="46" s="1"/>
  <c r="K4" i="54" l="1"/>
  <c r="K169" i="44" s="1"/>
  <c r="E35" i="47"/>
  <c r="E72" i="46" s="1"/>
  <c r="F35" i="47"/>
  <c r="F72" i="46" s="1"/>
  <c r="J4" i="54" l="1"/>
  <c r="J169" i="44" s="1"/>
  <c r="I4" i="54" l="1"/>
  <c r="I169" i="44" s="1"/>
  <c r="H4" i="54" l="1"/>
  <c r="H169" i="44" s="1"/>
  <c r="G4" i="54" l="1"/>
  <c r="G169" i="44" s="1"/>
  <c r="F4" i="54" l="1"/>
  <c r="F169" i="44" s="1"/>
  <c r="E4" i="54" l="1"/>
  <c r="E169" i="44" s="1"/>
  <c r="C4" i="54" l="1"/>
  <c r="C169" i="44" s="1"/>
  <c r="D4" i="54"/>
  <c r="D169" i="44" s="1"/>
</calcChain>
</file>

<file path=xl/sharedStrings.xml><?xml version="1.0" encoding="utf-8"?>
<sst xmlns="http://schemas.openxmlformats.org/spreadsheetml/2006/main" count="3485" uniqueCount="219">
  <si>
    <t>№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</si>
  <si>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</si>
  <si>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</si>
  <si>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</si>
  <si>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</si>
  <si>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</si>
  <si>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</si>
  <si>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</si>
  <si>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</si>
  <si>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</si>
  <si>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</si>
  <si>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</si>
  <si>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</si>
  <si>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</si>
  <si>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</si>
  <si>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</si>
  <si>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</si>
  <si>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</si>
  <si>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</si>
  <si>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</si>
  <si>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</si>
  <si>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</si>
  <si>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</si>
  <si>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</si>
  <si>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</si>
  <si>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</si>
  <si>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</si>
  <si>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</si>
  <si>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</si>
  <si>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</si>
  <si>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</si>
  <si>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</si>
  <si>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</si>
  <si>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</si>
  <si>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</si>
  <si>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</si>
  <si>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</si>
  <si>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</si>
  <si>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</si>
  <si>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Карачаево-Черкесская Республика</t>
  </si>
  <si>
    <t xml:space="preserve">Чеченская Республика </t>
  </si>
  <si>
    <t>Ставропольский край</t>
  </si>
  <si>
    <t>Кабардино-Балкарская Республика</t>
  </si>
  <si>
    <t>Республика Северная Осетия-Алания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</si>
  <si>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</si>
  <si>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</si>
  <si>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</si>
  <si>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</si>
  <si>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</si>
  <si>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</si>
  <si>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</si>
  <si>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</si>
  <si>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</si>
  <si>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</si>
  <si>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</si>
  <si>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</si>
  <si>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</si>
  <si>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</si>
  <si>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</si>
  <si>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</si>
  <si>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</si>
  <si>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</si>
  <si>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</si>
  <si>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</si>
  <si>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</si>
  <si>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</si>
  <si>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</si>
  <si>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</si>
  <si>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</si>
  <si>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</si>
  <si>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</si>
  <si>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</si>
  <si>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</si>
  <si>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Забайкальский край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</si>
  <si>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</si>
  <si>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</si>
  <si>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</si>
  <si>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</si>
  <si>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</si>
  <si>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</si>
  <si>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</si>
  <si>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</si>
  <si>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</si>
  <si>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Название региона</t>
  </si>
  <si>
    <t>–</t>
  </si>
  <si>
    <t>-</t>
  </si>
  <si>
    <t>Vин прод</t>
  </si>
  <si>
    <t>d</t>
  </si>
  <si>
    <t>Vобщ</t>
  </si>
  <si>
    <t>dин прод</t>
  </si>
  <si>
    <t>Zинн</t>
  </si>
  <si>
    <t>gинтен</t>
  </si>
  <si>
    <t>...</t>
  </si>
  <si>
    <t>Проекция</t>
  </si>
  <si>
    <t>Индикаторы</t>
  </si>
  <si>
    <t>Размерность</t>
  </si>
  <si>
    <t>Пояснение</t>
  </si>
  <si>
    <t>Ссылка</t>
  </si>
  <si>
    <t>Нормировка</t>
  </si>
  <si>
    <t>Порог</t>
  </si>
  <si>
    <t>Инновации</t>
  </si>
  <si>
    <t>%</t>
  </si>
  <si>
    <t>https://gks.ru/bgd/regl/B10_14p/IssWWW.exe/Stg/d03/22-15.htm</t>
  </si>
  <si>
    <t>y=2^-(a/x)</t>
  </si>
  <si>
    <t>Интенсивность затрат на инновационную деятельность</t>
  </si>
  <si>
    <t>Затраты на инновационную деятельность / объем реализованной продукции*100</t>
  </si>
  <si>
    <t>Доля инновационной продукции</t>
  </si>
  <si>
    <t>Объем инновационной продукции / объем реализованной продукции*100</t>
  </si>
  <si>
    <t>Жилье</t>
  </si>
  <si>
    <t>Ввод в действие жилых домов / численность населения</t>
  </si>
  <si>
    <t>Общая площадь жилых помещений / численность населения</t>
  </si>
  <si>
    <t>Торговля и услуги</t>
  </si>
  <si>
    <t>Тыс. руб</t>
  </si>
  <si>
    <t>Оборот общественного питания / численность населения</t>
  </si>
  <si>
    <t>Объем платных услуг / численность населения</t>
  </si>
  <si>
    <t>Финансы</t>
  </si>
  <si>
    <t>Объем жилищных кредитов / численность населения</t>
  </si>
  <si>
    <t>Вклады юридических и физических лиц / численность населения</t>
  </si>
  <si>
    <t>14.1</t>
  </si>
  <si>
    <t>14.2</t>
  </si>
  <si>
    <t>14.3</t>
  </si>
  <si>
    <t>16.1</t>
  </si>
  <si>
    <t>16.2</t>
  </si>
  <si>
    <t>16.3</t>
  </si>
  <si>
    <t>13.1</t>
  </si>
  <si>
    <t>13.2</t>
  </si>
  <si>
    <t>13.3</t>
  </si>
  <si>
    <t>https://gks.ru/bgd/regl/B10_14p/IssWWW.exe/Stg/d02/21-02.htm</t>
  </si>
  <si>
    <t>https://gks.ru/bgd/regl/B12_14p/IssWWW.exe/Stg/d03/21-12.htm</t>
  </si>
  <si>
    <t>https://gks.ru/bgd/regl/B10_14p/IssWWW.exe/Stg/d02/21-20.htm</t>
  </si>
  <si>
    <t>https://gks.ru/bgd/regl/B10_14p/IssWWW.exe/Stg/d03/23-11.htm</t>
  </si>
  <si>
    <t>https://gks.ru/bgd/regl/B10_14p/IssWWW.exe/Stg/d03/22-16.htm</t>
  </si>
  <si>
    <t>https://gks.ru/bgd/regl/B13_14p/IssWWW.exe/Stg/d3/21-17.htm</t>
  </si>
  <si>
    <t>https://gks.ru/bgd/regl/B10_14p/IssWWW.exe/Stg/d02/17-05.htm</t>
  </si>
  <si>
    <t>https://gks.ru/bgd/regl/B09_14p/IssWWW.exe/Stg/d1/05-23.htm</t>
  </si>
  <si>
    <t>https://gks.ru/bgd/regl/B09_14p/IssWWW.exe/Stg/d1/05-27.htm</t>
  </si>
  <si>
    <t>Площадь жилья на одного жителя</t>
  </si>
  <si>
    <t>кв.м</t>
  </si>
  <si>
    <t>Инновционные преобразования как мператив устойчивого развития и экономическаой безопасности России.  М.: Анкил, 2013. С. 290.</t>
  </si>
  <si>
    <t>Экономическая безопасность регионов россии. Н.Новгород, 2019</t>
  </si>
  <si>
    <t>https://www.csr.ru/uploads/2018/10/Report-ZH-KH-H-internet-fin-1.pdf</t>
  </si>
  <si>
    <t>кв. м</t>
  </si>
  <si>
    <t>Экспертная оценка: 25 кв.м. (норма владения) /40 лет (срок амортизации)</t>
  </si>
  <si>
    <t>Среднее значение по регионам в 2012 г.</t>
  </si>
  <si>
    <t>https://gks.ru/bgd/regl/B19_14p/Main.htm</t>
  </si>
  <si>
    <t>Налоговые поступления в бюджет / ВВП*100</t>
  </si>
  <si>
    <t>Источник</t>
  </si>
  <si>
    <t>Междунарожные сопоставления</t>
  </si>
  <si>
    <t>Среднее значение по россии за 2012 год пересчитывается в соответствии с дефляторами*</t>
  </si>
  <si>
    <t>Среднее значение по россии за 2012 год пересчитывается в соответствии с дефляторами**</t>
  </si>
  <si>
    <t>Среднее значение по россии за 2012 год пересчитывается в соответствии с дефляторами***</t>
  </si>
  <si>
    <t> 1990 </t>
  </si>
  <si>
    <t>в про-</t>
  </si>
  <si>
    <t>цен-</t>
  </si>
  <si>
    <t>тах</t>
  </si>
  <si>
    <t>к 2008</t>
  </si>
  <si>
    <t>(в сопо-</t>
  </si>
  <si>
    <t>ста-</t>
  </si>
  <si>
    <t>вимых ценах)</t>
  </si>
  <si>
    <r>
      <t>Российская Федеpация</t>
    </r>
    <r>
      <rPr>
        <sz val="7.5"/>
        <color theme="1"/>
        <rFont val="Arial"/>
        <family val="2"/>
        <charset val="204"/>
      </rPr>
      <t>, млрд.руб. (1990, 1995 гг. - трлн. руб.)</t>
    </r>
  </si>
  <si>
    <t>Центpальный</t>
  </si>
  <si>
    <t>федеральный округ</t>
  </si>
  <si>
    <t>Бpянская область</t>
  </si>
  <si>
    <t>Владимиpская область</t>
  </si>
  <si>
    <t>Костpомская область</t>
  </si>
  <si>
    <t>Оpловская область</t>
  </si>
  <si>
    <t>Твеpская область</t>
  </si>
  <si>
    <t>Яpославская область</t>
  </si>
  <si>
    <t>Севеpо-Западный</t>
  </si>
  <si>
    <t>Республика Каpелия</t>
  </si>
  <si>
    <t>Аpхангельская область</t>
  </si>
  <si>
    <t>в том числе Ненецкий</t>
  </si>
  <si>
    <t>автономный округ</t>
  </si>
  <si>
    <t>Ленингpадская область</t>
  </si>
  <si>
    <t>Муpманская область</t>
  </si>
  <si>
    <t>Новгоpодская область</t>
  </si>
  <si>
    <t>г. Санкт-Петеpбуpг</t>
  </si>
  <si>
    <t>Южный</t>
  </si>
  <si>
    <t>Республика Ингушетия (1990 г. - включая Чеченскую Республику)</t>
  </si>
  <si>
    <t>Республика Северная Осетия - Алания</t>
  </si>
  <si>
    <t>Чеченская Республика (1990 г. -включая Республику Ингушетия)</t>
  </si>
  <si>
    <t>Приволжский</t>
  </si>
  <si>
    <t>Республика Маpий Эл</t>
  </si>
  <si>
    <t>Республика Моpдовия</t>
  </si>
  <si>
    <t>Киpовская область</t>
  </si>
  <si>
    <t>Нижегородская область</t>
  </si>
  <si>
    <t>Уральский</t>
  </si>
  <si>
    <t>Свердловская область</t>
  </si>
  <si>
    <t>в том числе:</t>
  </si>
  <si>
    <t>Ханты-Мансийский автономный округ - Югра</t>
  </si>
  <si>
    <t>Ямало-Ненецкий</t>
  </si>
  <si>
    <t>Сибирский</t>
  </si>
  <si>
    <t>Новосибирская область</t>
  </si>
  <si>
    <t>Дальневосточный</t>
  </si>
  <si>
    <t>Хабаровский край</t>
  </si>
  <si>
    <t>Множитель</t>
  </si>
  <si>
    <t>15.1</t>
  </si>
  <si>
    <t>15.2</t>
  </si>
  <si>
    <t>15.3</t>
  </si>
  <si>
    <t>Среднее значение по России за 2012 год пересчитывается в соответствии с дефляторами****</t>
  </si>
  <si>
    <t>Среднее значение по России за 2012 год пересчитывается в соответствии с дефляторами*****</t>
  </si>
  <si>
    <t>https://gks.ru/bgd/regl/B19_17p/Main.htm</t>
  </si>
  <si>
    <t>Налоговые поступления в бюджет</t>
  </si>
  <si>
    <t>Объем жилищных кредитов</t>
  </si>
  <si>
    <t xml:space="preserve">Вклады юридических и физических лиц </t>
  </si>
  <si>
    <t>тыс. руб</t>
  </si>
  <si>
    <t>Инновационная активность</t>
  </si>
  <si>
    <t>Отношение числа организаций, осуществлявших технологические, организационные или маркетинговые инновации, к общему числу обследованных за определенный период времени организаций в регионе (поскольку методика расчетов изменялась, начиная с 2018 года вводится корректирующий коэффициент)</t>
  </si>
  <si>
    <t xml:space="preserve">Оборот розничной торговли </t>
  </si>
  <si>
    <t>Оборот общественного питания</t>
  </si>
  <si>
    <t>Объем платных услуг</t>
  </si>
  <si>
    <t>Представляет собой стоимость проданных населению за наличный расчет товаров для личного потребления или использования в домашнем хозяйстве. Он отражает фактическую выручку торгующих организаций от продажи товаров населению, включая товары частично или полностью оплаченные органами социальной защиты Оборот розничной торговли / численность населения</t>
  </si>
  <si>
    <t>Ввод в действие жилых домов</t>
  </si>
  <si>
    <t>Удельный вес расходов на ЖКХ</t>
  </si>
  <si>
    <t>Удельный вес расходов на ЖКХ в % от общей суммы потребительских услуг</t>
  </si>
  <si>
    <t>criteria_id</t>
  </si>
  <si>
    <t>region_id</t>
  </si>
  <si>
    <t>value</t>
  </si>
  <si>
    <t>update_date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</si>
</sst>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#,##0.0"/>
    <numFmt numFmtId="166" formatCode="[=0]\ &quot;&quot;;0.0"/>
    <numFmt numFmtId="167" formatCode="0.0"/>
    <numFmt numFmtId="168" formatCode="0.0000"/>
  </numFmts>
  <fonts count="29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0"/>
      <color indexed="12"/>
      <name val="Arial Cyr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7.5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79998168889431442"/>
      </right>
      <top/>
      <bottom/>
      <diagonal/>
    </border>
    <border>
      <left/>
      <right/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7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0" fillId="0" borderId="5" xfId="0" applyBorder="1"/>
    <xf numFmtId="0" fontId="0" fillId="0" borderId="5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/>
    <xf numFmtId="0" fontId="6" fillId="0" borderId="4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0" borderId="0" xfId="0" applyAlignment="1">
      <alignment horizontal="center" vertical="center" wrapText="1"/>
    </xf>
    <xf numFmtId="165" fontId="8" fillId="0" borderId="0" xfId="0" applyNumberFormat="1" applyFont="1" applyAlignment="1">
      <alignment horizontal="right" wrapText="1" indent="1"/>
    </xf>
    <xf numFmtId="167" fontId="8" fillId="0" borderId="0" xfId="0" applyNumberFormat="1" applyFont="1" applyAlignment="1">
      <alignment horizontal="right" indent="1"/>
    </xf>
    <xf numFmtId="166" fontId="8" fillId="0" borderId="0" xfId="0" applyNumberFormat="1" applyFont="1" applyAlignment="1">
      <alignment horizontal="right" indent="1"/>
    </xf>
    <xf numFmtId="165" fontId="8" fillId="0" borderId="5" xfId="0" applyNumberFormat="1" applyFont="1" applyBorder="1" applyAlignment="1">
      <alignment horizontal="right" wrapText="1" indent="1"/>
    </xf>
    <xf numFmtId="167" fontId="8" fillId="0" borderId="1" xfId="1" applyNumberFormat="1" applyFont="1" applyBorder="1" applyAlignment="1">
      <alignment horizontal="right" wrapText="1" indent="1"/>
    </xf>
    <xf numFmtId="167" fontId="8" fillId="0" borderId="4" xfId="1" applyNumberFormat="1" applyFont="1" applyBorder="1" applyAlignment="1">
      <alignment horizontal="right" wrapText="1" inden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166" fontId="8" fillId="0" borderId="0" xfId="1" applyNumberFormat="1" applyFont="1" applyAlignment="1">
      <alignment horizontal="right" wrapText="1" indent="1"/>
    </xf>
    <xf numFmtId="165" fontId="8" fillId="0" borderId="0" xfId="1" applyNumberFormat="1" applyFont="1" applyAlignment="1">
      <alignment horizontal="right" wrapText="1" indent="1"/>
    </xf>
    <xf numFmtId="0" fontId="6" fillId="0" borderId="3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6" fontId="8" fillId="0" borderId="5" xfId="1" applyNumberFormat="1" applyFont="1" applyBorder="1" applyAlignment="1">
      <alignment horizontal="right" wrapText="1" inden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wrapText="1"/>
    </xf>
    <xf numFmtId="167" fontId="8" fillId="0" borderId="0" xfId="6" applyNumberFormat="1" applyFont="1" applyAlignment="1">
      <alignment horizontal="right"/>
    </xf>
    <xf numFmtId="167" fontId="8" fillId="0" borderId="0" xfId="7" applyNumberFormat="1" applyFont="1"/>
    <xf numFmtId="167" fontId="0" fillId="0" borderId="0" xfId="0" applyNumberFormat="1"/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0" xfId="0" applyFont="1"/>
    <xf numFmtId="1" fontId="0" fillId="0" borderId="0" xfId="0" applyNumberFormat="1"/>
    <xf numFmtId="0" fontId="14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3" fillId="0" borderId="10" xfId="8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6" fillId="0" borderId="10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17" fillId="0" borderId="0" xfId="0" applyFont="1"/>
    <xf numFmtId="49" fontId="14" fillId="0" borderId="10" xfId="0" applyNumberFormat="1" applyFont="1" applyBorder="1" applyAlignment="1">
      <alignment horizontal="left" vertical="top" wrapText="1"/>
    </xf>
    <xf numFmtId="2" fontId="0" fillId="0" borderId="0" xfId="0" applyNumberForma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2" fontId="6" fillId="0" borderId="0" xfId="0" applyNumberFormat="1" applyFont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8" xfId="0" applyFont="1" applyBorder="1"/>
    <xf numFmtId="0" fontId="19" fillId="0" borderId="1" xfId="0" applyFont="1" applyBorder="1"/>
    <xf numFmtId="0" fontId="19" fillId="0" borderId="4" xfId="0" applyFont="1" applyBorder="1"/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right" vertical="center" wrapText="1"/>
    </xf>
    <xf numFmtId="0" fontId="19" fillId="0" borderId="2" xfId="0" applyFont="1" applyBorder="1" applyAlignment="1">
      <alignment horizontal="right" wrapText="1"/>
    </xf>
    <xf numFmtId="0" fontId="19" fillId="0" borderId="2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167" fontId="20" fillId="0" borderId="2" xfId="0" applyNumberFormat="1" applyFont="1" applyBorder="1" applyAlignment="1">
      <alignment vertical="center" wrapText="1"/>
    </xf>
    <xf numFmtId="166" fontId="21" fillId="0" borderId="2" xfId="1" applyNumberFormat="1" applyFont="1" applyBorder="1" applyAlignment="1">
      <alignment wrapText="1"/>
    </xf>
    <xf numFmtId="0" fontId="20" fillId="0" borderId="2" xfId="0" applyFont="1" applyBorder="1"/>
    <xf numFmtId="167" fontId="20" fillId="0" borderId="2" xfId="0" applyNumberFormat="1" applyFont="1" applyBorder="1"/>
    <xf numFmtId="2" fontId="19" fillId="0" borderId="0" xfId="0" applyNumberFormat="1" applyFont="1"/>
    <xf numFmtId="1" fontId="19" fillId="0" borderId="2" xfId="0" applyNumberFormat="1" applyFont="1" applyBorder="1"/>
    <xf numFmtId="2" fontId="19" fillId="0" borderId="2" xfId="0" applyNumberFormat="1" applyFont="1" applyBorder="1"/>
    <xf numFmtId="167" fontId="21" fillId="0" borderId="2" xfId="0" applyNumberFormat="1" applyFont="1" applyBorder="1" applyAlignment="1">
      <alignment horizontal="right" indent="1"/>
    </xf>
    <xf numFmtId="0" fontId="21" fillId="0" borderId="2" xfId="0" applyFont="1" applyBorder="1" applyAlignment="1">
      <alignment horizontal="right" indent="1"/>
    </xf>
    <xf numFmtId="0" fontId="20" fillId="0" borderId="2" xfId="0" applyFont="1" applyBorder="1" applyAlignment="1">
      <alignment horizontal="right" vertical="center" wrapText="1"/>
    </xf>
    <xf numFmtId="0" fontId="22" fillId="0" borderId="2" xfId="0" applyFont="1" applyBorder="1"/>
    <xf numFmtId="0" fontId="22" fillId="0" borderId="2" xfId="0" applyFont="1" applyBorder="1" applyAlignment="1">
      <alignment horizontal="right" vertical="center" wrapText="1"/>
    </xf>
    <xf numFmtId="166" fontId="21" fillId="0" borderId="2" xfId="1" applyNumberFormat="1" applyFont="1" applyBorder="1" applyAlignment="1">
      <alignment horizontal="right" wrapText="1" indent="1"/>
    </xf>
    <xf numFmtId="165" fontId="21" fillId="0" borderId="2" xfId="1" applyNumberFormat="1" applyFont="1" applyBorder="1" applyAlignment="1">
      <alignment horizontal="right" wrapText="1" indent="1"/>
    </xf>
    <xf numFmtId="2" fontId="19" fillId="0" borderId="2" xfId="0" applyNumberFormat="1" applyFont="1" applyBorder="1" applyAlignment="1">
      <alignment horizontal="right" vertical="center" wrapText="1"/>
    </xf>
    <xf numFmtId="49" fontId="23" fillId="0" borderId="10" xfId="0" applyNumberFormat="1" applyFont="1" applyBorder="1" applyAlignment="1">
      <alignment horizontal="left" vertical="top" wrapText="1"/>
    </xf>
    <xf numFmtId="0" fontId="18" fillId="0" borderId="0" xfId="0" applyFont="1"/>
    <xf numFmtId="0" fontId="23" fillId="0" borderId="10" xfId="0" applyFont="1" applyBorder="1" applyAlignment="1">
      <alignment horizontal="left" vertical="top" wrapText="1"/>
    </xf>
    <xf numFmtId="0" fontId="19" fillId="5" borderId="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right" vertical="center" wrapText="1"/>
    </xf>
    <xf numFmtId="0" fontId="19" fillId="5" borderId="2" xfId="0" applyFont="1" applyFill="1" applyBorder="1" applyAlignment="1">
      <alignment horizontal="right" wrapText="1"/>
    </xf>
    <xf numFmtId="0" fontId="19" fillId="5" borderId="2" xfId="0" applyFont="1" applyFill="1" applyBorder="1"/>
    <xf numFmtId="0" fontId="13" fillId="0" borderId="0" xfId="8"/>
    <xf numFmtId="0" fontId="24" fillId="5" borderId="2" xfId="0" applyFont="1" applyFill="1" applyBorder="1"/>
    <xf numFmtId="0" fontId="0" fillId="5" borderId="0" xfId="0" applyFill="1"/>
    <xf numFmtId="0" fontId="6" fillId="5" borderId="0" xfId="0" applyFont="1" applyFill="1" applyAlignment="1">
      <alignment horizontal="right" vertical="center" wrapText="1"/>
    </xf>
    <xf numFmtId="2" fontId="0" fillId="5" borderId="0" xfId="0" applyNumberFormat="1" applyFill="1"/>
    <xf numFmtId="0" fontId="0" fillId="5" borderId="0" xfId="0" applyFill="1" applyAlignment="1">
      <alignment horizontal="right" vertical="center" wrapText="1"/>
    </xf>
    <xf numFmtId="0" fontId="0" fillId="0" borderId="15" xfId="0" applyBorder="1"/>
    <xf numFmtId="0" fontId="0" fillId="0" borderId="16" xfId="0" applyBorder="1" applyAlignment="1">
      <alignment horizontal="right" vertical="center" wrapText="1"/>
    </xf>
    <xf numFmtId="167" fontId="8" fillId="0" borderId="16" xfId="7" applyNumberFormat="1" applyFont="1" applyBorder="1"/>
    <xf numFmtId="167" fontId="8" fillId="0" borderId="17" xfId="7" applyNumberFormat="1" applyFont="1" applyBorder="1"/>
    <xf numFmtId="0" fontId="0" fillId="0" borderId="15" xfId="0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167" fontId="8" fillId="0" borderId="18" xfId="7" applyNumberFormat="1" applyFont="1" applyBorder="1"/>
    <xf numFmtId="0" fontId="0" fillId="0" borderId="18" xfId="0" applyBorder="1" applyAlignment="1">
      <alignment horizontal="right" vertical="center" wrapText="1"/>
    </xf>
    <xf numFmtId="167" fontId="8" fillId="4" borderId="17" xfId="7" applyNumberFormat="1" applyFont="1" applyFill="1" applyBorder="1"/>
    <xf numFmtId="0" fontId="0" fillId="4" borderId="17" xfId="0" applyFill="1" applyBorder="1" applyAlignment="1">
      <alignment horizontal="right" vertical="center" wrapText="1"/>
    </xf>
    <xf numFmtId="167" fontId="8" fillId="4" borderId="18" xfId="7" applyNumberFormat="1" applyFont="1" applyFill="1" applyBorder="1"/>
    <xf numFmtId="0" fontId="0" fillId="4" borderId="18" xfId="0" applyFill="1" applyBorder="1" applyAlignment="1">
      <alignment horizontal="right" vertical="center" wrapText="1"/>
    </xf>
    <xf numFmtId="0" fontId="0" fillId="4" borderId="19" xfId="0" applyFill="1" applyBorder="1"/>
    <xf numFmtId="0" fontId="0" fillId="4" borderId="19" xfId="0" applyFill="1" applyBorder="1" applyAlignment="1">
      <alignment horizontal="right" vertical="center" wrapText="1"/>
    </xf>
    <xf numFmtId="0" fontId="0" fillId="4" borderId="20" xfId="0" applyFill="1" applyBorder="1" applyAlignment="1">
      <alignment horizontal="right" vertical="center" wrapText="1"/>
    </xf>
    <xf numFmtId="0" fontId="0" fillId="4" borderId="15" xfId="0" applyFill="1" applyBorder="1" applyAlignment="1">
      <alignment horizontal="right" vertical="center" wrapText="1"/>
    </xf>
    <xf numFmtId="0" fontId="0" fillId="4" borderId="21" xfId="0" applyFill="1" applyBorder="1" applyAlignment="1">
      <alignment horizontal="right" vertical="center" wrapText="1"/>
    </xf>
    <xf numFmtId="0" fontId="19" fillId="5" borderId="2" xfId="0" applyFont="1" applyFill="1" applyBorder="1" applyAlignment="1">
      <alignment vertical="center" wrapText="1"/>
    </xf>
    <xf numFmtId="0" fontId="20" fillId="5" borderId="2" xfId="0" applyFont="1" applyFill="1" applyBorder="1" applyAlignment="1">
      <alignment vertical="center" wrapText="1"/>
    </xf>
    <xf numFmtId="2" fontId="19" fillId="5" borderId="2" xfId="0" applyNumberFormat="1" applyFont="1" applyFill="1" applyBorder="1"/>
    <xf numFmtId="167" fontId="21" fillId="5" borderId="2" xfId="0" applyNumberFormat="1" applyFont="1" applyFill="1" applyBorder="1" applyAlignment="1">
      <alignment horizontal="right" indent="1"/>
    </xf>
    <xf numFmtId="168" fontId="0" fillId="0" borderId="0" xfId="0" applyNumberFormat="1" applyAlignment="1">
      <alignment horizontal="left" indent="2"/>
    </xf>
    <xf numFmtId="168" fontId="0" fillId="0" borderId="0" xfId="0" applyNumberFormat="1"/>
    <xf numFmtId="0" fontId="21" fillId="0" borderId="2" xfId="0" applyFont="1" applyBorder="1" applyAlignment="1">
      <alignment horizontal="center"/>
    </xf>
    <xf numFmtId="0" fontId="25" fillId="0" borderId="0" xfId="0" applyFont="1"/>
    <xf numFmtId="0" fontId="25" fillId="0" borderId="0" xfId="3" applyFont="1"/>
    <xf numFmtId="0" fontId="25" fillId="0" borderId="0" xfId="3" applyFont="1" applyAlignment="1">
      <alignment horizontal="center"/>
    </xf>
    <xf numFmtId="0" fontId="26" fillId="0" borderId="0" xfId="0" applyFont="1"/>
    <xf numFmtId="0" fontId="26" fillId="0" borderId="0" xfId="3" applyFont="1" applyAlignment="1">
      <alignment wrapText="1"/>
    </xf>
    <xf numFmtId="0" fontId="26" fillId="0" borderId="0" xfId="0" applyFont="1" applyAlignment="1">
      <alignment horizontal="center"/>
    </xf>
    <xf numFmtId="168" fontId="0" fillId="0" borderId="2" xfId="0" applyNumberFormat="1" applyBorder="1"/>
    <xf numFmtId="0" fontId="19" fillId="0" borderId="2" xfId="0" applyFont="1" applyBorder="1" applyAlignment="1">
      <alignment horizontal="right"/>
    </xf>
    <xf numFmtId="0" fontId="19" fillId="0" borderId="2" xfId="0" applyFont="1" applyBorder="1" applyAlignment="1">
      <alignment horizontal="left"/>
    </xf>
    <xf numFmtId="168" fontId="0" fillId="0" borderId="2" xfId="0" applyNumberFormat="1" applyBorder="1" applyAlignment="1">
      <alignment horizontal="left" indent="2"/>
    </xf>
    <xf numFmtId="168" fontId="27" fillId="0" borderId="2" xfId="0" applyNumberFormat="1" applyFont="1" applyBorder="1"/>
    <xf numFmtId="0" fontId="20" fillId="5" borderId="2" xfId="0" applyFont="1" applyFill="1" applyBorder="1" applyAlignment="1">
      <alignment horizontal="right" wrapText="1"/>
    </xf>
    <xf numFmtId="0" fontId="20" fillId="5" borderId="2" xfId="0" applyFont="1" applyFill="1" applyBorder="1" applyAlignment="1">
      <alignment horizontal="right" vertical="center" wrapText="1"/>
    </xf>
    <xf numFmtId="0" fontId="22" fillId="5" borderId="2" xfId="0" applyFont="1" applyFill="1" applyBorder="1"/>
    <xf numFmtId="0" fontId="19" fillId="0" borderId="2" xfId="0" applyFont="1" applyBorder="1" applyAlignment="1">
      <alignment horizontal="left" vertical="top" wrapText="1"/>
    </xf>
    <xf numFmtId="168" fontId="19" fillId="0" borderId="2" xfId="0" applyNumberFormat="1" applyFont="1" applyBorder="1"/>
    <xf numFmtId="0" fontId="27" fillId="0" borderId="2" xfId="0" applyFont="1" applyBorder="1"/>
    <xf numFmtId="0" fontId="19" fillId="0" borderId="2" xfId="0" applyFont="1" applyBorder="1" applyAlignment="1">
      <alignment wrapText="1"/>
    </xf>
    <xf numFmtId="0" fontId="20" fillId="0" borderId="2" xfId="0" applyFont="1" applyBorder="1" applyAlignment="1">
      <alignment horizontal="right" wrapText="1"/>
    </xf>
    <xf numFmtId="0" fontId="22" fillId="5" borderId="2" xfId="0" applyFont="1" applyFill="1" applyBorder="1" applyAlignment="1">
      <alignment horizontal="right" vertical="center" wrapText="1"/>
    </xf>
    <xf numFmtId="0" fontId="21" fillId="5" borderId="2" xfId="0" applyFont="1" applyFill="1" applyBorder="1" applyAlignment="1">
      <alignment horizontal="right" indent="1"/>
    </xf>
    <xf numFmtId="0" fontId="19" fillId="0" borderId="22" xfId="0" applyFont="1" applyBorder="1"/>
    <xf numFmtId="168" fontId="27" fillId="0" borderId="23" xfId="0" applyNumberFormat="1" applyFont="1" applyBorder="1"/>
    <xf numFmtId="0" fontId="28" fillId="0" borderId="0" xfId="0" applyFont="1"/>
    <xf numFmtId="167" fontId="0" fillId="0" borderId="0" xfId="0" applyNumberFormat="1" applyAlignment="1">
      <alignment horizontal="right" vertical="center" wrapText="1"/>
    </xf>
    <xf numFmtId="167" fontId="19" fillId="0" borderId="2" xfId="0" applyNumberFormat="1" applyFont="1" applyBorder="1"/>
    <xf numFmtId="0" fontId="14" fillId="6" borderId="10" xfId="0" applyFont="1" applyFill="1" applyBorder="1" applyAlignment="1">
      <alignment horizontal="left" vertical="top" wrapText="1"/>
    </xf>
    <xf numFmtId="1" fontId="20" fillId="0" borderId="2" xfId="0" applyNumberFormat="1" applyFont="1" applyBorder="1"/>
    <xf numFmtId="168" fontId="19" fillId="0" borderId="2" xfId="0" applyNumberFormat="1" applyFont="1" applyBorder="1" applyAlignment="1">
      <alignment horizontal="center"/>
    </xf>
    <xf numFmtId="167" fontId="0" fillId="5" borderId="0" xfId="0" applyNumberFormat="1" applyFill="1" applyAlignment="1">
      <alignment horizontal="right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4" fillId="0" borderId="11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14" fontId="19" fillId="0" borderId="0" xfId="0" applyNumberFormat="1" applyFont="1"/>
  </cellXfs>
  <cellStyles count="9">
    <cellStyle name="Normal" xfId="2" xr:uid="{00000000-0005-0000-0000-000000000000}"/>
    <cellStyle name="Гиперссылка" xfId="8" builtinId="8"/>
    <cellStyle name="Гиперссылка 2" xfId="4" xr:uid="{00000000-0005-0000-0000-000002000000}"/>
    <cellStyle name="Обычный" xfId="0" builtinId="0"/>
    <cellStyle name="Обычный 2" xfId="1" xr:uid="{00000000-0005-0000-0000-000004000000}"/>
    <cellStyle name="Обычный 2 2" xfId="3" xr:uid="{00000000-0005-0000-0000-000005000000}"/>
    <cellStyle name="Обычный 2 2 2" xfId="7" xr:uid="{00000000-0005-0000-0000-000006000000}"/>
    <cellStyle name="Обычный 2 20" xfId="6" xr:uid="{00000000-0005-0000-0000-000007000000}"/>
    <cellStyle name="Финансовый 2" xfId="5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899420289308527"/>
          <c:y val="8.1698770356417691E-2"/>
          <c:w val="0.34641006861117524"/>
          <c:h val="0.62578594163849577"/>
        </c:manualLayout>
      </c:layout>
      <c:radarChart>
        <c:radarStyle val="marker"/>
        <c:varyColors val="0"/>
        <c:ser>
          <c:idx val="0"/>
          <c:order val="0"/>
          <c:tx>
            <c:strRef>
              <c:f>ЦФО!$C$1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ЦФО!$C$2:$C$19</c:f>
              <c:numCache>
                <c:formatCode>0.0000</c:formatCode>
                <c:ptCount val="18"/>
                <c:pt idx="0">
                  <c:v>0.45776111028138317</c:v>
                </c:pt>
                <c:pt idx="1">
                  <c:v>0.4912365452103592</c:v>
                </c:pt>
                <c:pt idx="2">
                  <c:v>0.58011505841236088</c:v>
                </c:pt>
                <c:pt idx="3">
                  <c:v>0.5195874254514693</c:v>
                </c:pt>
                <c:pt idx="4">
                  <c:v>0.54685752555974398</c:v>
                </c:pt>
                <c:pt idx="5">
                  <c:v>0.70590209211042632</c:v>
                </c:pt>
                <c:pt idx="6">
                  <c:v>0.59442149526373478</c:v>
                </c:pt>
                <c:pt idx="7">
                  <c:v>0.46578966107179465</c:v>
                </c:pt>
                <c:pt idx="8">
                  <c:v>0.36818727453622629</c:v>
                </c:pt>
                <c:pt idx="9">
                  <c:v>0.65247073980501302</c:v>
                </c:pt>
                <c:pt idx="10">
                  <c:v>0.4510153121910922</c:v>
                </c:pt>
                <c:pt idx="11">
                  <c:v>0.75818282496844092</c:v>
                </c:pt>
                <c:pt idx="12">
                  <c:v>0.59382923333032156</c:v>
                </c:pt>
                <c:pt idx="13">
                  <c:v>0.41013707689572093</c:v>
                </c:pt>
                <c:pt idx="14">
                  <c:v>0.5516787686777278</c:v>
                </c:pt>
                <c:pt idx="15">
                  <c:v>0.51568460595519272</c:v>
                </c:pt>
                <c:pt idx="16">
                  <c:v>0.68166862457920729</c:v>
                </c:pt>
                <c:pt idx="17">
                  <c:v>0.63490375518435171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0-4CBA-BC7F-A7812F323B5B}"/>
            </c:ext>
          </c:extLst>
        </c:ser>
        <c:ser>
          <c:idx val="1"/>
          <c:order val="1"/>
          <c:tx>
            <c:strRef>
              <c:f>ЦФО!$D$1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ЦФО!$D$2:$D$19</c:f>
              <c:numCache>
                <c:formatCode>0.0000</c:formatCode>
                <c:ptCount val="18"/>
                <c:pt idx="0">
                  <c:v>0.69756707924609895</c:v>
                </c:pt>
                <c:pt idx="1">
                  <c:v>0.68483110386062307</c:v>
                </c:pt>
                <c:pt idx="2">
                  <c:v>0.70460618408327247</c:v>
                </c:pt>
                <c:pt idx="3">
                  <c:v>0.71902378366121944</c:v>
                </c:pt>
                <c:pt idx="4">
                  <c:v>0.64269024209092018</c:v>
                </c:pt>
                <c:pt idx="5">
                  <c:v>0.77830126161988089</c:v>
                </c:pt>
                <c:pt idx="6">
                  <c:v>0.69136224003383906</c:v>
                </c:pt>
                <c:pt idx="7">
                  <c:v>0.69102407290259793</c:v>
                </c:pt>
                <c:pt idx="8">
                  <c:v>0.69437287770416323</c:v>
                </c:pt>
                <c:pt idx="9">
                  <c:v>0.84663300126390073</c:v>
                </c:pt>
                <c:pt idx="10">
                  <c:v>0.73584269642555433</c:v>
                </c:pt>
                <c:pt idx="11">
                  <c:v>0.75084027437354095</c:v>
                </c:pt>
                <c:pt idx="12">
                  <c:v>0.70395021771974919</c:v>
                </c:pt>
                <c:pt idx="13">
                  <c:v>0.67458815801279659</c:v>
                </c:pt>
                <c:pt idx="14">
                  <c:v>0.74467783305787816</c:v>
                </c:pt>
                <c:pt idx="15">
                  <c:v>0.73627463803717563</c:v>
                </c:pt>
                <c:pt idx="16">
                  <c:v>0.69118641872805942</c:v>
                </c:pt>
                <c:pt idx="17">
                  <c:v>0.8580409826350831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0-4CBA-BC7F-A7812F323B5B}"/>
            </c:ext>
          </c:extLst>
        </c:ser>
        <c:ser>
          <c:idx val="2"/>
          <c:order val="2"/>
          <c:tx>
            <c:strRef>
              <c:f>ЦФО!$E$1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ЦФО!$E$2:$E$19</c:f>
              <c:numCache>
                <c:formatCode>0.0000</c:formatCode>
                <c:ptCount val="18"/>
                <c:pt idx="0">
                  <c:v>0.47331809959115667</c:v>
                </c:pt>
                <c:pt idx="1">
                  <c:v>0.33270188843097659</c:v>
                </c:pt>
                <c:pt idx="2">
                  <c:v>0.47666276200573965</c:v>
                </c:pt>
                <c:pt idx="3">
                  <c:v>0.51759154474940328</c:v>
                </c:pt>
                <c:pt idx="4">
                  <c:v>0.42344660016898888</c:v>
                </c:pt>
                <c:pt idx="5">
                  <c:v>0.51402047921295846</c:v>
                </c:pt>
                <c:pt idx="6">
                  <c:v>0.47844363113694538</c:v>
                </c:pt>
                <c:pt idx="7">
                  <c:v>0.40254495735793155</c:v>
                </c:pt>
                <c:pt idx="8">
                  <c:v>0.43256187142381791</c:v>
                </c:pt>
                <c:pt idx="9">
                  <c:v>0.58877871889227362</c:v>
                </c:pt>
                <c:pt idx="10">
                  <c:v>0.42326805156391645</c:v>
                </c:pt>
                <c:pt idx="11">
                  <c:v>0.48351737438905301</c:v>
                </c:pt>
                <c:pt idx="12">
                  <c:v>0.40150895650137258</c:v>
                </c:pt>
                <c:pt idx="13">
                  <c:v>0.35071314254701902</c:v>
                </c:pt>
                <c:pt idx="14">
                  <c:v>0.44996211798909946</c:v>
                </c:pt>
                <c:pt idx="15">
                  <c:v>0.49452294301132682</c:v>
                </c:pt>
                <c:pt idx="16">
                  <c:v>0.52774760193363834</c:v>
                </c:pt>
                <c:pt idx="17">
                  <c:v>0.91823527266886729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0-4CBA-BC7F-A7812F32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5312"/>
        <c:axId val="86366848"/>
      </c:radarChart>
      <c:catAx>
        <c:axId val="863653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6366848"/>
        <c:crosses val="autoZero"/>
        <c:auto val="1"/>
        <c:lblAlgn val="ctr"/>
        <c:lblOffset val="100"/>
        <c:noMultiLvlLbl val="0"/>
      </c:catAx>
      <c:valAx>
        <c:axId val="86366848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63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22"/>
          <c:y val="7.6026465132149182E-2"/>
          <c:w val="0.43496646252551824"/>
          <c:h val="0.71994427249999526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СЗФО!$C$13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СЗФО!$C$14:$C$23</c:f>
              <c:numCache>
                <c:formatCode>0.0000</c:formatCode>
                <c:ptCount val="10"/>
                <c:pt idx="0">
                  <c:v>0.17973538386461049</c:v>
                </c:pt>
                <c:pt idx="1">
                  <c:v>0.22527415223558916</c:v>
                </c:pt>
                <c:pt idx="2">
                  <c:v>6.5912986242652821E-2</c:v>
                </c:pt>
                <c:pt idx="3">
                  <c:v>0.37423526088501691</c:v>
                </c:pt>
                <c:pt idx="4">
                  <c:v>0.1163506942399983</c:v>
                </c:pt>
                <c:pt idx="5">
                  <c:v>0.21963193510607473</c:v>
                </c:pt>
                <c:pt idx="6">
                  <c:v>0.28173560280808285</c:v>
                </c:pt>
                <c:pt idx="7">
                  <c:v>0.35183617601553457</c:v>
                </c:pt>
                <c:pt idx="8">
                  <c:v>0.28775597137130493</c:v>
                </c:pt>
                <c:pt idx="9">
                  <c:v>0.47195003330400659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4-4F04-8AF0-918103E45F31}"/>
            </c:ext>
          </c:extLst>
        </c:ser>
        <c:ser>
          <c:idx val="1"/>
          <c:order val="1"/>
          <c:tx>
            <c:strRef>
              <c:f>СЗФО!$D$13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СЗФО!$D$14:$D$23</c:f>
              <c:numCache>
                <c:formatCode>0.0000</c:formatCode>
                <c:ptCount val="10"/>
                <c:pt idx="0">
                  <c:v>0.30640419202707797</c:v>
                </c:pt>
                <c:pt idx="1">
                  <c:v>2.8345388916516945E-2</c:v>
                </c:pt>
                <c:pt idx="2">
                  <c:v>3.3228690051319358E-4</c:v>
                </c:pt>
                <c:pt idx="3">
                  <c:v>4.4191945936892363E-4</c:v>
                </c:pt>
                <c:pt idx="4">
                  <c:v>1.6456350980256202E-6</c:v>
                </c:pt>
                <c:pt idx="5">
                  <c:v>0.25673319580507681</c:v>
                </c:pt>
                <c:pt idx="6">
                  <c:v>1.071825895381087E-3</c:v>
                </c:pt>
                <c:pt idx="7">
                  <c:v>0.11980930452291619</c:v>
                </c:pt>
                <c:pt idx="8">
                  <c:v>2.8307929738983994E-3</c:v>
                </c:pt>
                <c:pt idx="9">
                  <c:v>0.48188670346705437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4-4F04-8AF0-918103E45F31}"/>
            </c:ext>
          </c:extLst>
        </c:ser>
        <c:ser>
          <c:idx val="2"/>
          <c:order val="2"/>
          <c:tx>
            <c:strRef>
              <c:f>СЗФО!$E$13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СЗФО!$E$14:$E$23</c:f>
              <c:numCache>
                <c:formatCode>0.0000</c:formatCode>
                <c:ptCount val="10"/>
                <c:pt idx="0">
                  <c:v>1.9990440930362039E-3</c:v>
                </c:pt>
                <c:pt idx="1">
                  <c:v>4.1728030445174508E-8</c:v>
                </c:pt>
                <c:pt idx="2">
                  <c:v>0.10331511452245505</c:v>
                </c:pt>
                <c:pt idx="3">
                  <c:v>1.3706268993544297E-4</c:v>
                </c:pt>
                <c:pt idx="4">
                  <c:v>1.3105334029892672E-8</c:v>
                </c:pt>
                <c:pt idx="5">
                  <c:v>1.2933651727730904E-8</c:v>
                </c:pt>
                <c:pt idx="6">
                  <c:v>0.19620519620798435</c:v>
                </c:pt>
                <c:pt idx="7">
                  <c:v>1.2497751285558002E-4</c:v>
                </c:pt>
                <c:pt idx="8">
                  <c:v>3.6448614458184323E-7</c:v>
                </c:pt>
                <c:pt idx="9">
                  <c:v>0.19558915150349584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4-4F04-8AF0-918103E4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1040"/>
        <c:axId val="88472576"/>
      </c:radarChart>
      <c:catAx>
        <c:axId val="884710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8472576"/>
        <c:crosses val="autoZero"/>
        <c:auto val="1"/>
        <c:lblAlgn val="ctr"/>
        <c:lblOffset val="100"/>
        <c:noMultiLvlLbl val="0"/>
      </c:catAx>
      <c:valAx>
        <c:axId val="88472576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847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34"/>
          <c:y val="7.6026465132149182E-2"/>
          <c:w val="0.41489036252104072"/>
          <c:h val="0.7511132017588712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СЗФО!$C$25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СЗФО!$C$26:$C$35</c:f>
              <c:numCache>
                <c:formatCode>0.0000</c:formatCode>
                <c:ptCount val="10"/>
                <c:pt idx="0">
                  <c:v>0.49033484236282021</c:v>
                </c:pt>
                <c:pt idx="1">
                  <c:v>0.44904343316441359</c:v>
                </c:pt>
                <c:pt idx="2">
                  <c:v>0.52298435474858007</c:v>
                </c:pt>
                <c:pt idx="3">
                  <c:v>0.41365384959221613</c:v>
                </c:pt>
                <c:pt idx="4">
                  <c:v>0.4143836388850573</c:v>
                </c:pt>
                <c:pt idx="5">
                  <c:v>0.53173579343602817</c:v>
                </c:pt>
                <c:pt idx="6">
                  <c:v>0.51432237017530291</c:v>
                </c:pt>
                <c:pt idx="7">
                  <c:v>0.45411985800534554</c:v>
                </c:pt>
                <c:pt idx="8">
                  <c:v>0.44768732626979785</c:v>
                </c:pt>
                <c:pt idx="9">
                  <c:v>0.56577162113391144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8-4E9E-ADCE-A04D8F4BCFFE}"/>
            </c:ext>
          </c:extLst>
        </c:ser>
        <c:ser>
          <c:idx val="1"/>
          <c:order val="1"/>
          <c:tx>
            <c:strRef>
              <c:f>СЗФО!$D$25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СЗФО!$D$26:$D$35</c:f>
              <c:numCache>
                <c:formatCode>0.0000</c:formatCode>
                <c:ptCount val="10"/>
                <c:pt idx="0">
                  <c:v>0.44350616752476246</c:v>
                </c:pt>
                <c:pt idx="1">
                  <c:v>0.51627437186689118</c:v>
                </c:pt>
                <c:pt idx="2">
                  <c:v>0.52976135004807234</c:v>
                </c:pt>
                <c:pt idx="3">
                  <c:v>0.32494688467580785</c:v>
                </c:pt>
                <c:pt idx="4">
                  <c:v>0.50124882516074154</c:v>
                </c:pt>
                <c:pt idx="5">
                  <c:v>0.36687322069216299</c:v>
                </c:pt>
                <c:pt idx="6">
                  <c:v>0.63393178491664204</c:v>
                </c:pt>
                <c:pt idx="7">
                  <c:v>0.37769312663225924</c:v>
                </c:pt>
                <c:pt idx="8">
                  <c:v>0.4333076289645133</c:v>
                </c:pt>
                <c:pt idx="9">
                  <c:v>0.54068417211388919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8-4E9E-ADCE-A04D8F4BCFFE}"/>
            </c:ext>
          </c:extLst>
        </c:ser>
        <c:ser>
          <c:idx val="2"/>
          <c:order val="2"/>
          <c:tx>
            <c:strRef>
              <c:f>СЗФО!$E$25</c:f>
              <c:strCache>
                <c:ptCount val="1"/>
                <c:pt idx="0">
                  <c:v>Объем платных услуг</c:v>
                </c:pt>
              </c:strCache>
            </c:strRef>
          </c:tx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СЗФО!$E$26:$E$35</c:f>
              <c:numCache>
                <c:formatCode>0.0000</c:formatCode>
                <c:ptCount val="10"/>
                <c:pt idx="0">
                  <c:v>0.46136935886059438</c:v>
                </c:pt>
                <c:pt idx="1">
                  <c:v>0.45473621093423228</c:v>
                </c:pt>
                <c:pt idx="2">
                  <c:v>0.4528055831332945</c:v>
                </c:pt>
                <c:pt idx="3">
                  <c:v>0.42221628051518928</c:v>
                </c:pt>
                <c:pt idx="4">
                  <c:v>0.4398033569877608</c:v>
                </c:pt>
                <c:pt idx="5">
                  <c:v>0.34412605559620069</c:v>
                </c:pt>
                <c:pt idx="6">
                  <c:v>0.56492777961859286</c:v>
                </c:pt>
                <c:pt idx="7">
                  <c:v>0.39762618794145577</c:v>
                </c:pt>
                <c:pt idx="8">
                  <c:v>0.34304475743979013</c:v>
                </c:pt>
                <c:pt idx="9">
                  <c:v>0.59594429639360158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8-4E9E-ADCE-A04D8F4B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3984"/>
        <c:axId val="88399872"/>
      </c:radarChart>
      <c:catAx>
        <c:axId val="883939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8399872"/>
        <c:crosses val="autoZero"/>
        <c:auto val="1"/>
        <c:lblAlgn val="ctr"/>
        <c:lblOffset val="100"/>
        <c:noMultiLvlLbl val="0"/>
      </c:catAx>
      <c:valAx>
        <c:axId val="88399872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83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192653992921463"/>
          <c:y val="7.6026370195614201E-2"/>
          <c:w val="0.41031407677261439"/>
          <c:h val="0.69539563629846091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СЗФО!$C$37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СЗФО!$C$38:$C$47</c:f>
              <c:numCache>
                <c:formatCode>0.0000</c:formatCode>
                <c:ptCount val="10"/>
                <c:pt idx="0">
                  <c:v>0.40763706531277816</c:v>
                </c:pt>
                <c:pt idx="1">
                  <c:v>0.17752910245224557</c:v>
                </c:pt>
                <c:pt idx="2">
                  <c:v>0.27105253128416262</c:v>
                </c:pt>
                <c:pt idx="3">
                  <c:v>0.36888678194071783</c:v>
                </c:pt>
                <c:pt idx="4">
                  <c:v>0.68437384466451667</c:v>
                </c:pt>
                <c:pt idx="5">
                  <c:v>0.7352043354783071</c:v>
                </c:pt>
                <c:pt idx="6">
                  <c:v>1.4763327588466804E-4</c:v>
                </c:pt>
                <c:pt idx="7">
                  <c:v>0.40404265306214004</c:v>
                </c:pt>
                <c:pt idx="8">
                  <c:v>0.37386415992921207</c:v>
                </c:pt>
                <c:pt idx="9">
                  <c:v>0.50051446863644122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4-4681-9E42-D7062CCDFD22}"/>
            </c:ext>
          </c:extLst>
        </c:ser>
        <c:ser>
          <c:idx val="1"/>
          <c:order val="1"/>
          <c:tx>
            <c:strRef>
              <c:f>СЗФО!$D$37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СЗФО!$D$38:$D$47</c:f>
              <c:numCache>
                <c:formatCode>0.0000</c:formatCode>
                <c:ptCount val="10"/>
                <c:pt idx="0">
                  <c:v>0.53735322601046143</c:v>
                </c:pt>
                <c:pt idx="1">
                  <c:v>0.5490266544822846</c:v>
                </c:pt>
                <c:pt idx="2">
                  <c:v>0.5490266544822846</c:v>
                </c:pt>
                <c:pt idx="3">
                  <c:v>0.57788757624927778</c:v>
                </c:pt>
                <c:pt idx="4">
                  <c:v>0.57688242082743946</c:v>
                </c:pt>
                <c:pt idx="5">
                  <c:v>0.56762362261435517</c:v>
                </c:pt>
                <c:pt idx="6">
                  <c:v>0.51218930543723784</c:v>
                </c:pt>
                <c:pt idx="7">
                  <c:v>0.59429421774074243</c:v>
                </c:pt>
                <c:pt idx="8">
                  <c:v>0.58673023000231317</c:v>
                </c:pt>
                <c:pt idx="9">
                  <c:v>0.52634260131947785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4-4681-9E42-D7062CCDFD22}"/>
            </c:ext>
          </c:extLst>
        </c:ser>
        <c:ser>
          <c:idx val="2"/>
          <c:order val="2"/>
          <c:tx>
            <c:strRef>
              <c:f>СЗФО!$E$37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СЗФО!$E$38:$E$47</c:f>
              <c:numCache>
                <c:formatCode>0.0000</c:formatCode>
                <c:ptCount val="10"/>
                <c:pt idx="0">
                  <c:v>0.4837658892619458</c:v>
                </c:pt>
                <c:pt idx="1">
                  <c:v>0.54336743126302911</c:v>
                </c:pt>
                <c:pt idx="2">
                  <c:v>0.41628174059420603</c:v>
                </c:pt>
                <c:pt idx="3">
                  <c:v>0.47699261494897471</c:v>
                </c:pt>
                <c:pt idx="4">
                  <c:v>0.38555270635198519</c:v>
                </c:pt>
                <c:pt idx="5">
                  <c:v>0.48039987884286789</c:v>
                </c:pt>
                <c:pt idx="6">
                  <c:v>0.53252054471998134</c:v>
                </c:pt>
                <c:pt idx="7">
                  <c:v>0.54336743126302911</c:v>
                </c:pt>
                <c:pt idx="8">
                  <c:v>0.50313205358200364</c:v>
                </c:pt>
                <c:pt idx="9">
                  <c:v>0.45931347703523795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4-4681-9E42-D7062CCD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3536"/>
        <c:axId val="88527616"/>
      </c:radarChart>
      <c:catAx>
        <c:axId val="8851353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8527616"/>
        <c:crosses val="autoZero"/>
        <c:auto val="1"/>
        <c:lblAlgn val="ctr"/>
        <c:lblOffset val="100"/>
        <c:noMultiLvlLbl val="0"/>
      </c:catAx>
      <c:valAx>
        <c:axId val="88527616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851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Финансы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СЗФО!$B$65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СЗФО!$C$65:$R$65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0.56086006748601913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3-4CEC-9972-7DE3997F0378}"/>
            </c:ext>
          </c:extLst>
        </c:ser>
        <c:ser>
          <c:idx val="1"/>
          <c:order val="1"/>
          <c:tx>
            <c:strRef>
              <c:f>СЗФО!$B$66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СЗФО!$C$66:$R$66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0.65876979660603452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3-4CEC-9972-7DE3997F0378}"/>
            </c:ext>
          </c:extLst>
        </c:ser>
        <c:ser>
          <c:idx val="2"/>
          <c:order val="2"/>
          <c:tx>
            <c:strRef>
              <c:f>СЗФО!$B$67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СЗФО!$C$67:$R$67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0.54505469812106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3-4CEC-9972-7DE3997F0378}"/>
            </c:ext>
          </c:extLst>
        </c:ser>
        <c:ser>
          <c:idx val="3"/>
          <c:order val="3"/>
          <c:tx>
            <c:strRef>
              <c:f>СЗФО!$B$68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0.59110739897920539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3-4CEC-9972-7DE3997F0378}"/>
            </c:ext>
          </c:extLst>
        </c:ser>
        <c:ser>
          <c:idx val="4"/>
          <c:order val="4"/>
          <c:tx>
            <c:strRef>
              <c:f>СЗФО!$B$69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СЗФО!$C$69:$R$69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0.67635128962769819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3-4CEC-9972-7DE3997F0378}"/>
            </c:ext>
          </c:extLst>
        </c:ser>
        <c:ser>
          <c:idx val="5"/>
          <c:order val="5"/>
          <c:tx>
            <c:strRef>
              <c:f>СЗФО!$B$70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СЗФО!$C$70:$R$70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0.66507030168913361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3-4CEC-9972-7DE3997F0378}"/>
            </c:ext>
          </c:extLst>
        </c:ser>
        <c:ser>
          <c:idx val="6"/>
          <c:order val="6"/>
          <c:tx>
            <c:strRef>
              <c:f>СЗФО!$B$71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0.46548285164714426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3-4CEC-9972-7DE3997F0378}"/>
            </c:ext>
          </c:extLst>
        </c:ser>
        <c:ser>
          <c:idx val="7"/>
          <c:order val="7"/>
          <c:tx>
            <c:strRef>
              <c:f>СЗФО!$B$72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0.43738948573025499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3-4CEC-9972-7DE3997F0378}"/>
            </c:ext>
          </c:extLst>
        </c:ser>
        <c:ser>
          <c:idx val="8"/>
          <c:order val="8"/>
          <c:tx>
            <c:strRef>
              <c:f>СЗФО!$B$73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0.46955366542848043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43-4CEC-9972-7DE3997F0378}"/>
            </c:ext>
          </c:extLst>
        </c:ser>
        <c:ser>
          <c:idx val="9"/>
          <c:order val="9"/>
          <c:tx>
            <c:strRef>
              <c:f>СЗФО!$B$74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СЗФО!$C$64:$R$64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0.85497690202677867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43-4CEC-9972-7DE3997F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722344"/>
        <c:axId val="585722016"/>
      </c:lineChart>
      <c:catAx>
        <c:axId val="58572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722016"/>
        <c:crosses val="autoZero"/>
        <c:auto val="1"/>
        <c:lblAlgn val="ctr"/>
        <c:lblOffset val="100"/>
        <c:noMultiLvlLbl val="0"/>
      </c:catAx>
      <c:valAx>
        <c:axId val="58572201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72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Инновации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СЗФО!$B$92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СЗФО!$C$92:$R$92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0.16271287332824155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C-43CE-9ED0-6D75E4CA9EAB}"/>
            </c:ext>
          </c:extLst>
        </c:ser>
        <c:ser>
          <c:idx val="1"/>
          <c:order val="1"/>
          <c:tx>
            <c:strRef>
              <c:f>СЗФО!$B$93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СЗФО!$C$93:$R$93</c:f>
              <c:numCache>
                <c:formatCode>0.0000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8.453986096004551E-2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C-43CE-9ED0-6D75E4CA9EAB}"/>
            </c:ext>
          </c:extLst>
        </c:ser>
        <c:ser>
          <c:idx val="2"/>
          <c:order val="2"/>
          <c:tx>
            <c:strRef>
              <c:f>СЗФО!$B$94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СЗФО!$C$94:$R$94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5.6520129221873688E-2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C-43CE-9ED0-6D75E4CA9EAB}"/>
            </c:ext>
          </c:extLst>
        </c:ser>
        <c:ser>
          <c:idx val="3"/>
          <c:order val="3"/>
          <c:tx>
            <c:strRef>
              <c:f>СЗФО!$B$95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СЗФО!$C$95:$R$95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0.12493808101144044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C-43CE-9ED0-6D75E4CA9EAB}"/>
            </c:ext>
          </c:extLst>
        </c:ser>
        <c:ser>
          <c:idx val="4"/>
          <c:order val="4"/>
          <c:tx>
            <c:strRef>
              <c:f>СЗФО!$B$96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СЗФО!$C$96:$R$96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3.8784117660143454E-2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CC-43CE-9ED0-6D75E4CA9EAB}"/>
            </c:ext>
          </c:extLst>
        </c:ser>
        <c:ser>
          <c:idx val="5"/>
          <c:order val="5"/>
          <c:tx>
            <c:strRef>
              <c:f>СЗФО!$B$97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СЗФО!$C$97:$R$97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0.15878838128160108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CC-43CE-9ED0-6D75E4CA9EAB}"/>
            </c:ext>
          </c:extLst>
        </c:ser>
        <c:ser>
          <c:idx val="6"/>
          <c:order val="6"/>
          <c:tx>
            <c:strRef>
              <c:f>СЗФО!$B$98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СЗФО!$C$98:$R$98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0.15967087497048274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CC-43CE-9ED0-6D75E4CA9EAB}"/>
            </c:ext>
          </c:extLst>
        </c:ser>
        <c:ser>
          <c:idx val="7"/>
          <c:order val="7"/>
          <c:tx>
            <c:strRef>
              <c:f>СЗФО!$B$99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СЗФО!$C$99:$R$99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0.15725681935043545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CC-43CE-9ED0-6D75E4CA9EAB}"/>
            </c:ext>
          </c:extLst>
        </c:ser>
        <c:ser>
          <c:idx val="8"/>
          <c:order val="8"/>
          <c:tx>
            <c:strRef>
              <c:f>СЗФО!$B$100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СЗФО!$C$100:$R$100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9.6862376277115969E-2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CC-43CE-9ED0-6D75E4CA9EAB}"/>
            </c:ext>
          </c:extLst>
        </c:ser>
        <c:ser>
          <c:idx val="9"/>
          <c:order val="9"/>
          <c:tx>
            <c:strRef>
              <c:f>СЗФО!$B$101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СЗФО!$C$91:$R$91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СЗФО!$C$101:$R$101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0.38314196275818557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CC-43CE-9ED0-6D75E4CA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16712"/>
        <c:axId val="583412776"/>
      </c:lineChart>
      <c:catAx>
        <c:axId val="5834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12776"/>
        <c:crosses val="autoZero"/>
        <c:auto val="1"/>
        <c:lblAlgn val="ctr"/>
        <c:lblOffset val="100"/>
        <c:noMultiLvlLbl val="0"/>
      </c:catAx>
      <c:valAx>
        <c:axId val="58341277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1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Торговля и услуги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453861458734807E-2"/>
          <c:y val="9.0061389327815836E-2"/>
          <c:w val="0.95807482363178986"/>
          <c:h val="0.81506720523889842"/>
        </c:manualLayout>
      </c:layout>
      <c:lineChart>
        <c:grouping val="standard"/>
        <c:varyColors val="0"/>
        <c:ser>
          <c:idx val="0"/>
          <c:order val="0"/>
          <c:tx>
            <c:strRef>
              <c:f>СЗФО!$B$118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СЗФО!$C$118:$R$118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0.46507012291605898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1-458C-876B-2A05941F9C41}"/>
            </c:ext>
          </c:extLst>
        </c:ser>
        <c:ser>
          <c:idx val="1"/>
          <c:order val="1"/>
          <c:tx>
            <c:strRef>
              <c:f>СЗФО!$B$119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СЗФО!$C$119:$R$119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0.47335133865517903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1-458C-876B-2A05941F9C41}"/>
            </c:ext>
          </c:extLst>
        </c:ser>
        <c:ser>
          <c:idx val="2"/>
          <c:order val="2"/>
          <c:tx>
            <c:strRef>
              <c:f>СЗФО!$B$120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СЗФО!$C$120:$R$120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0.50185042930998225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1-458C-876B-2A05941F9C41}"/>
            </c:ext>
          </c:extLst>
        </c:ser>
        <c:ser>
          <c:idx val="3"/>
          <c:order val="3"/>
          <c:tx>
            <c:strRef>
              <c:f>СЗФО!$B$121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СЗФО!$C$121:$R$121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0.38693900492773775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1-458C-876B-2A05941F9C41}"/>
            </c:ext>
          </c:extLst>
        </c:ser>
        <c:ser>
          <c:idx val="4"/>
          <c:order val="4"/>
          <c:tx>
            <c:strRef>
              <c:f>СЗФО!$B$122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СЗФО!$C$122:$R$122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0.45181194034451994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1-458C-876B-2A05941F9C41}"/>
            </c:ext>
          </c:extLst>
        </c:ser>
        <c:ser>
          <c:idx val="5"/>
          <c:order val="5"/>
          <c:tx>
            <c:strRef>
              <c:f>СЗФО!$B$123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СЗФО!$C$123:$R$123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0.41424502324146389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1-458C-876B-2A05941F9C41}"/>
            </c:ext>
          </c:extLst>
        </c:ser>
        <c:ser>
          <c:idx val="6"/>
          <c:order val="6"/>
          <c:tx>
            <c:strRef>
              <c:f>СЗФО!$B$124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СЗФО!$C$124:$R$124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0.5710606449035126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1-458C-876B-2A05941F9C41}"/>
            </c:ext>
          </c:extLst>
        </c:ser>
        <c:ser>
          <c:idx val="7"/>
          <c:order val="7"/>
          <c:tx>
            <c:strRef>
              <c:f>СЗФО!$B$125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СЗФО!$C$125:$R$125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0.4098130575263535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21-458C-876B-2A05941F9C41}"/>
            </c:ext>
          </c:extLst>
        </c:ser>
        <c:ser>
          <c:idx val="8"/>
          <c:order val="8"/>
          <c:tx>
            <c:strRef>
              <c:f>СЗФО!$B$126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СЗФО!$C$126:$R$126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0.40801323755803381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21-458C-876B-2A05941F9C41}"/>
            </c:ext>
          </c:extLst>
        </c:ser>
        <c:ser>
          <c:idx val="9"/>
          <c:order val="9"/>
          <c:tx>
            <c:strRef>
              <c:f>СЗФО!$B$127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СЗФО!$C$117:$R$117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СЗФО!$C$127:$R$127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0.56746669654713411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21-458C-876B-2A05941F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41752"/>
        <c:axId val="461499048"/>
      </c:lineChart>
      <c:catAx>
        <c:axId val="58614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99048"/>
        <c:crosses val="autoZero"/>
        <c:auto val="1"/>
        <c:lblAlgn val="ctr"/>
        <c:lblOffset val="100"/>
        <c:noMultiLvlLbl val="0"/>
      </c:catAx>
      <c:valAx>
        <c:axId val="461499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1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Жилье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СЗФО!$B$145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СЗФО!$C$145:$R$145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0.47625206019506178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9-4AA3-97FE-AAC7D0302C80}"/>
            </c:ext>
          </c:extLst>
        </c:ser>
        <c:ser>
          <c:idx val="1"/>
          <c:order val="1"/>
          <c:tx>
            <c:strRef>
              <c:f>СЗФО!$B$146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СЗФО!$C$146:$R$146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0.42330772939918643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9-4AA3-97FE-AAC7D0302C80}"/>
            </c:ext>
          </c:extLst>
        </c:ser>
        <c:ser>
          <c:idx val="2"/>
          <c:order val="2"/>
          <c:tx>
            <c:strRef>
              <c:f>СЗФО!$B$147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СЗФО!$C$147:$R$147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0.41212030878688438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9-4AA3-97FE-AAC7D0302C80}"/>
            </c:ext>
          </c:extLst>
        </c:ser>
        <c:ser>
          <c:idx val="3"/>
          <c:order val="3"/>
          <c:tx>
            <c:strRef>
              <c:f>СЗФО!$B$148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СЗФО!$C$148:$R$148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0.47458899104632346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9-4AA3-97FE-AAC7D0302C80}"/>
            </c:ext>
          </c:extLst>
        </c:ser>
        <c:ser>
          <c:idx val="4"/>
          <c:order val="4"/>
          <c:tx>
            <c:strRef>
              <c:f>СЗФО!$B$149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СЗФО!$C$149:$R$149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0.54893632394798042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9-4AA3-97FE-AAC7D0302C80}"/>
            </c:ext>
          </c:extLst>
        </c:ser>
        <c:ser>
          <c:idx val="5"/>
          <c:order val="5"/>
          <c:tx>
            <c:strRef>
              <c:f>СЗФО!$B$150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СЗФО!$C$150:$R$150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0.59440927897851004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9-4AA3-97FE-AAC7D0302C80}"/>
            </c:ext>
          </c:extLst>
        </c:ser>
        <c:ser>
          <c:idx val="6"/>
          <c:order val="6"/>
          <c:tx>
            <c:strRef>
              <c:f>СЗФО!$B$151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СЗФО!$C$151:$R$151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0.34828582781103457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49-4AA3-97FE-AAC7D0302C80}"/>
            </c:ext>
          </c:extLst>
        </c:ser>
        <c:ser>
          <c:idx val="7"/>
          <c:order val="7"/>
          <c:tx>
            <c:strRef>
              <c:f>СЗФО!$B$152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СЗФО!$C$152:$R$152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0.51390143402197053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9-4AA3-97FE-AAC7D0302C80}"/>
            </c:ext>
          </c:extLst>
        </c:ser>
        <c:ser>
          <c:idx val="8"/>
          <c:order val="8"/>
          <c:tx>
            <c:strRef>
              <c:f>СЗФО!$B$153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СЗФО!$C$153:$R$153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0.48790881450450962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49-4AA3-97FE-AAC7D0302C80}"/>
            </c:ext>
          </c:extLst>
        </c:ser>
        <c:ser>
          <c:idx val="9"/>
          <c:order val="9"/>
          <c:tx>
            <c:strRef>
              <c:f>СЗФО!$B$154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СЗФО!$C$144:$R$144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СЗФО!$C$154:$R$154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0.49539018233038562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9-4AA3-97FE-AAC7D030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37712"/>
        <c:axId val="460538696"/>
      </c:lineChart>
      <c:catAx>
        <c:axId val="4605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38696"/>
        <c:crosses val="autoZero"/>
        <c:auto val="1"/>
        <c:lblAlgn val="ctr"/>
        <c:lblOffset val="100"/>
        <c:noMultiLvlLbl val="0"/>
      </c:catAx>
      <c:valAx>
        <c:axId val="46053869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34"/>
          <c:y val="7.6026465132149182E-2"/>
          <c:w val="0.36701894062912233"/>
          <c:h val="0.69341029587242153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ЮФО!$C$2:$C$9</c:f>
              <c:numCache>
                <c:formatCode>0.0000</c:formatCode>
                <c:ptCount val="8"/>
                <c:pt idx="0">
                  <c:v>4.2296953577702079E-8</c:v>
                </c:pt>
                <c:pt idx="1">
                  <c:v>0.24343350015595636</c:v>
                </c:pt>
                <c:pt idx="2">
                  <c:v>0.78464901461543179</c:v>
                </c:pt>
                <c:pt idx="3">
                  <c:v>0.78704907203862695</c:v>
                </c:pt>
                <c:pt idx="4">
                  <c:v>0.22191568445372667</c:v>
                </c:pt>
                <c:pt idx="5">
                  <c:v>0.75644597412377546</c:v>
                </c:pt>
                <c:pt idx="6">
                  <c:v>0.65929447021296417</c:v>
                </c:pt>
                <c:pt idx="7">
                  <c:v>1.3417306305140726E-3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F-4BC5-90B7-BDE2FE5BC2E7}"/>
            </c:ext>
          </c:extLst>
        </c:ser>
        <c:ser>
          <c:idx val="1"/>
          <c:order val="1"/>
          <c:tx>
            <c:strRef>
              <c:f>ЮФО!$D$1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ЮФО!$D$2:$D$9</c:f>
              <c:numCache>
                <c:formatCode>0.0000</c:formatCode>
                <c:ptCount val="8"/>
                <c:pt idx="0">
                  <c:v>0.55706058269853109</c:v>
                </c:pt>
                <c:pt idx="1">
                  <c:v>0.76494251180676442</c:v>
                </c:pt>
                <c:pt idx="2">
                  <c:v>0.39623753252105726</c:v>
                </c:pt>
                <c:pt idx="3">
                  <c:v>0.68706631246325589</c:v>
                </c:pt>
                <c:pt idx="4">
                  <c:v>0.67080242952885383</c:v>
                </c:pt>
                <c:pt idx="5">
                  <c:v>0.67772991632800517</c:v>
                </c:pt>
                <c:pt idx="6">
                  <c:v>0.68684302017014964</c:v>
                </c:pt>
                <c:pt idx="7">
                  <c:v>0.47321098982088844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F-4BC5-90B7-BDE2FE5BC2E7}"/>
            </c:ext>
          </c:extLst>
        </c:ser>
        <c:ser>
          <c:idx val="2"/>
          <c:order val="2"/>
          <c:tx>
            <c:strRef>
              <c:f>ЮФО!$E$1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ЮФО!$E$2:$E$9</c:f>
              <c:numCache>
                <c:formatCode>0.0000</c:formatCode>
                <c:ptCount val="8"/>
                <c:pt idx="0">
                  <c:v>0.13295239821897267</c:v>
                </c:pt>
                <c:pt idx="1">
                  <c:v>6.9869665694309718E-2</c:v>
                </c:pt>
                <c:pt idx="2">
                  <c:v>0.16074499767207401</c:v>
                </c:pt>
                <c:pt idx="3">
                  <c:v>0.44594572438127333</c:v>
                </c:pt>
                <c:pt idx="4">
                  <c:v>0.28431094556781877</c:v>
                </c:pt>
                <c:pt idx="5">
                  <c:v>0.35236143889062588</c:v>
                </c:pt>
                <c:pt idx="6">
                  <c:v>0.4256160228915648</c:v>
                </c:pt>
                <c:pt idx="7">
                  <c:v>0.17809784407262791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F-4BC5-90B7-BDE2FE5B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512"/>
        <c:axId val="89218048"/>
      </c:radarChart>
      <c:catAx>
        <c:axId val="892165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9218048"/>
        <c:crosses val="autoZero"/>
        <c:auto val="1"/>
        <c:lblAlgn val="ctr"/>
        <c:lblOffset val="100"/>
        <c:noMultiLvlLbl val="0"/>
      </c:catAx>
      <c:valAx>
        <c:axId val="89218048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9216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15380792184288"/>
          <c:y val="6.935986072437289E-2"/>
          <c:w val="0.35716041568464063"/>
          <c:h val="0.6799442729512527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ЮФО!$C$16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ЮФО!$C$17:$C$24</c:f>
              <c:numCache>
                <c:formatCode>0.0000</c:formatCode>
                <c:ptCount val="8"/>
                <c:pt idx="0">
                  <c:v>0.26154554467842894</c:v>
                </c:pt>
                <c:pt idx="1">
                  <c:v>1.4157973797000206E-2</c:v>
                </c:pt>
                <c:pt idx="2">
                  <c:v>8.4281499464186782E-2</c:v>
                </c:pt>
                <c:pt idx="3">
                  <c:v>0.10666508187441774</c:v>
                </c:pt>
                <c:pt idx="4">
                  <c:v>0.10395205240210419</c:v>
                </c:pt>
                <c:pt idx="5">
                  <c:v>0.21033833252025702</c:v>
                </c:pt>
                <c:pt idx="6">
                  <c:v>0.42122433947500709</c:v>
                </c:pt>
                <c:pt idx="7">
                  <c:v>0.50627424694066481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8-4B5C-BEA7-65178D64E5B3}"/>
            </c:ext>
          </c:extLst>
        </c:ser>
        <c:ser>
          <c:idx val="1"/>
          <c:order val="1"/>
          <c:tx>
            <c:strRef>
              <c:f>ЮФО!$D$16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ЮФО!$D$17:$D$24</c:f>
              <c:numCache>
                <c:formatCode>0.0000</c:formatCode>
                <c:ptCount val="8"/>
                <c:pt idx="0">
                  <c:v>3.4270271911288205E-4</c:v>
                </c:pt>
                <c:pt idx="1">
                  <c:v>2.3915291623004064E-4</c:v>
                </c:pt>
                <c:pt idx="2">
                  <c:v>0.50877607700313165</c:v>
                </c:pt>
                <c:pt idx="3">
                  <c:v>0.41687503422909999</c:v>
                </c:pt>
                <c:pt idx="4">
                  <c:v>2.9575682554364366E-2</c:v>
                </c:pt>
                <c:pt idx="5">
                  <c:v>1.2097078222802102E-2</c:v>
                </c:pt>
                <c:pt idx="6">
                  <c:v>0.58912756268044431</c:v>
                </c:pt>
                <c:pt idx="7">
                  <c:v>0.43208350918249722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8-4B5C-BEA7-65178D64E5B3}"/>
            </c:ext>
          </c:extLst>
        </c:ser>
        <c:ser>
          <c:idx val="2"/>
          <c:order val="2"/>
          <c:tx>
            <c:strRef>
              <c:f>ЮФО!$E$16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ЮФО!$E$17:$E$24</c:f>
              <c:numCache>
                <c:formatCode>0.0000</c:formatCode>
                <c:ptCount val="8"/>
                <c:pt idx="0">
                  <c:v>1.3380774632272618E-13</c:v>
                </c:pt>
                <c:pt idx="1">
                  <c:v>1.1760466106958783E-14</c:v>
                </c:pt>
                <c:pt idx="2">
                  <c:v>4.1356833934528332E-11</c:v>
                </c:pt>
                <c:pt idx="3">
                  <c:v>6.0546081635416356E-5</c:v>
                </c:pt>
                <c:pt idx="4">
                  <c:v>7.2179193634961306E-45</c:v>
                </c:pt>
                <c:pt idx="5">
                  <c:v>4.470284825538179E-4</c:v>
                </c:pt>
                <c:pt idx="6">
                  <c:v>0.12984558416918848</c:v>
                </c:pt>
                <c:pt idx="7">
                  <c:v>5.409964775574868E-2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8-4B5C-BEA7-65178D64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4144"/>
        <c:axId val="89133056"/>
      </c:radarChart>
      <c:catAx>
        <c:axId val="8925414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9133056"/>
        <c:crosses val="autoZero"/>
        <c:auto val="1"/>
        <c:lblAlgn val="ctr"/>
        <c:lblOffset val="100"/>
        <c:noMultiLvlLbl val="0"/>
      </c:catAx>
      <c:valAx>
        <c:axId val="89133056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9254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78918399340876"/>
          <c:y val="6.6143061979806295E-2"/>
          <c:w val="0.38692623082472816"/>
          <c:h val="0.73661095449106417"/>
        </c:manualLayout>
      </c:layout>
      <c:radarChart>
        <c:radarStyle val="marker"/>
        <c:varyColors val="0"/>
        <c:ser>
          <c:idx val="0"/>
          <c:order val="0"/>
          <c:tx>
            <c:strRef>
              <c:f>ЮФО!$C$31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ЮФО!$C$32:$C$39</c:f>
              <c:numCache>
                <c:formatCode>0.0000</c:formatCode>
                <c:ptCount val="8"/>
                <c:pt idx="0">
                  <c:v>0.49775537686587179</c:v>
                </c:pt>
                <c:pt idx="1">
                  <c:v>0.15297305025315747</c:v>
                </c:pt>
                <c:pt idx="2">
                  <c:v>0.33605575399302778</c:v>
                </c:pt>
                <c:pt idx="3">
                  <c:v>0.53976177965310157</c:v>
                </c:pt>
                <c:pt idx="4">
                  <c:v>0.39646162308846383</c:v>
                </c:pt>
                <c:pt idx="5">
                  <c:v>0.38124993694833709</c:v>
                </c:pt>
                <c:pt idx="6">
                  <c:v>0.49986700894512931</c:v>
                </c:pt>
                <c:pt idx="7">
                  <c:v>0.31916013160732914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C-4380-AB4E-FA73CF5586C9}"/>
            </c:ext>
          </c:extLst>
        </c:ser>
        <c:ser>
          <c:idx val="1"/>
          <c:order val="1"/>
          <c:tx>
            <c:strRef>
              <c:f>ЮФО!$D$31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ЮФО!$D$32:$D$39</c:f>
              <c:numCache>
                <c:formatCode>0.0000</c:formatCode>
                <c:ptCount val="8"/>
                <c:pt idx="0">
                  <c:v>0.29121900451992916</c:v>
                </c:pt>
                <c:pt idx="1">
                  <c:v>2.1809128054029046E-2</c:v>
                </c:pt>
                <c:pt idx="2">
                  <c:v>0.32234068162311252</c:v>
                </c:pt>
                <c:pt idx="3">
                  <c:v>0.56049282208759899</c:v>
                </c:pt>
                <c:pt idx="4">
                  <c:v>0.39714078057266039</c:v>
                </c:pt>
                <c:pt idx="5">
                  <c:v>0.24123932222267713</c:v>
                </c:pt>
                <c:pt idx="6">
                  <c:v>0.41610444524964274</c:v>
                </c:pt>
                <c:pt idx="7">
                  <c:v>0.51068873993852615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C-4380-AB4E-FA73CF5586C9}"/>
            </c:ext>
          </c:extLst>
        </c:ser>
        <c:ser>
          <c:idx val="2"/>
          <c:order val="2"/>
          <c:tx>
            <c:strRef>
              <c:f>ЮФО!$E$31</c:f>
              <c:strCache>
                <c:ptCount val="1"/>
                <c:pt idx="0">
                  <c:v>Объем платных услуг</c:v>
                </c:pt>
              </c:strCache>
            </c:strRef>
          </c:tx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ЮФО!$E$32:$E$39</c:f>
              <c:numCache>
                <c:formatCode>0.0000</c:formatCode>
                <c:ptCount val="8"/>
                <c:pt idx="0">
                  <c:v>0.22912982156955602</c:v>
                </c:pt>
                <c:pt idx="1">
                  <c:v>0.12500241251669322</c:v>
                </c:pt>
                <c:pt idx="2">
                  <c:v>0.36591741398549288</c:v>
                </c:pt>
                <c:pt idx="3">
                  <c:v>0.61385782096211527</c:v>
                </c:pt>
                <c:pt idx="4">
                  <c:v>0.31335778156719812</c:v>
                </c:pt>
                <c:pt idx="5">
                  <c:v>0.42868433639169712</c:v>
                </c:pt>
                <c:pt idx="6">
                  <c:v>0.43854511782381878</c:v>
                </c:pt>
                <c:pt idx="7">
                  <c:v>0.521208321631074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C-4380-AB4E-FA73CF55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0704"/>
        <c:axId val="89178880"/>
      </c:radarChart>
      <c:catAx>
        <c:axId val="891607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9178880"/>
        <c:crosses val="autoZero"/>
        <c:auto val="1"/>
        <c:lblAlgn val="ctr"/>
        <c:lblOffset val="100"/>
        <c:noMultiLvlLbl val="0"/>
      </c:catAx>
      <c:valAx>
        <c:axId val="8917888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9160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332770260898345"/>
          <c:y val="0.14533768483720999"/>
          <c:w val="0.35200132939764511"/>
          <c:h val="0.63240667760053326"/>
        </c:manualLayout>
      </c:layout>
      <c:radarChart>
        <c:radarStyle val="marker"/>
        <c:varyColors val="0"/>
        <c:ser>
          <c:idx val="0"/>
          <c:order val="0"/>
          <c:tx>
            <c:strRef>
              <c:f>ЦФО!$C$21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ЦФО!$C$22:$C$39</c:f>
              <c:numCache>
                <c:formatCode>0.0000</c:formatCode>
                <c:ptCount val="18"/>
                <c:pt idx="0">
                  <c:v>0.5150477655587653</c:v>
                </c:pt>
                <c:pt idx="1">
                  <c:v>0.3355255763831001</c:v>
                </c:pt>
                <c:pt idx="2">
                  <c:v>0.3887335276396362</c:v>
                </c:pt>
                <c:pt idx="3">
                  <c:v>0.47243506877841174</c:v>
                </c:pt>
                <c:pt idx="4">
                  <c:v>0.4781262305719694</c:v>
                </c:pt>
                <c:pt idx="5">
                  <c:v>0.3728690719606354</c:v>
                </c:pt>
                <c:pt idx="6">
                  <c:v>0.11678603334988695</c:v>
                </c:pt>
                <c:pt idx="7">
                  <c:v>0.2094225079987603</c:v>
                </c:pt>
                <c:pt idx="8">
                  <c:v>0.35395602450407304</c:v>
                </c:pt>
                <c:pt idx="9">
                  <c:v>0.33169542864952728</c:v>
                </c:pt>
                <c:pt idx="10">
                  <c:v>0.41712223443927421</c:v>
                </c:pt>
                <c:pt idx="11">
                  <c:v>0.33567736946458315</c:v>
                </c:pt>
                <c:pt idx="12">
                  <c:v>0.18466691842137042</c:v>
                </c:pt>
                <c:pt idx="13">
                  <c:v>0.38329713134561261</c:v>
                </c:pt>
                <c:pt idx="14">
                  <c:v>0.36964422383675194</c:v>
                </c:pt>
                <c:pt idx="15">
                  <c:v>0.55322168481691125</c:v>
                </c:pt>
                <c:pt idx="16">
                  <c:v>0.32813420056493831</c:v>
                </c:pt>
                <c:pt idx="17">
                  <c:v>0.39944587573198764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5-4E38-96B5-AAB22956EB60}"/>
            </c:ext>
          </c:extLst>
        </c:ser>
        <c:ser>
          <c:idx val="1"/>
          <c:order val="1"/>
          <c:tx>
            <c:strRef>
              <c:f>ЦФО!$D$21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ЦФО!$D$22:$D$39</c:f>
              <c:numCache>
                <c:formatCode>0.0000</c:formatCode>
                <c:ptCount val="18"/>
                <c:pt idx="0">
                  <c:v>0.31461319246123221</c:v>
                </c:pt>
                <c:pt idx="1">
                  <c:v>0.1428445101884851</c:v>
                </c:pt>
                <c:pt idx="2">
                  <c:v>0.35495165992552391</c:v>
                </c:pt>
                <c:pt idx="3">
                  <c:v>0.53116734802179089</c:v>
                </c:pt>
                <c:pt idx="4">
                  <c:v>5.0038404286965633E-2</c:v>
                </c:pt>
                <c:pt idx="5">
                  <c:v>4.2756772728995737E-2</c:v>
                </c:pt>
                <c:pt idx="6">
                  <c:v>1.9229282142955168E-4</c:v>
                </c:pt>
                <c:pt idx="7">
                  <c:v>1.2135965368960315E-3</c:v>
                </c:pt>
                <c:pt idx="8">
                  <c:v>0.6352741428704165</c:v>
                </c:pt>
                <c:pt idx="9">
                  <c:v>0.59832392208840068</c:v>
                </c:pt>
                <c:pt idx="10">
                  <c:v>1.0675975400955112E-2</c:v>
                </c:pt>
                <c:pt idx="11">
                  <c:v>9.9637925879683134E-2</c:v>
                </c:pt>
                <c:pt idx="12">
                  <c:v>0.12260108011625731</c:v>
                </c:pt>
                <c:pt idx="13">
                  <c:v>0.13495437611294031</c:v>
                </c:pt>
                <c:pt idx="14">
                  <c:v>0.21927288738902048</c:v>
                </c:pt>
                <c:pt idx="15">
                  <c:v>0.44615085259149556</c:v>
                </c:pt>
                <c:pt idx="16">
                  <c:v>0.24046004516785696</c:v>
                </c:pt>
                <c:pt idx="17">
                  <c:v>0.47741976469152719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5-4E38-96B5-AAB22956EB60}"/>
            </c:ext>
          </c:extLst>
        </c:ser>
        <c:ser>
          <c:idx val="2"/>
          <c:order val="2"/>
          <c:tx>
            <c:strRef>
              <c:f>ЦФО!$E$21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ЦФО!$E$22:$E$39</c:f>
              <c:numCache>
                <c:formatCode>0.0000</c:formatCode>
                <c:ptCount val="18"/>
                <c:pt idx="0">
                  <c:v>0.29184741033072209</c:v>
                </c:pt>
                <c:pt idx="1">
                  <c:v>0.16703286867468906</c:v>
                </c:pt>
                <c:pt idx="2">
                  <c:v>8.4582044304478604E-2</c:v>
                </c:pt>
                <c:pt idx="3">
                  <c:v>5.9798071022374104E-2</c:v>
                </c:pt>
                <c:pt idx="4">
                  <c:v>2.2931231823975114E-3</c:v>
                </c:pt>
                <c:pt idx="5">
                  <c:v>2.3832847034647496E-8</c:v>
                </c:pt>
                <c:pt idx="6">
                  <c:v>5.3306810314595096E-2</c:v>
                </c:pt>
                <c:pt idx="7">
                  <c:v>4.9379869889182568E-2</c:v>
                </c:pt>
                <c:pt idx="8">
                  <c:v>6.1191399867534385E-2</c:v>
                </c:pt>
                <c:pt idx="9">
                  <c:v>0.14104385928334306</c:v>
                </c:pt>
                <c:pt idx="10">
                  <c:v>2.7722311510160327E-2</c:v>
                </c:pt>
                <c:pt idx="11">
                  <c:v>3.6258388262997522E-2</c:v>
                </c:pt>
                <c:pt idx="12">
                  <c:v>5.860775941380696E-3</c:v>
                </c:pt>
                <c:pt idx="13">
                  <c:v>4.2584575888211205E-2</c:v>
                </c:pt>
                <c:pt idx="14">
                  <c:v>8.8302404381703684E-2</c:v>
                </c:pt>
                <c:pt idx="15">
                  <c:v>0.27816071941694398</c:v>
                </c:pt>
                <c:pt idx="16">
                  <c:v>4.0166303938997477E-2</c:v>
                </c:pt>
                <c:pt idx="17">
                  <c:v>7.7371279956630675E-3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5-4E38-96B5-AAB22956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5056"/>
        <c:axId val="87006592"/>
      </c:radarChart>
      <c:catAx>
        <c:axId val="870050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7006592"/>
        <c:crosses val="autoZero"/>
        <c:auto val="1"/>
        <c:lblAlgn val="ctr"/>
        <c:lblOffset val="100"/>
        <c:noMultiLvlLbl val="0"/>
      </c:catAx>
      <c:valAx>
        <c:axId val="87006592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7005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991948425245125"/>
          <c:y val="8.2155330793675291E-2"/>
          <c:w val="0.37186473544276538"/>
          <c:h val="0.68302599814959064"/>
        </c:manualLayout>
      </c:layout>
      <c:radarChart>
        <c:radarStyle val="marker"/>
        <c:varyColors val="0"/>
        <c:ser>
          <c:idx val="0"/>
          <c:order val="0"/>
          <c:tx>
            <c:strRef>
              <c:f>ЮФО!$C$49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ЮФО!$C$50:$C$57</c:f>
              <c:numCache>
                <c:formatCode>0.0000</c:formatCode>
                <c:ptCount val="8"/>
                <c:pt idx="0">
                  <c:v>0.45958113138714513</c:v>
                </c:pt>
                <c:pt idx="1">
                  <c:v>0.26469197555592938</c:v>
                </c:pt>
                <c:pt idx="2">
                  <c:v>0.36113078757566519</c:v>
                </c:pt>
                <c:pt idx="3">
                  <c:v>0.6184350487935526</c:v>
                </c:pt>
                <c:pt idx="4">
                  <c:v>0.30589234109903646</c:v>
                </c:pt>
                <c:pt idx="5">
                  <c:v>0.24890671255857583</c:v>
                </c:pt>
                <c:pt idx="6">
                  <c:v>0.50398091196373818</c:v>
                </c:pt>
                <c:pt idx="7">
                  <c:v>0.70882661136690728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7-4B19-A0E8-7C7274B4736A}"/>
            </c:ext>
          </c:extLst>
        </c:ser>
        <c:ser>
          <c:idx val="1"/>
          <c:order val="1"/>
          <c:tx>
            <c:strRef>
              <c:f>ЮФО!$D$49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ЮФО!$D$50:$D$57</c:f>
              <c:numCache>
                <c:formatCode>0.0000</c:formatCode>
                <c:ptCount val="8"/>
                <c:pt idx="0">
                  <c:v>0.53373772784636819</c:v>
                </c:pt>
                <c:pt idx="1">
                  <c:v>0.50818915745547655</c:v>
                </c:pt>
                <c:pt idx="2">
                  <c:v>0.41493707293697635</c:v>
                </c:pt>
                <c:pt idx="3">
                  <c:v>0.54091551256225567</c:v>
                </c:pt>
                <c:pt idx="4">
                  <c:v>0.5</c:v>
                </c:pt>
                <c:pt idx="5">
                  <c:v>0.504126503180508</c:v>
                </c:pt>
                <c:pt idx="6">
                  <c:v>0.52000729716759797</c:v>
                </c:pt>
                <c:pt idx="7">
                  <c:v>0.51482199389134364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7-4B19-A0E8-7C7274B4736A}"/>
            </c:ext>
          </c:extLst>
        </c:ser>
        <c:ser>
          <c:idx val="2"/>
          <c:order val="2"/>
          <c:tx>
            <c:strRef>
              <c:f>ЮФО!$E$49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ЮФО!$E$50:$E$57</c:f>
              <c:numCache>
                <c:formatCode>0.0000</c:formatCode>
                <c:ptCount val="8"/>
                <c:pt idx="0">
                  <c:v>0.4837658892619458</c:v>
                </c:pt>
                <c:pt idx="1">
                  <c:v>0.28061551207734331</c:v>
                </c:pt>
                <c:pt idx="2">
                  <c:v>0.46293735614364523</c:v>
                </c:pt>
                <c:pt idx="3">
                  <c:v>0.42862199142653634</c:v>
                </c:pt>
                <c:pt idx="4">
                  <c:v>0.35187884454383445</c:v>
                </c:pt>
                <c:pt idx="5">
                  <c:v>0.44435580299072147</c:v>
                </c:pt>
                <c:pt idx="6">
                  <c:v>0.52691065255862768</c:v>
                </c:pt>
                <c:pt idx="7">
                  <c:v>0.27463610758063006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7-4B19-A0E8-7C7274B4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3760"/>
        <c:axId val="89335296"/>
      </c:radarChart>
      <c:catAx>
        <c:axId val="89333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9335296"/>
        <c:crosses val="autoZero"/>
        <c:auto val="1"/>
        <c:lblAlgn val="ctr"/>
        <c:lblOffset val="100"/>
        <c:noMultiLvlLbl val="0"/>
      </c:catAx>
      <c:valAx>
        <c:axId val="89335296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9333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Инновации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ЮФО!$B$94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ЮФО!$C$93:$R$93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ЮФО!$C$94:$R$94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8.7296082465891878E-2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2-4155-92DD-805BF2A576FB}"/>
            </c:ext>
          </c:extLst>
        </c:ser>
        <c:ser>
          <c:idx val="1"/>
          <c:order val="1"/>
          <c:tx>
            <c:strRef>
              <c:f>ЮФО!$B$95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ЮФО!$C$93:$R$93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ЮФО!$C$95:$R$95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4.7990422377473356E-3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2-4155-92DD-805BF2A576FB}"/>
            </c:ext>
          </c:extLst>
        </c:ser>
        <c:ser>
          <c:idx val="2"/>
          <c:order val="2"/>
          <c:tx>
            <c:strRef>
              <c:f>ЮФО!$B$96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ЮФО!$C$93:$R$93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ЮФО!$C$96:$R$96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0.19768585883622511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2-4155-92DD-805BF2A576FB}"/>
            </c:ext>
          </c:extLst>
        </c:ser>
        <c:ser>
          <c:idx val="3"/>
          <c:order val="3"/>
          <c:tx>
            <c:strRef>
              <c:f>ЮФО!$B$97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ЮФО!$C$93:$R$93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ЮФО!$C$97:$R$97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0.17453355406171769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2-4155-92DD-805BF2A576FB}"/>
            </c:ext>
          </c:extLst>
        </c:ser>
        <c:ser>
          <c:idx val="4"/>
          <c:order val="4"/>
          <c:tx>
            <c:strRef>
              <c:f>ЮФО!$B$98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ЮФО!$C$93:$R$93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ЮФО!$C$98:$R$98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4.450924498548952E-2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2-4155-92DD-805BF2A576FB}"/>
            </c:ext>
          </c:extLst>
        </c:ser>
        <c:ser>
          <c:idx val="5"/>
          <c:order val="5"/>
          <c:tx>
            <c:strRef>
              <c:f>ЮФО!$B$99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ЮФО!$C$93:$R$93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ЮФО!$C$99:$R$99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7.429414640853764E-2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42-4155-92DD-805BF2A576FB}"/>
            </c:ext>
          </c:extLst>
        </c:ser>
        <c:ser>
          <c:idx val="6"/>
          <c:order val="6"/>
          <c:tx>
            <c:strRef>
              <c:f>ЮФО!$B$100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ЮФО!$C$93:$R$93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ЮФО!$C$100:$R$100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0.38006582877487999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42-4155-92DD-805BF2A576FB}"/>
            </c:ext>
          </c:extLst>
        </c:ser>
        <c:ser>
          <c:idx val="7"/>
          <c:order val="7"/>
          <c:tx>
            <c:strRef>
              <c:f>ЮФО!$B$101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ЮФО!$C$93:$R$93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ЮФО!$C$101:$R$101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0.33081913462630358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42-4155-92DD-805BF2A5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40840"/>
        <c:axId val="491041168"/>
      </c:lineChart>
      <c:catAx>
        <c:axId val="49104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041168"/>
        <c:crosses val="autoZero"/>
        <c:auto val="1"/>
        <c:lblAlgn val="ctr"/>
        <c:lblOffset val="100"/>
        <c:noMultiLvlLbl val="0"/>
      </c:catAx>
      <c:valAx>
        <c:axId val="49104116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04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Финансы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ЮФО!$B$67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ЮФО!$C$66:$R$66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ЮФО!$C$67:$R$67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0.23000434107148579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3-4080-9F7F-F3E0B3279477}"/>
            </c:ext>
          </c:extLst>
        </c:ser>
        <c:ser>
          <c:idx val="1"/>
          <c:order val="1"/>
          <c:tx>
            <c:strRef>
              <c:f>ЮФО!$B$68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ЮФО!$C$66:$R$66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0.35941522588567681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3-4080-9F7F-F3E0B3279477}"/>
            </c:ext>
          </c:extLst>
        </c:ser>
        <c:ser>
          <c:idx val="2"/>
          <c:order val="2"/>
          <c:tx>
            <c:strRef>
              <c:f>ЮФО!$B$69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ЮФО!$C$66:$R$66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ЮФО!$C$69:$R$69</c:f>
              <c:numCache>
                <c:formatCode>0.0000</c:formatCode>
                <c:ptCount val="1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0.44721051493618774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3-4080-9F7F-F3E0B3279477}"/>
            </c:ext>
          </c:extLst>
        </c:ser>
        <c:ser>
          <c:idx val="3"/>
          <c:order val="3"/>
          <c:tx>
            <c:strRef>
              <c:f>ЮФО!$B$70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ЮФО!$C$66:$R$66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ЮФО!$C$70:$R$70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0.6400203696277188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3-4080-9F7F-F3E0B3279477}"/>
            </c:ext>
          </c:extLst>
        </c:ser>
        <c:ser>
          <c:idx val="4"/>
          <c:order val="4"/>
          <c:tx>
            <c:strRef>
              <c:f>ЮФО!$B$71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ЮФО!$C$66:$R$66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0.39234301985013315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3-4080-9F7F-F3E0B3279477}"/>
            </c:ext>
          </c:extLst>
        </c:ser>
        <c:ser>
          <c:idx val="5"/>
          <c:order val="5"/>
          <c:tx>
            <c:strRef>
              <c:f>ЮФО!$B$72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ЮФО!$C$66:$R$66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0.59551244311413543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C3-4080-9F7F-F3E0B3279477}"/>
            </c:ext>
          </c:extLst>
        </c:ser>
        <c:ser>
          <c:idx val="6"/>
          <c:order val="6"/>
          <c:tx>
            <c:strRef>
              <c:f>ЮФО!$B$73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ЮФО!$C$66:$R$66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0.59058450442489285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C3-4080-9F7F-F3E0B3279477}"/>
            </c:ext>
          </c:extLst>
        </c:ser>
        <c:ser>
          <c:idx val="7"/>
          <c:order val="7"/>
          <c:tx>
            <c:strRef>
              <c:f>ЮФО!$B$74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ЮФО!$C$66:$R$66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ЮФО!$C$74:$R$74</c:f>
              <c:numCache>
                <c:formatCode>0.0000</c:formatCode>
                <c:ptCount val="1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0.21755018817467678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C3-4080-9F7F-F3E0B327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24720"/>
        <c:axId val="499725704"/>
      </c:lineChart>
      <c:catAx>
        <c:axId val="4997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25704"/>
        <c:crosses val="autoZero"/>
        <c:auto val="1"/>
        <c:lblAlgn val="ctr"/>
        <c:lblOffset val="100"/>
        <c:noMultiLvlLbl val="0"/>
      </c:catAx>
      <c:valAx>
        <c:axId val="49972570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Торговля и услуги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ЮФО!$B$124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ЮФО!$C$123:$R$123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ЮФО!$C$124:$R$124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0.33936806765178568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9-4482-AF2E-D5F4A50D21C3}"/>
            </c:ext>
          </c:extLst>
        </c:ser>
        <c:ser>
          <c:idx val="1"/>
          <c:order val="1"/>
          <c:tx>
            <c:strRef>
              <c:f>ЮФО!$B$125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ЮФО!$C$123:$R$123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ЮФО!$C$125:$R$125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9.9928196941293249E-2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9-4482-AF2E-D5F4A50D21C3}"/>
            </c:ext>
          </c:extLst>
        </c:ser>
        <c:ser>
          <c:idx val="2"/>
          <c:order val="2"/>
          <c:tx>
            <c:strRef>
              <c:f>ЮФО!$B$126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ЮФО!$C$123:$R$123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ЮФО!$C$126:$R$126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0.34143794986721104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9-4482-AF2E-D5F4A50D21C3}"/>
            </c:ext>
          </c:extLst>
        </c:ser>
        <c:ser>
          <c:idx val="3"/>
          <c:order val="3"/>
          <c:tx>
            <c:strRef>
              <c:f>ЮФО!$B$127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ЮФО!$C$123:$R$123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ЮФО!$C$127:$R$127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0.57137080756760528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9-4482-AF2E-D5F4A50D21C3}"/>
            </c:ext>
          </c:extLst>
        </c:ser>
        <c:ser>
          <c:idx val="4"/>
          <c:order val="4"/>
          <c:tx>
            <c:strRef>
              <c:f>ЮФО!$B$128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ЮФО!$C$123:$R$123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ЮФО!$C$128:$R$128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0.3689867284094408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9-4482-AF2E-D5F4A50D21C3}"/>
            </c:ext>
          </c:extLst>
        </c:ser>
        <c:ser>
          <c:idx val="5"/>
          <c:order val="5"/>
          <c:tx>
            <c:strRef>
              <c:f>ЮФО!$B$129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ЮФО!$C$123:$R$123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ЮФО!$C$129:$R$129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0.35039119852090383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9-4482-AF2E-D5F4A50D21C3}"/>
            </c:ext>
          </c:extLst>
        </c:ser>
        <c:ser>
          <c:idx val="6"/>
          <c:order val="6"/>
          <c:tx>
            <c:strRef>
              <c:f>ЮФО!$B$130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ЮФО!$C$123:$R$123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0.45150552400619698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9-4482-AF2E-D5F4A50D21C3}"/>
            </c:ext>
          </c:extLst>
        </c:ser>
        <c:ser>
          <c:idx val="7"/>
          <c:order val="7"/>
          <c:tx>
            <c:strRef>
              <c:f>ЮФО!$B$131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ЮФО!$C$123:$R$123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ЮФО!$C$131:$R$131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0.45035239772564312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9-4482-AF2E-D5F4A50D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96520"/>
        <c:axId val="490037848"/>
      </c:lineChart>
      <c:catAx>
        <c:axId val="48999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037848"/>
        <c:crosses val="autoZero"/>
        <c:auto val="1"/>
        <c:lblAlgn val="ctr"/>
        <c:lblOffset val="100"/>
        <c:noMultiLvlLbl val="0"/>
      </c:catAx>
      <c:valAx>
        <c:axId val="4900378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9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Жилье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ЮФО!$B$153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ЮФО!$C$152:$R$152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ЮФО!$C$153:$R$153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0.49236158283181974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9-4BAF-B813-F77D941839ED}"/>
            </c:ext>
          </c:extLst>
        </c:ser>
        <c:ser>
          <c:idx val="1"/>
          <c:order val="1"/>
          <c:tx>
            <c:strRef>
              <c:f>ЮФО!$B$154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ЮФО!$C$152:$R$152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ЮФО!$C$154:$R$154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0.35116554836291641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9-4BAF-B813-F77D941839ED}"/>
            </c:ext>
          </c:extLst>
        </c:ser>
        <c:ser>
          <c:idx val="2"/>
          <c:order val="2"/>
          <c:tx>
            <c:strRef>
              <c:f>ЮФО!$B$155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ЮФО!$C$152:$R$152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ЮФО!$C$155:$R$155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0.41300173888542896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9-4BAF-B813-F77D941839ED}"/>
            </c:ext>
          </c:extLst>
        </c:ser>
        <c:ser>
          <c:idx val="3"/>
          <c:order val="3"/>
          <c:tx>
            <c:strRef>
              <c:f>ЮФО!$B$156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ЮФО!$C$152:$R$152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ЮФО!$C$156:$R$156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0.52932418426078154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9-4BAF-B813-F77D941839ED}"/>
            </c:ext>
          </c:extLst>
        </c:ser>
        <c:ser>
          <c:idx val="4"/>
          <c:order val="4"/>
          <c:tx>
            <c:strRef>
              <c:f>ЮФО!$B$157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ЮФО!$C$152:$R$152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ЮФО!$C$157:$R$157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0.38592372854762358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9-4BAF-B813-F77D941839ED}"/>
            </c:ext>
          </c:extLst>
        </c:ser>
        <c:ser>
          <c:idx val="5"/>
          <c:order val="5"/>
          <c:tx>
            <c:strRef>
              <c:f>ЮФО!$B$158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ЮФО!$C$152:$R$152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ЮФО!$C$158:$R$158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0.39912967290993512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9-4BAF-B813-F77D941839ED}"/>
            </c:ext>
          </c:extLst>
        </c:ser>
        <c:ser>
          <c:idx val="6"/>
          <c:order val="6"/>
          <c:tx>
            <c:strRef>
              <c:f>ЮФО!$B$159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ЮФО!$C$152:$R$152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ЮФО!$C$159:$R$159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0.51696628722998794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89-4BAF-B813-F77D941839ED}"/>
            </c:ext>
          </c:extLst>
        </c:ser>
        <c:ser>
          <c:idx val="7"/>
          <c:order val="7"/>
          <c:tx>
            <c:strRef>
              <c:f>ЮФО!$B$160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ЮФО!$C$152:$R$152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ЮФО!$C$160:$R$160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0.49942823761296035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89-4BAF-B813-F77D9418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41824"/>
        <c:axId val="491041496"/>
      </c:lineChart>
      <c:catAx>
        <c:axId val="4910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041496"/>
        <c:crosses val="autoZero"/>
        <c:auto val="1"/>
        <c:lblAlgn val="ctr"/>
        <c:lblOffset val="100"/>
        <c:noMultiLvlLbl val="0"/>
      </c:catAx>
      <c:valAx>
        <c:axId val="49104149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0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3496646252551863"/>
          <c:h val="0.71994427249999682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СКФО!$C$2:$C$8</c:f>
              <c:numCache>
                <c:formatCode>0.0000</c:formatCode>
                <c:ptCount val="7"/>
                <c:pt idx="0">
                  <c:v>0.26415367798854433</c:v>
                </c:pt>
                <c:pt idx="1">
                  <c:v>0.29645471449246308</c:v>
                </c:pt>
                <c:pt idx="2">
                  <c:v>0.36987574141201368</c:v>
                </c:pt>
                <c:pt idx="3">
                  <c:v>0.44325693314317793</c:v>
                </c:pt>
                <c:pt idx="4">
                  <c:v>0.40399122526891901</c:v>
                </c:pt>
                <c:pt idx="5">
                  <c:v>0.30479742933960191</c:v>
                </c:pt>
                <c:pt idx="6">
                  <c:v>0.50955050215664954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5-4E31-8D8F-949B6B78B45F}"/>
            </c:ext>
          </c:extLst>
        </c:ser>
        <c:ser>
          <c:idx val="1"/>
          <c:order val="1"/>
          <c:tx>
            <c:strRef>
              <c:f>СКФО!$D$1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СКФО!$D$2:$D$8</c:f>
              <c:numCache>
                <c:formatCode>0.0000</c:formatCode>
                <c:ptCount val="7"/>
                <c:pt idx="0">
                  <c:v>0.23693685855447963</c:v>
                </c:pt>
                <c:pt idx="1">
                  <c:v>2.3169827879275719E-2</c:v>
                </c:pt>
                <c:pt idx="2">
                  <c:v>0.46562548287568983</c:v>
                </c:pt>
                <c:pt idx="3">
                  <c:v>0.48634965667245489</c:v>
                </c:pt>
                <c:pt idx="4">
                  <c:v>0.54185606415587373</c:v>
                </c:pt>
                <c:pt idx="5">
                  <c:v>0.11155512778087323</c:v>
                </c:pt>
                <c:pt idx="6">
                  <c:v>0.62107453465147877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5-4E31-8D8F-949B6B78B45F}"/>
            </c:ext>
          </c:extLst>
        </c:ser>
        <c:ser>
          <c:idx val="2"/>
          <c:order val="2"/>
          <c:tx>
            <c:strRef>
              <c:f>СКФО!$E$1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СКФО!$E$2:$E$8</c:f>
              <c:numCache>
                <c:formatCode>0.0000</c:formatCode>
                <c:ptCount val="7"/>
                <c:pt idx="0">
                  <c:v>9.8432235575959589E-3</c:v>
                </c:pt>
                <c:pt idx="1">
                  <c:v>4.954102688027116E-5</c:v>
                </c:pt>
                <c:pt idx="2">
                  <c:v>9.0196387441356968E-2</c:v>
                </c:pt>
                <c:pt idx="3">
                  <c:v>4.6419106077915349E-2</c:v>
                </c:pt>
                <c:pt idx="4">
                  <c:v>0.17535989340349503</c:v>
                </c:pt>
                <c:pt idx="5">
                  <c:v>1.364967551697172E-3</c:v>
                </c:pt>
                <c:pt idx="6">
                  <c:v>0.33701604313853978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5-4E31-8D8F-949B6B78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37024"/>
        <c:axId val="89938560"/>
      </c:radarChart>
      <c:catAx>
        <c:axId val="899370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9938560"/>
        <c:crosses val="autoZero"/>
        <c:auto val="1"/>
        <c:lblAlgn val="ctr"/>
        <c:lblOffset val="100"/>
        <c:noMultiLvlLbl val="0"/>
      </c:catAx>
      <c:valAx>
        <c:axId val="8993856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9937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170658471562591"/>
          <c:y val="7.1615560846702231E-2"/>
          <c:w val="0.36961031694008406"/>
          <c:h val="0.75209418303585873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СКФО!$C$18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cat>
            <c:strRef>
              <c:f>СКФО!$B$19:$B$25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СКФО!$C$19:$C$25</c:f>
              <c:numCache>
                <c:formatCode>0.0000</c:formatCode>
                <c:ptCount val="7"/>
                <c:pt idx="0">
                  <c:v>1.835484701657164E-2</c:v>
                </c:pt>
                <c:pt idx="1">
                  <c:v>2.8566283742600425E-4</c:v>
                </c:pt>
                <c:pt idx="2">
                  <c:v>0.20139332526104747</c:v>
                </c:pt>
                <c:pt idx="3">
                  <c:v>0.12051308158401169</c:v>
                </c:pt>
                <c:pt idx="4">
                  <c:v>1.5718645235688621E-2</c:v>
                </c:pt>
                <c:pt idx="5">
                  <c:v>1.1452553815848063E-3</c:v>
                </c:pt>
                <c:pt idx="6">
                  <c:v>0.10343169584158239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7-4C3B-A9E8-AEBD5EAD8677}"/>
            </c:ext>
          </c:extLst>
        </c:ser>
        <c:ser>
          <c:idx val="1"/>
          <c:order val="1"/>
          <c:tx>
            <c:strRef>
              <c:f>СКФО!$D$18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cat>
            <c:strRef>
              <c:f>СКФО!$B$19:$B$25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СКФО!$D$19:$D$25</c:f>
              <c:numCache>
                <c:formatCode>0.0000</c:formatCode>
                <c:ptCount val="7"/>
                <c:pt idx="0">
                  <c:v>4.2304616840200511E-3</c:v>
                </c:pt>
                <c:pt idx="1">
                  <c:v>5.1426997680037508E-2</c:v>
                </c:pt>
                <c:pt idx="2">
                  <c:v>2.1443938816278332E-2</c:v>
                </c:pt>
                <c:pt idx="3">
                  <c:v>2.2050308689840065E-9</c:v>
                </c:pt>
                <c:pt idx="4">
                  <c:v>2.4143504112432244E-3</c:v>
                </c:pt>
                <c:pt idx="5">
                  <c:v>1.1111755779498851E-5</c:v>
                </c:pt>
                <c:pt idx="6">
                  <c:v>5.5116779055655776E-2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7-4C3B-A9E8-AEBD5EAD8677}"/>
            </c:ext>
          </c:extLst>
        </c:ser>
        <c:ser>
          <c:idx val="2"/>
          <c:order val="2"/>
          <c:tx>
            <c:strRef>
              <c:f>СКФО!$E$18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cat>
            <c:strRef>
              <c:f>СКФО!$B$19:$B$25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СКФО!$E$19:$E$25</c:f>
              <c:numCache>
                <c:formatCode>0.0000</c:formatCode>
                <c:ptCount val="7"/>
                <c:pt idx="0">
                  <c:v>2.644467410832597E-6</c:v>
                </c:pt>
                <c:pt idx="1">
                  <c:v>2.1756023267540905E-2</c:v>
                </c:pt>
                <c:pt idx="2">
                  <c:v>2.2469164232303091E-8</c:v>
                </c:pt>
                <c:pt idx="3">
                  <c:v>1.1416392889224314E-10</c:v>
                </c:pt>
                <c:pt idx="4">
                  <c:v>1.7233883047879401E-6</c:v>
                </c:pt>
                <c:pt idx="5">
                  <c:v>9.4987909191664637E-196</c:v>
                </c:pt>
                <c:pt idx="6">
                  <c:v>0.10574971716522304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7-4C3B-A9E8-AEBD5EAD8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2368"/>
        <c:axId val="89963904"/>
      </c:radarChart>
      <c:catAx>
        <c:axId val="899623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9963904"/>
        <c:crosses val="autoZero"/>
        <c:auto val="1"/>
        <c:lblAlgn val="ctr"/>
        <c:lblOffset val="100"/>
        <c:noMultiLvlLbl val="0"/>
      </c:catAx>
      <c:valAx>
        <c:axId val="8996390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9962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3496646252551863"/>
          <c:h val="0.71994427249999682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СКФО!$C$33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cat>
            <c:strRef>
              <c:f>СКФО!$B$34:$B$40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СКФО!$C$34:$C$40</c:f>
              <c:numCache>
                <c:formatCode>0.0000</c:formatCode>
                <c:ptCount val="7"/>
                <c:pt idx="0">
                  <c:v>0.4242674697936506</c:v>
                </c:pt>
                <c:pt idx="1">
                  <c:v>4.1421273940117805E-2</c:v>
                </c:pt>
                <c:pt idx="2">
                  <c:v>0.35159899493037172</c:v>
                </c:pt>
                <c:pt idx="3">
                  <c:v>0.14465501940179107</c:v>
                </c:pt>
                <c:pt idx="4">
                  <c:v>0.37240757361744659</c:v>
                </c:pt>
                <c:pt idx="5">
                  <c:v>0.27181445067626492</c:v>
                </c:pt>
                <c:pt idx="6">
                  <c:v>0.41973295471669025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9-45B7-8363-9C8F4DBC4C9D}"/>
            </c:ext>
          </c:extLst>
        </c:ser>
        <c:ser>
          <c:idx val="1"/>
          <c:order val="1"/>
          <c:tx>
            <c:strRef>
              <c:f>СКФО!$D$33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cat>
            <c:strRef>
              <c:f>СКФО!$B$34:$B$40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СКФО!$D$34:$D$40</c:f>
              <c:numCache>
                <c:formatCode>0.0000</c:formatCode>
                <c:ptCount val="7"/>
                <c:pt idx="0">
                  <c:v>0.64482079483376187</c:v>
                </c:pt>
                <c:pt idx="1">
                  <c:v>1.8843498902195856E-4</c:v>
                </c:pt>
                <c:pt idx="2">
                  <c:v>0.25859396624714576</c:v>
                </c:pt>
                <c:pt idx="3">
                  <c:v>2.1591171739623136E-2</c:v>
                </c:pt>
                <c:pt idx="4">
                  <c:v>0.23186544166577838</c:v>
                </c:pt>
                <c:pt idx="5">
                  <c:v>0.40167913499157432</c:v>
                </c:pt>
                <c:pt idx="6">
                  <c:v>0.47073523848948207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9-45B7-8363-9C8F4DBC4C9D}"/>
            </c:ext>
          </c:extLst>
        </c:ser>
        <c:ser>
          <c:idx val="2"/>
          <c:order val="2"/>
          <c:tx>
            <c:strRef>
              <c:f>СКФО!$E$33</c:f>
              <c:strCache>
                <c:ptCount val="1"/>
                <c:pt idx="0">
                  <c:v>Объем платных услуг</c:v>
                </c:pt>
              </c:strCache>
            </c:strRef>
          </c:tx>
          <c:cat>
            <c:strRef>
              <c:f>СКФО!$B$34:$B$40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СКФО!$E$34:$E$40</c:f>
              <c:numCache>
                <c:formatCode>0.0000</c:formatCode>
                <c:ptCount val="7"/>
                <c:pt idx="0">
                  <c:v>0.31653477915330713</c:v>
                </c:pt>
                <c:pt idx="1">
                  <c:v>8.3279741670627919E-2</c:v>
                </c:pt>
                <c:pt idx="2">
                  <c:v>0.28865644259581819</c:v>
                </c:pt>
                <c:pt idx="3">
                  <c:v>0.24678440129153037</c:v>
                </c:pt>
                <c:pt idx="4">
                  <c:v>0.26174338684558179</c:v>
                </c:pt>
                <c:pt idx="5">
                  <c:v>0.29611208647168169</c:v>
                </c:pt>
                <c:pt idx="6">
                  <c:v>0.41613460678949105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9-45B7-8363-9C8F4DBC4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6384"/>
        <c:axId val="90030464"/>
      </c:radarChart>
      <c:catAx>
        <c:axId val="900163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0030464"/>
        <c:crosses val="autoZero"/>
        <c:auto val="1"/>
        <c:lblAlgn val="ctr"/>
        <c:lblOffset val="100"/>
        <c:noMultiLvlLbl val="0"/>
      </c:catAx>
      <c:valAx>
        <c:axId val="9003046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0016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3496646252551863"/>
          <c:h val="0.71994427249999682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СКФО!$C$50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cat>
            <c:strRef>
              <c:f>СКФО!$B$51:$B$57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СКФО!$C$51:$C$57</c:f>
              <c:numCache>
                <c:formatCode>0.0000</c:formatCode>
                <c:ptCount val="7"/>
                <c:pt idx="0">
                  <c:v>0.24678291653767817</c:v>
                </c:pt>
                <c:pt idx="1">
                  <c:v>0.28883817421806829</c:v>
                </c:pt>
                <c:pt idx="2">
                  <c:v>0.47098401457012112</c:v>
                </c:pt>
                <c:pt idx="3">
                  <c:v>0.20725692149730573</c:v>
                </c:pt>
                <c:pt idx="4">
                  <c:v>0.28474876823907497</c:v>
                </c:pt>
                <c:pt idx="5">
                  <c:v>0.42383483535901995</c:v>
                </c:pt>
                <c:pt idx="6">
                  <c:v>0.37151738729100958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D-4824-8A5C-FB4263F5C256}"/>
            </c:ext>
          </c:extLst>
        </c:ser>
        <c:ser>
          <c:idx val="1"/>
          <c:order val="1"/>
          <c:tx>
            <c:strRef>
              <c:f>СКФО!$D$50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cat>
            <c:strRef>
              <c:f>СКФО!$B$51:$B$57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СКФО!$D$51:$D$57</c:f>
              <c:numCache>
                <c:formatCode>0.0000</c:formatCode>
                <c:ptCount val="7"/>
                <c:pt idx="0">
                  <c:v>0.42044820762685731</c:v>
                </c:pt>
                <c:pt idx="1">
                  <c:v>0.33162928391362206</c:v>
                </c:pt>
                <c:pt idx="2">
                  <c:v>0.44328027731464326</c:v>
                </c:pt>
                <c:pt idx="3">
                  <c:v>0.45162930573483778</c:v>
                </c:pt>
                <c:pt idx="4">
                  <c:v>0.55686726995909264</c:v>
                </c:pt>
                <c:pt idx="5">
                  <c:v>0.42586642734676661</c:v>
                </c:pt>
                <c:pt idx="6">
                  <c:v>0.50548774864448942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D-4824-8A5C-FB4263F5C256}"/>
            </c:ext>
          </c:extLst>
        </c:ser>
        <c:ser>
          <c:idx val="2"/>
          <c:order val="2"/>
          <c:tx>
            <c:strRef>
              <c:f>СКФО!$E$50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cat>
            <c:strRef>
              <c:f>СКФО!$B$51:$B$57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 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 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СКФО!$E$51:$E$57</c:f>
              <c:numCache>
                <c:formatCode>0.0000</c:formatCode>
                <c:ptCount val="7"/>
                <c:pt idx="0">
                  <c:v>0.30381183999511724</c:v>
                </c:pt>
                <c:pt idx="1">
                  <c:v>0.36181730936009454</c:v>
                </c:pt>
                <c:pt idx="2">
                  <c:v>0.32045839182271907</c:v>
                </c:pt>
                <c:pt idx="3">
                  <c:v>0.44435580299072147</c:v>
                </c:pt>
                <c:pt idx="4">
                  <c:v>0.3416768068097345</c:v>
                </c:pt>
                <c:pt idx="5">
                  <c:v>0.42044820762685731</c:v>
                </c:pt>
                <c:pt idx="6">
                  <c:v>0.44816604806892785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D-4824-8A5C-FB4263F5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8112"/>
        <c:axId val="90072192"/>
      </c:radarChart>
      <c:catAx>
        <c:axId val="900581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0072192"/>
        <c:crosses val="autoZero"/>
        <c:auto val="1"/>
        <c:lblAlgn val="ctr"/>
        <c:lblOffset val="100"/>
        <c:noMultiLvlLbl val="0"/>
      </c:catAx>
      <c:valAx>
        <c:axId val="90072192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005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Финансы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СКФО!$B$68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СКФО!$C$67:$R$67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0.17031125336687328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E-42AC-B8D6-C18872786E6F}"/>
            </c:ext>
          </c:extLst>
        </c:ser>
        <c:ser>
          <c:idx val="1"/>
          <c:order val="1"/>
          <c:tx>
            <c:strRef>
              <c:f>СКФО!$B$69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СКФО!$C$67:$R$67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СКФО!$C$69:$R$69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0.1065580277995397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E-42AC-B8D6-C18872786E6F}"/>
            </c:ext>
          </c:extLst>
        </c:ser>
        <c:ser>
          <c:idx val="2"/>
          <c:order val="2"/>
          <c:tx>
            <c:strRef>
              <c:f>СКФО!$B$70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СКФО!$C$67:$R$67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СКФО!$C$70:$R$70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0.30856587057635348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E-42AC-B8D6-C18872786E6F}"/>
            </c:ext>
          </c:extLst>
        </c:ser>
        <c:ser>
          <c:idx val="3"/>
          <c:order val="3"/>
          <c:tx>
            <c:strRef>
              <c:f>СКФО!$B$71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СКФО!$C$67:$R$67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0.32534189863118274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E-42AC-B8D6-C18872786E6F}"/>
            </c:ext>
          </c:extLst>
        </c:ser>
        <c:ser>
          <c:idx val="4"/>
          <c:order val="4"/>
          <c:tx>
            <c:strRef>
              <c:f>СКФО!$B$72</c:f>
              <c:strCache>
                <c:ptCount val="1"/>
                <c:pt idx="0">
                  <c:v>Республика Северная Осетия-Алания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СКФО!$C$67:$R$67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0.37373572760942925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E-42AC-B8D6-C18872786E6F}"/>
            </c:ext>
          </c:extLst>
        </c:ser>
        <c:ser>
          <c:idx val="5"/>
          <c:order val="5"/>
          <c:tx>
            <c:strRef>
              <c:f>СКФО!$B$73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СКФО!$C$67:$R$67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0.1392391748907241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E-42AC-B8D6-C18872786E6F}"/>
            </c:ext>
          </c:extLst>
        </c:ser>
        <c:ser>
          <c:idx val="6"/>
          <c:order val="6"/>
          <c:tx>
            <c:strRef>
              <c:f>СКФО!$B$74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СКФО!$C$67:$R$67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0.48921369331555603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5E-42AC-B8D6-C1887278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90392"/>
        <c:axId val="447887440"/>
      </c:lineChart>
      <c:catAx>
        <c:axId val="4478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887440"/>
        <c:crosses val="autoZero"/>
        <c:auto val="1"/>
        <c:lblAlgn val="ctr"/>
        <c:lblOffset val="100"/>
        <c:noMultiLvlLbl val="0"/>
      </c:catAx>
      <c:valAx>
        <c:axId val="44788744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8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45"/>
          <c:y val="7.6026465132149182E-2"/>
          <c:w val="0.43496646252551852"/>
          <c:h val="0.71994427249999626"/>
        </c:manualLayout>
      </c:layout>
      <c:radarChart>
        <c:radarStyle val="marker"/>
        <c:varyColors val="0"/>
        <c:ser>
          <c:idx val="0"/>
          <c:order val="0"/>
          <c:tx>
            <c:strRef>
              <c:f>ЦФО!$C$41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ЦФО!$C$42:$C$59</c:f>
              <c:numCache>
                <c:formatCode>0.0000</c:formatCode>
                <c:ptCount val="18"/>
                <c:pt idx="0">
                  <c:v>0.50606912695230499</c:v>
                </c:pt>
                <c:pt idx="1">
                  <c:v>0.48890287388635933</c:v>
                </c:pt>
                <c:pt idx="2">
                  <c:v>0.40302429764309644</c:v>
                </c:pt>
                <c:pt idx="3">
                  <c:v>0.52745547903145318</c:v>
                </c:pt>
                <c:pt idx="4">
                  <c:v>0.40841011751033901</c:v>
                </c:pt>
                <c:pt idx="5">
                  <c:v>0.47134623161472655</c:v>
                </c:pt>
                <c:pt idx="6">
                  <c:v>0.40693228022609773</c:v>
                </c:pt>
                <c:pt idx="7">
                  <c:v>0.45861923160669205</c:v>
                </c:pt>
                <c:pt idx="8">
                  <c:v>0.50530619405437716</c:v>
                </c:pt>
                <c:pt idx="9">
                  <c:v>0.62840623646890192</c:v>
                </c:pt>
                <c:pt idx="10">
                  <c:v>0.43686121705235048</c:v>
                </c:pt>
                <c:pt idx="11">
                  <c:v>0.43947748105646428</c:v>
                </c:pt>
                <c:pt idx="12">
                  <c:v>0.42005017662149902</c:v>
                </c:pt>
                <c:pt idx="13">
                  <c:v>0.44293327817593742</c:v>
                </c:pt>
                <c:pt idx="14">
                  <c:v>0.44556680635706108</c:v>
                </c:pt>
                <c:pt idx="15">
                  <c:v>0.4560501147554501</c:v>
                </c:pt>
                <c:pt idx="16">
                  <c:v>0.45387264483077078</c:v>
                </c:pt>
                <c:pt idx="17">
                  <c:v>0.67361086166682471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B-46AF-87C0-CCA65C39AF3D}"/>
            </c:ext>
          </c:extLst>
        </c:ser>
        <c:ser>
          <c:idx val="1"/>
          <c:order val="1"/>
          <c:tx>
            <c:strRef>
              <c:f>ЦФО!$D$41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ЦФО!$D$42:$D$59</c:f>
              <c:numCache>
                <c:formatCode>0.0000</c:formatCode>
                <c:ptCount val="18"/>
                <c:pt idx="0">
                  <c:v>0.291063820863524</c:v>
                </c:pt>
                <c:pt idx="1">
                  <c:v>0.35942215217099743</c:v>
                </c:pt>
                <c:pt idx="2">
                  <c:v>0.33358913162495946</c:v>
                </c:pt>
                <c:pt idx="3">
                  <c:v>0.31705169638099434</c:v>
                </c:pt>
                <c:pt idx="4">
                  <c:v>0.33002731918937139</c:v>
                </c:pt>
                <c:pt idx="5">
                  <c:v>0.44390877902332432</c:v>
                </c:pt>
                <c:pt idx="6">
                  <c:v>0.27151465043841144</c:v>
                </c:pt>
                <c:pt idx="7">
                  <c:v>0.25625657515814032</c:v>
                </c:pt>
                <c:pt idx="8">
                  <c:v>0.27459202233507141</c:v>
                </c:pt>
                <c:pt idx="9">
                  <c:v>0.55861247922797364</c:v>
                </c:pt>
                <c:pt idx="10">
                  <c:v>0.21115914329601529</c:v>
                </c:pt>
                <c:pt idx="11">
                  <c:v>0.30111917108761865</c:v>
                </c:pt>
                <c:pt idx="12">
                  <c:v>0.28789357143671357</c:v>
                </c:pt>
                <c:pt idx="13">
                  <c:v>0.26243947627677439</c:v>
                </c:pt>
                <c:pt idx="14">
                  <c:v>0.30130485558959152</c:v>
                </c:pt>
                <c:pt idx="15">
                  <c:v>0.25234662851988382</c:v>
                </c:pt>
                <c:pt idx="16">
                  <c:v>0.45306707519850742</c:v>
                </c:pt>
                <c:pt idx="17">
                  <c:v>0.68449703908575998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B-46AF-87C0-CCA65C39AF3D}"/>
            </c:ext>
          </c:extLst>
        </c:ser>
        <c:ser>
          <c:idx val="2"/>
          <c:order val="2"/>
          <c:tx>
            <c:strRef>
              <c:f>ЦФО!$E$41</c:f>
              <c:strCache>
                <c:ptCount val="1"/>
                <c:pt idx="0">
                  <c:v>Объем платных услуг</c:v>
                </c:pt>
              </c:strCache>
            </c:strRef>
          </c:tx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ЦФО!$E$42:$E$59</c:f>
              <c:numCache>
                <c:formatCode>0.0000</c:formatCode>
                <c:ptCount val="18"/>
                <c:pt idx="0">
                  <c:v>0.4470919442831186</c:v>
                </c:pt>
                <c:pt idx="1">
                  <c:v>0.3586317975059346</c:v>
                </c:pt>
                <c:pt idx="2">
                  <c:v>0.40921457256976446</c:v>
                </c:pt>
                <c:pt idx="3">
                  <c:v>0.40516427868335914</c:v>
                </c:pt>
                <c:pt idx="4">
                  <c:v>0.33870210741884421</c:v>
                </c:pt>
                <c:pt idx="5">
                  <c:v>0.39303558079597994</c:v>
                </c:pt>
                <c:pt idx="6">
                  <c:v>0.34538680239430375</c:v>
                </c:pt>
                <c:pt idx="7">
                  <c:v>0.39098355073040303</c:v>
                </c:pt>
                <c:pt idx="8">
                  <c:v>0.45014539806702236</c:v>
                </c:pt>
                <c:pt idx="9">
                  <c:v>0.48002547132623785</c:v>
                </c:pt>
                <c:pt idx="10">
                  <c:v>0.36482603994531482</c:v>
                </c:pt>
                <c:pt idx="11">
                  <c:v>0.36829690880033927</c:v>
                </c:pt>
                <c:pt idx="12">
                  <c:v>0.27872742258642041</c:v>
                </c:pt>
                <c:pt idx="13">
                  <c:v>0.38842807866523255</c:v>
                </c:pt>
                <c:pt idx="14">
                  <c:v>0.36513140234549346</c:v>
                </c:pt>
                <c:pt idx="15">
                  <c:v>0.40175284221633434</c:v>
                </c:pt>
                <c:pt idx="16">
                  <c:v>0.38998516504378444</c:v>
                </c:pt>
                <c:pt idx="17">
                  <c:v>0.69596885895350902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B-46AF-87C0-CCA65C39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8336"/>
        <c:axId val="87204224"/>
      </c:radarChart>
      <c:catAx>
        <c:axId val="8719833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7204224"/>
        <c:crosses val="autoZero"/>
        <c:auto val="1"/>
        <c:lblAlgn val="ctr"/>
        <c:lblOffset val="100"/>
        <c:noMultiLvlLbl val="0"/>
      </c:catAx>
      <c:valAx>
        <c:axId val="8720422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7198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Инновации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СКФО!$B$89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СКФО!$C$88:$R$88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СКФО!$C$89:$R$89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7.5293177226675072E-3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7-4228-BD62-27E26D7F1E40}"/>
            </c:ext>
          </c:extLst>
        </c:ser>
        <c:ser>
          <c:idx val="1"/>
          <c:order val="1"/>
          <c:tx>
            <c:strRef>
              <c:f>СКФО!$B$90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СКФО!$C$88:$R$88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СКФО!$C$90:$R$90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2.4489561261668139E-2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7-4228-BD62-27E26D7F1E40}"/>
            </c:ext>
          </c:extLst>
        </c:ser>
        <c:ser>
          <c:idx val="2"/>
          <c:order val="2"/>
          <c:tx>
            <c:strRef>
              <c:f>СКФО!$B$91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СКФО!$C$88:$R$88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СКФО!$C$91:$R$91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7.4279095515496676E-2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7-4228-BD62-27E26D7F1E40}"/>
            </c:ext>
          </c:extLst>
        </c:ser>
        <c:ser>
          <c:idx val="3"/>
          <c:order val="3"/>
          <c:tx>
            <c:strRef>
              <c:f>СКФО!$B$92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СКФО!$C$88:$R$88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СКФО!$C$92:$R$92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4.0171027967735494E-2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7-4228-BD62-27E26D7F1E40}"/>
            </c:ext>
          </c:extLst>
        </c:ser>
        <c:ser>
          <c:idx val="4"/>
          <c:order val="4"/>
          <c:tx>
            <c:strRef>
              <c:f>СКФО!$B$93</c:f>
              <c:strCache>
                <c:ptCount val="1"/>
                <c:pt idx="0">
                  <c:v>Республика Северная Осетия-Алания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СКФО!$C$88:$R$88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СКФО!$C$93:$R$93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6.0449063450788779E-3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7-4228-BD62-27E26D7F1E40}"/>
            </c:ext>
          </c:extLst>
        </c:ser>
        <c:ser>
          <c:idx val="5"/>
          <c:order val="5"/>
          <c:tx>
            <c:strRef>
              <c:f>СКФО!$B$94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СКФО!$C$88:$R$88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СКФО!$C$94:$R$94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3.854557124547684E-4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7-4228-BD62-27E26D7F1E40}"/>
            </c:ext>
          </c:extLst>
        </c:ser>
        <c:ser>
          <c:idx val="6"/>
          <c:order val="6"/>
          <c:tx>
            <c:strRef>
              <c:f>СКФО!$B$95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СКФО!$C$88:$R$88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СКФО!$C$95:$R$95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8.809939735415373E-2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7-4228-BD62-27E26D7F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98064"/>
        <c:axId val="461508888"/>
      </c:lineChart>
      <c:catAx>
        <c:axId val="4614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508888"/>
        <c:crosses val="autoZero"/>
        <c:auto val="1"/>
        <c:lblAlgn val="ctr"/>
        <c:lblOffset val="100"/>
        <c:noMultiLvlLbl val="0"/>
      </c:catAx>
      <c:valAx>
        <c:axId val="46150888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Торговля и услуги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СКФО!$B$112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СКФО!$C$111:$R$111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0.46187434792690651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F-463B-B0DA-0359A35F90ED}"/>
            </c:ext>
          </c:extLst>
        </c:ser>
        <c:ser>
          <c:idx val="1"/>
          <c:order val="1"/>
          <c:tx>
            <c:strRef>
              <c:f>СКФО!$B$113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СКФО!$C$111:$R$111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СКФО!$C$113:$R$113</c:f>
              <c:numCache>
                <c:formatCode>0.0000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4.1629816866589224E-2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F-463B-B0DA-0359A35F90ED}"/>
            </c:ext>
          </c:extLst>
        </c:ser>
        <c:ser>
          <c:idx val="2"/>
          <c:order val="2"/>
          <c:tx>
            <c:strRef>
              <c:f>СКФО!$B$114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СКФО!$C$111:$R$111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СКФО!$C$114:$R$114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0.29961646792444524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F-463B-B0DA-0359A35F90ED}"/>
            </c:ext>
          </c:extLst>
        </c:ser>
        <c:ser>
          <c:idx val="3"/>
          <c:order val="3"/>
          <c:tx>
            <c:strRef>
              <c:f>СКФО!$B$115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СКФО!$C$111:$R$111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СКФО!$C$115:$R$115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0.13767686414431488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F-463B-B0DA-0359A35F90ED}"/>
            </c:ext>
          </c:extLst>
        </c:ser>
        <c:ser>
          <c:idx val="4"/>
          <c:order val="4"/>
          <c:tx>
            <c:strRef>
              <c:f>СКФО!$B$116</c:f>
              <c:strCache>
                <c:ptCount val="1"/>
                <c:pt idx="0">
                  <c:v>Республика Северная Осетия-Алания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СКФО!$C$111:$R$111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СКФО!$C$116:$R$116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0.28867213404293562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F-463B-B0DA-0359A35F90ED}"/>
            </c:ext>
          </c:extLst>
        </c:ser>
        <c:ser>
          <c:idx val="5"/>
          <c:order val="5"/>
          <c:tx>
            <c:strRef>
              <c:f>СКФО!$B$117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СКФО!$C$111:$R$111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СКФО!$C$117:$R$117</c:f>
              <c:numCache>
                <c:formatCode>0.0000</c:formatCode>
                <c:ptCount val="1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0.32320189071317368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F-463B-B0DA-0359A35F90ED}"/>
            </c:ext>
          </c:extLst>
        </c:ser>
        <c:ser>
          <c:idx val="6"/>
          <c:order val="6"/>
          <c:tx>
            <c:strRef>
              <c:f>СКФО!$B$118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СКФО!$C$111:$R$111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СКФО!$C$118:$R$118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0.4355342666652211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F-463B-B0DA-0359A35F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75784"/>
        <c:axId val="501576112"/>
      </c:lineChart>
      <c:catAx>
        <c:axId val="50157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576112"/>
        <c:crosses val="autoZero"/>
        <c:auto val="1"/>
        <c:lblAlgn val="ctr"/>
        <c:lblOffset val="100"/>
        <c:noMultiLvlLbl val="0"/>
      </c:catAx>
      <c:valAx>
        <c:axId val="50157611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57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Жилье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СКФО!$B$137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СКФО!$C$136:$R$136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0.3236809880532176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A-45F5-AC9B-A1D975CD1833}"/>
            </c:ext>
          </c:extLst>
        </c:ser>
        <c:ser>
          <c:idx val="1"/>
          <c:order val="1"/>
          <c:tx>
            <c:strRef>
              <c:f>СКФО!$B$138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СКФО!$C$136:$R$136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0.32742825583059498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A-45F5-AC9B-A1D975CD1833}"/>
            </c:ext>
          </c:extLst>
        </c:ser>
        <c:ser>
          <c:idx val="2"/>
          <c:order val="2"/>
          <c:tx>
            <c:strRef>
              <c:f>СКФО!$B$139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СКФО!$C$136:$R$136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0.41157422790249448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A-45F5-AC9B-A1D975CD1833}"/>
            </c:ext>
          </c:extLst>
        </c:ser>
        <c:ser>
          <c:idx val="3"/>
          <c:order val="3"/>
          <c:tx>
            <c:strRef>
              <c:f>СКФО!$B$140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СКФО!$C$136:$R$136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0.36774734340762166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A-45F5-AC9B-A1D975CD1833}"/>
            </c:ext>
          </c:extLst>
        </c:ser>
        <c:ser>
          <c:idx val="4"/>
          <c:order val="4"/>
          <c:tx>
            <c:strRef>
              <c:f>СКФО!$B$141</c:f>
              <c:strCache>
                <c:ptCount val="1"/>
                <c:pt idx="0">
                  <c:v>Республика Северная Осетия-Алания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СКФО!$C$136:$R$136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0.39443094833596737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A-45F5-AC9B-A1D975CD1833}"/>
            </c:ext>
          </c:extLst>
        </c:ser>
        <c:ser>
          <c:idx val="5"/>
          <c:order val="5"/>
          <c:tx>
            <c:strRef>
              <c:f>СКФО!$B$142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СКФО!$C$136:$R$136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0.42338315677754795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EA-45F5-AC9B-A1D975CD1833}"/>
            </c:ext>
          </c:extLst>
        </c:ser>
        <c:ser>
          <c:idx val="6"/>
          <c:order val="6"/>
          <c:tx>
            <c:strRef>
              <c:f>СКФО!$B$143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СКФО!$C$136:$R$136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0.44172372800147564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EA-45F5-AC9B-A1D975CD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47688"/>
        <c:axId val="490014232"/>
      </c:lineChart>
      <c:catAx>
        <c:axId val="49004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014232"/>
        <c:crosses val="autoZero"/>
        <c:auto val="1"/>
        <c:lblAlgn val="ctr"/>
        <c:lblOffset val="100"/>
        <c:noMultiLvlLbl val="0"/>
      </c:catAx>
      <c:valAx>
        <c:axId val="49001423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04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943108866476329"/>
          <c:y val="6.6434033875261991E-2"/>
          <c:w val="0.38825996601162416"/>
          <c:h val="0.70715459128759983"/>
        </c:manualLayout>
      </c:layout>
      <c:radarChart>
        <c:radarStyle val="marker"/>
        <c:varyColors val="0"/>
        <c:ser>
          <c:idx val="0"/>
          <c:order val="0"/>
          <c:tx>
            <c:strRef>
              <c:f>ПФО!$C$1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ПФО!$C$2:$C$15</c:f>
              <c:numCache>
                <c:formatCode>0.0000</c:formatCode>
                <c:ptCount val="14"/>
                <c:pt idx="0">
                  <c:v>0.62842403673948077</c:v>
                </c:pt>
                <c:pt idx="1">
                  <c:v>0.47464350555864238</c:v>
                </c:pt>
                <c:pt idx="2">
                  <c:v>0.54376526489511467</c:v>
                </c:pt>
                <c:pt idx="3">
                  <c:v>0.6726360714704096</c:v>
                </c:pt>
                <c:pt idx="4">
                  <c:v>0.67802228332781844</c:v>
                </c:pt>
                <c:pt idx="5">
                  <c:v>0.57036938033352558</c:v>
                </c:pt>
                <c:pt idx="6">
                  <c:v>0.6762633916310602</c:v>
                </c:pt>
                <c:pt idx="7">
                  <c:v>0.50155230935707007</c:v>
                </c:pt>
                <c:pt idx="8">
                  <c:v>0.63790126149527382</c:v>
                </c:pt>
                <c:pt idx="9">
                  <c:v>0.71074553539395247</c:v>
                </c:pt>
                <c:pt idx="10">
                  <c:v>0.52260122547638255</c:v>
                </c:pt>
                <c:pt idx="11">
                  <c:v>0.73556504923251609</c:v>
                </c:pt>
                <c:pt idx="12">
                  <c:v>0.6170752993444063</c:v>
                </c:pt>
                <c:pt idx="13">
                  <c:v>0.64387869582379498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7-4B1F-970D-15270B4DED5E}"/>
            </c:ext>
          </c:extLst>
        </c:ser>
        <c:ser>
          <c:idx val="1"/>
          <c:order val="1"/>
          <c:tx>
            <c:strRef>
              <c:f>ПФО!$D$1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ПФО!$D$2:$D$15</c:f>
              <c:numCache>
                <c:formatCode>0.0000</c:formatCode>
                <c:ptCount val="14"/>
                <c:pt idx="0">
                  <c:v>0.77797745468826429</c:v>
                </c:pt>
                <c:pt idx="1">
                  <c:v>0.7031859370716308</c:v>
                </c:pt>
                <c:pt idx="2">
                  <c:v>0.69722500080676664</c:v>
                </c:pt>
                <c:pt idx="3">
                  <c:v>0.80397101947693617</c:v>
                </c:pt>
                <c:pt idx="4">
                  <c:v>0.77104387760368376</c:v>
                </c:pt>
                <c:pt idx="5">
                  <c:v>0.78751421849541525</c:v>
                </c:pt>
                <c:pt idx="6">
                  <c:v>0.76761277878612388</c:v>
                </c:pt>
                <c:pt idx="7">
                  <c:v>0.7436187912938399</c:v>
                </c:pt>
                <c:pt idx="8">
                  <c:v>0.72905339944584258</c:v>
                </c:pt>
                <c:pt idx="9">
                  <c:v>0.74255557768234881</c:v>
                </c:pt>
                <c:pt idx="10">
                  <c:v>0.71938139033018911</c:v>
                </c:pt>
                <c:pt idx="11">
                  <c:v>0.72179344773395493</c:v>
                </c:pt>
                <c:pt idx="12">
                  <c:v>0.69023084531842727</c:v>
                </c:pt>
                <c:pt idx="13">
                  <c:v>0.70993639899322336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7-4B1F-970D-15270B4DED5E}"/>
            </c:ext>
          </c:extLst>
        </c:ser>
        <c:ser>
          <c:idx val="2"/>
          <c:order val="2"/>
          <c:tx>
            <c:strRef>
              <c:f>ПФО!$E$1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ПФО!$E$2:$E$15</c:f>
              <c:numCache>
                <c:formatCode>0.0000</c:formatCode>
                <c:ptCount val="14"/>
                <c:pt idx="0">
                  <c:v>0.38222366725243595</c:v>
                </c:pt>
                <c:pt idx="1">
                  <c:v>0.32982768057390277</c:v>
                </c:pt>
                <c:pt idx="2">
                  <c:v>0.32522592711651011</c:v>
                </c:pt>
                <c:pt idx="3">
                  <c:v>0.62568935815827942</c:v>
                </c:pt>
                <c:pt idx="4">
                  <c:v>0.37524238628808715</c:v>
                </c:pt>
                <c:pt idx="5">
                  <c:v>0.38318042731147112</c:v>
                </c:pt>
                <c:pt idx="6">
                  <c:v>0.44413419786913705</c:v>
                </c:pt>
                <c:pt idx="7">
                  <c:v>0.39804696969268744</c:v>
                </c:pt>
                <c:pt idx="8">
                  <c:v>0.54615230866956832</c:v>
                </c:pt>
                <c:pt idx="9">
                  <c:v>0.34363730542499638</c:v>
                </c:pt>
                <c:pt idx="10">
                  <c:v>0.37714385055817967</c:v>
                </c:pt>
                <c:pt idx="11">
                  <c:v>0.52276758666435386</c:v>
                </c:pt>
                <c:pt idx="12">
                  <c:v>0.37851714647903673</c:v>
                </c:pt>
                <c:pt idx="13">
                  <c:v>0.37669771007658037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7-4B1F-970D-15270B4D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5344"/>
        <c:axId val="90599424"/>
      </c:radarChart>
      <c:catAx>
        <c:axId val="9058534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0599424"/>
        <c:crosses val="autoZero"/>
        <c:auto val="1"/>
        <c:lblAlgn val="ctr"/>
        <c:lblOffset val="100"/>
        <c:noMultiLvlLbl val="0"/>
      </c:catAx>
      <c:valAx>
        <c:axId val="9059942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0585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294621216498546"/>
          <c:y val="6.931774122151356E-2"/>
          <c:w val="0.36977550365359835"/>
          <c:h val="0.7065269870381502"/>
        </c:manualLayout>
      </c:layout>
      <c:radarChart>
        <c:radarStyle val="marker"/>
        <c:varyColors val="0"/>
        <c:ser>
          <c:idx val="0"/>
          <c:order val="0"/>
          <c:tx>
            <c:strRef>
              <c:f>ПФО!$C$17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ПФО!$C$18:$C$31</c:f>
              <c:numCache>
                <c:formatCode>0.0000</c:formatCode>
                <c:ptCount val="14"/>
                <c:pt idx="0">
                  <c:v>0.62062498504540675</c:v>
                </c:pt>
                <c:pt idx="1">
                  <c:v>0.28555995911830451</c:v>
                </c:pt>
                <c:pt idx="2">
                  <c:v>0.55709940261313862</c:v>
                </c:pt>
                <c:pt idx="3">
                  <c:v>0.61844557032575376</c:v>
                </c:pt>
                <c:pt idx="4">
                  <c:v>0.38628988179341694</c:v>
                </c:pt>
                <c:pt idx="5">
                  <c:v>0.44086592990190143</c:v>
                </c:pt>
                <c:pt idx="6">
                  <c:v>0.33095545050424557</c:v>
                </c:pt>
                <c:pt idx="7">
                  <c:v>0.42357335985035999</c:v>
                </c:pt>
                <c:pt idx="8">
                  <c:v>0.42594164753921787</c:v>
                </c:pt>
                <c:pt idx="9">
                  <c:v>0.20121107337707719</c:v>
                </c:pt>
                <c:pt idx="10">
                  <c:v>0.50580277210947389</c:v>
                </c:pt>
                <c:pt idx="11">
                  <c:v>0.44742817840880927</c:v>
                </c:pt>
                <c:pt idx="12">
                  <c:v>0.18726174068892729</c:v>
                </c:pt>
                <c:pt idx="13">
                  <c:v>0.45383078331542809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1-445D-9A67-80D6F4FB774B}"/>
            </c:ext>
          </c:extLst>
        </c:ser>
        <c:ser>
          <c:idx val="1"/>
          <c:order val="1"/>
          <c:tx>
            <c:strRef>
              <c:f>ПФО!$D$17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ПФО!$D$18:$D$31</c:f>
              <c:numCache>
                <c:formatCode>0.0000</c:formatCode>
                <c:ptCount val="14"/>
                <c:pt idx="0">
                  <c:v>0.19656072962883289</c:v>
                </c:pt>
                <c:pt idx="1">
                  <c:v>7.2521803149015615E-2</c:v>
                </c:pt>
                <c:pt idx="2">
                  <c:v>0.41235735060262879</c:v>
                </c:pt>
                <c:pt idx="3">
                  <c:v>0.64435902492592856</c:v>
                </c:pt>
                <c:pt idx="4">
                  <c:v>7.8351364875284255E-2</c:v>
                </c:pt>
                <c:pt idx="5">
                  <c:v>0.31627779636860687</c:v>
                </c:pt>
                <c:pt idx="6">
                  <c:v>0.34971475474788866</c:v>
                </c:pt>
                <c:pt idx="7">
                  <c:v>0.34838584982635656</c:v>
                </c:pt>
                <c:pt idx="8">
                  <c:v>0.79375179570714594</c:v>
                </c:pt>
                <c:pt idx="9">
                  <c:v>0.16269416253882052</c:v>
                </c:pt>
                <c:pt idx="10">
                  <c:v>0.49189535274996132</c:v>
                </c:pt>
                <c:pt idx="11">
                  <c:v>0.56136182889043518</c:v>
                </c:pt>
                <c:pt idx="12">
                  <c:v>4.1521862984839602E-3</c:v>
                </c:pt>
                <c:pt idx="13">
                  <c:v>0.37316703436511089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1-445D-9A67-80D6F4FB774B}"/>
            </c:ext>
          </c:extLst>
        </c:ser>
        <c:ser>
          <c:idx val="2"/>
          <c:order val="2"/>
          <c:tx>
            <c:strRef>
              <c:f>ПФО!$E$17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ПФО!$E$18:$E$31</c:f>
              <c:numCache>
                <c:formatCode>0.0000</c:formatCode>
                <c:ptCount val="14"/>
                <c:pt idx="0">
                  <c:v>0.11230947336560741</c:v>
                </c:pt>
                <c:pt idx="1">
                  <c:v>5.9832584579477772E-2</c:v>
                </c:pt>
                <c:pt idx="2">
                  <c:v>0.43571662179313114</c:v>
                </c:pt>
                <c:pt idx="3">
                  <c:v>0.38320555996855959</c:v>
                </c:pt>
                <c:pt idx="4">
                  <c:v>0.18824352490940222</c:v>
                </c:pt>
                <c:pt idx="5">
                  <c:v>0.15407811673640795</c:v>
                </c:pt>
                <c:pt idx="6">
                  <c:v>0.20822522348823222</c:v>
                </c:pt>
                <c:pt idx="7">
                  <c:v>0.12289557505038196</c:v>
                </c:pt>
                <c:pt idx="8">
                  <c:v>0.30483517342948402</c:v>
                </c:pt>
                <c:pt idx="9">
                  <c:v>6.1949780872745282E-3</c:v>
                </c:pt>
                <c:pt idx="10">
                  <c:v>0.13610497041114727</c:v>
                </c:pt>
                <c:pt idx="11">
                  <c:v>0.1531176148335564</c:v>
                </c:pt>
                <c:pt idx="12">
                  <c:v>1.0462102296323147E-6</c:v>
                </c:pt>
                <c:pt idx="13">
                  <c:v>0.26741872386848015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1-445D-9A67-80D6F4FB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4864"/>
        <c:axId val="90646400"/>
      </c:radarChart>
      <c:catAx>
        <c:axId val="906448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0646400"/>
        <c:crosses val="autoZero"/>
        <c:auto val="1"/>
        <c:lblAlgn val="ctr"/>
        <c:lblOffset val="100"/>
        <c:noMultiLvlLbl val="0"/>
      </c:catAx>
      <c:valAx>
        <c:axId val="9064640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0644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3496646252551863"/>
          <c:h val="0.71994427249999682"/>
        </c:manualLayout>
      </c:layout>
      <c:radarChart>
        <c:radarStyle val="marker"/>
        <c:varyColors val="0"/>
        <c:ser>
          <c:idx val="0"/>
          <c:order val="0"/>
          <c:tx>
            <c:strRef>
              <c:f>ПФО!$C$33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ПФО!$C$34:$C$47</c:f>
              <c:numCache>
                <c:formatCode>0.0000</c:formatCode>
                <c:ptCount val="14"/>
                <c:pt idx="0">
                  <c:v>0.4905229420630266</c:v>
                </c:pt>
                <c:pt idx="1">
                  <c:v>0.30155714321762217</c:v>
                </c:pt>
                <c:pt idx="2">
                  <c:v>0.28135503910577969</c:v>
                </c:pt>
                <c:pt idx="3">
                  <c:v>0.50787437387895906</c:v>
                </c:pt>
                <c:pt idx="4">
                  <c:v>0.36471451106906544</c:v>
                </c:pt>
                <c:pt idx="5">
                  <c:v>0.31962651310010592</c:v>
                </c:pt>
                <c:pt idx="6">
                  <c:v>0.47050272109387647</c:v>
                </c:pt>
                <c:pt idx="7">
                  <c:v>0.37185808593213782</c:v>
                </c:pt>
                <c:pt idx="8">
                  <c:v>0.5059702459808324</c:v>
                </c:pt>
                <c:pt idx="9">
                  <c:v>0.38554897175985431</c:v>
                </c:pt>
                <c:pt idx="10">
                  <c:v>0.38954090740883346</c:v>
                </c:pt>
                <c:pt idx="11">
                  <c:v>0.46862482229121694</c:v>
                </c:pt>
                <c:pt idx="12">
                  <c:v>0.37509122275696966</c:v>
                </c:pt>
                <c:pt idx="13">
                  <c:v>0.37650460158296084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7C3-B409-CF543C4F4BB0}"/>
            </c:ext>
          </c:extLst>
        </c:ser>
        <c:ser>
          <c:idx val="1"/>
          <c:order val="1"/>
          <c:tx>
            <c:strRef>
              <c:f>ПФО!$D$33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ПФО!$D$34:$D$47</c:f>
              <c:numCache>
                <c:formatCode>0.0000</c:formatCode>
                <c:ptCount val="14"/>
                <c:pt idx="0">
                  <c:v>0.27283091329587411</c:v>
                </c:pt>
                <c:pt idx="1">
                  <c:v>0.2989676851185597</c:v>
                </c:pt>
                <c:pt idx="2">
                  <c:v>0.21238330955013479</c:v>
                </c:pt>
                <c:pt idx="3">
                  <c:v>0.44985304112559821</c:v>
                </c:pt>
                <c:pt idx="4">
                  <c:v>0.34447926971733694</c:v>
                </c:pt>
                <c:pt idx="5">
                  <c:v>0.33546156440482289</c:v>
                </c:pt>
                <c:pt idx="6">
                  <c:v>0.33142028693477971</c:v>
                </c:pt>
                <c:pt idx="7">
                  <c:v>0.35793680343617973</c:v>
                </c:pt>
                <c:pt idx="8">
                  <c:v>0.31753528866159009</c:v>
                </c:pt>
                <c:pt idx="9">
                  <c:v>0.31552698026717824</c:v>
                </c:pt>
                <c:pt idx="10">
                  <c:v>0.33077025971830187</c:v>
                </c:pt>
                <c:pt idx="11">
                  <c:v>0.30650851135359708</c:v>
                </c:pt>
                <c:pt idx="12">
                  <c:v>0.2673611135739104</c:v>
                </c:pt>
                <c:pt idx="13">
                  <c:v>0.207524908192838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7C3-B409-CF543C4F4BB0}"/>
            </c:ext>
          </c:extLst>
        </c:ser>
        <c:ser>
          <c:idx val="2"/>
          <c:order val="2"/>
          <c:tx>
            <c:strRef>
              <c:f>ПФО!$E$33</c:f>
              <c:strCache>
                <c:ptCount val="1"/>
                <c:pt idx="0">
                  <c:v>Объем платных услуг</c:v>
                </c:pt>
              </c:strCache>
            </c:strRef>
          </c:tx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ПФО!$E$34:$E$47</c:f>
              <c:numCache>
                <c:formatCode>0.0000</c:formatCode>
                <c:ptCount val="14"/>
                <c:pt idx="0">
                  <c:v>0.44068450834759615</c:v>
                </c:pt>
                <c:pt idx="1">
                  <c:v>0.2627793894647974</c:v>
                </c:pt>
                <c:pt idx="2">
                  <c:v>0.25008057492193997</c:v>
                </c:pt>
                <c:pt idx="3">
                  <c:v>0.51093779061813727</c:v>
                </c:pt>
                <c:pt idx="4">
                  <c:v>0.34551486121566116</c:v>
                </c:pt>
                <c:pt idx="5">
                  <c:v>0.33007430119140896</c:v>
                </c:pt>
                <c:pt idx="6">
                  <c:v>0.44857091589026454</c:v>
                </c:pt>
                <c:pt idx="7">
                  <c:v>0.37122639477490349</c:v>
                </c:pt>
                <c:pt idx="8">
                  <c:v>0.44234100910283869</c:v>
                </c:pt>
                <c:pt idx="9">
                  <c:v>0.3662543615753156</c:v>
                </c:pt>
                <c:pt idx="10">
                  <c:v>0.34192362545838773</c:v>
                </c:pt>
                <c:pt idx="11">
                  <c:v>0.41460739034866279</c:v>
                </c:pt>
                <c:pt idx="12">
                  <c:v>0.32968691207703621</c:v>
                </c:pt>
                <c:pt idx="13">
                  <c:v>0.36221321785910032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7C3-B409-CF543C4F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7728"/>
        <c:axId val="90699264"/>
      </c:radarChart>
      <c:catAx>
        <c:axId val="906977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0699264"/>
        <c:crosses val="autoZero"/>
        <c:auto val="1"/>
        <c:lblAlgn val="ctr"/>
        <c:lblOffset val="100"/>
        <c:noMultiLvlLbl val="0"/>
      </c:catAx>
      <c:valAx>
        <c:axId val="9069926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0697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3496646252551863"/>
          <c:h val="0.71994427249999682"/>
        </c:manualLayout>
      </c:layout>
      <c:radarChart>
        <c:radarStyle val="marker"/>
        <c:varyColors val="0"/>
        <c:ser>
          <c:idx val="0"/>
          <c:order val="0"/>
          <c:tx>
            <c:strRef>
              <c:f>ПФО!$C$49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ПФО!$C$50:$C$63</c:f>
              <c:numCache>
                <c:formatCode>0.0000</c:formatCode>
                <c:ptCount val="14"/>
                <c:pt idx="0">
                  <c:v>0.49246937163888665</c:v>
                </c:pt>
                <c:pt idx="1">
                  <c:v>0.45369582764290806</c:v>
                </c:pt>
                <c:pt idx="2">
                  <c:v>0.35402498278742084</c:v>
                </c:pt>
                <c:pt idx="3">
                  <c:v>0.53288064129823476</c:v>
                </c:pt>
                <c:pt idx="4">
                  <c:v>0.44687753693477089</c:v>
                </c:pt>
                <c:pt idx="5">
                  <c:v>0.40437665766905073</c:v>
                </c:pt>
                <c:pt idx="6">
                  <c:v>0.39869403044500179</c:v>
                </c:pt>
                <c:pt idx="7">
                  <c:v>0.30813413866265776</c:v>
                </c:pt>
                <c:pt idx="8">
                  <c:v>0.39382768166611565</c:v>
                </c:pt>
                <c:pt idx="9">
                  <c:v>0.41875636963328566</c:v>
                </c:pt>
                <c:pt idx="10">
                  <c:v>0.51869688650772938</c:v>
                </c:pt>
                <c:pt idx="11">
                  <c:v>0.37708699681513741</c:v>
                </c:pt>
                <c:pt idx="12">
                  <c:v>0.4085195808949495</c:v>
                </c:pt>
                <c:pt idx="13">
                  <c:v>0.60031075962033154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9-43EE-AE7E-9C7521BE3940}"/>
            </c:ext>
          </c:extLst>
        </c:ser>
        <c:ser>
          <c:idx val="1"/>
          <c:order val="1"/>
          <c:tx>
            <c:strRef>
              <c:f>ПФО!$D$49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ПФО!$D$50:$D$63</c:f>
              <c:numCache>
                <c:formatCode>0.0000</c:formatCode>
                <c:ptCount val="14"/>
                <c:pt idx="0">
                  <c:v>0.53006790110587176</c:v>
                </c:pt>
                <c:pt idx="1">
                  <c:v>0.54326134764725098</c:v>
                </c:pt>
                <c:pt idx="2">
                  <c:v>0.55241929505327203</c:v>
                </c:pt>
                <c:pt idx="3">
                  <c:v>0.53854651288448685</c:v>
                </c:pt>
                <c:pt idx="4">
                  <c:v>0.48134649134438057</c:v>
                </c:pt>
                <c:pt idx="5">
                  <c:v>0.54788478477351454</c:v>
                </c:pt>
                <c:pt idx="6">
                  <c:v>0.504126503180508</c:v>
                </c:pt>
                <c:pt idx="7">
                  <c:v>0.53735322601046143</c:v>
                </c:pt>
                <c:pt idx="8">
                  <c:v>0.54326134764725098</c:v>
                </c:pt>
                <c:pt idx="9">
                  <c:v>0.53494887469065155</c:v>
                </c:pt>
                <c:pt idx="10">
                  <c:v>0.57587262820316609</c:v>
                </c:pt>
                <c:pt idx="11">
                  <c:v>0.5397339282783703</c:v>
                </c:pt>
                <c:pt idx="12">
                  <c:v>0.56762362261435517</c:v>
                </c:pt>
                <c:pt idx="13">
                  <c:v>0.56123102415468651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9-43EE-AE7E-9C7521BE3940}"/>
            </c:ext>
          </c:extLst>
        </c:ser>
        <c:ser>
          <c:idx val="2"/>
          <c:order val="2"/>
          <c:tx>
            <c:strRef>
              <c:f>ПФО!$E$49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 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ПФО!$E$50:$E$63</c:f>
              <c:numCache>
                <c:formatCode>0.0000</c:formatCode>
                <c:ptCount val="14"/>
                <c:pt idx="0">
                  <c:v>0.38555270635198519</c:v>
                </c:pt>
                <c:pt idx="1">
                  <c:v>0.5152977723760046</c:v>
                </c:pt>
                <c:pt idx="2">
                  <c:v>0.46651649576840371</c:v>
                </c:pt>
                <c:pt idx="3">
                  <c:v>0.4968305140738335</c:v>
                </c:pt>
                <c:pt idx="4">
                  <c:v>0.44435580299072147</c:v>
                </c:pt>
                <c:pt idx="5">
                  <c:v>0.44049706175048847</c:v>
                </c:pt>
                <c:pt idx="6">
                  <c:v>0.5152977723760046</c:v>
                </c:pt>
                <c:pt idx="7">
                  <c:v>0.48709131032558028</c:v>
                </c:pt>
                <c:pt idx="8">
                  <c:v>0.5152977723760046</c:v>
                </c:pt>
                <c:pt idx="9">
                  <c:v>0.48039987884286789</c:v>
                </c:pt>
                <c:pt idx="10">
                  <c:v>0.45931347703523795</c:v>
                </c:pt>
                <c:pt idx="11">
                  <c:v>0.44816604806892785</c:v>
                </c:pt>
                <c:pt idx="12">
                  <c:v>0.4735434224363147</c:v>
                </c:pt>
                <c:pt idx="13">
                  <c:v>0.4837658892619458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9-43EE-AE7E-9C7521BE3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9456"/>
        <c:axId val="90740992"/>
      </c:radarChart>
      <c:catAx>
        <c:axId val="907394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0740992"/>
        <c:crosses val="autoZero"/>
        <c:auto val="1"/>
        <c:lblAlgn val="ctr"/>
        <c:lblOffset val="100"/>
        <c:noMultiLvlLbl val="0"/>
      </c:catAx>
      <c:valAx>
        <c:axId val="90740992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0739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Инновации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ПФО!$B$100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ПФО!$C$100:$R$100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0.30983172934661568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F-41D6-B89A-20CAADE8C7C2}"/>
            </c:ext>
          </c:extLst>
        </c:ser>
        <c:ser>
          <c:idx val="1"/>
          <c:order val="1"/>
          <c:tx>
            <c:strRef>
              <c:f>ПФО!$B$101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ПФО!$C$101:$R$101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0.13930478228226598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F-41D6-B89A-20CAADE8C7C2}"/>
            </c:ext>
          </c:extLst>
        </c:ser>
        <c:ser>
          <c:idx val="2"/>
          <c:order val="2"/>
          <c:tx>
            <c:strRef>
              <c:f>ПФО!$B$102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ПФО!$C$102:$R$102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0.4683911250029662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F-41D6-B89A-20CAADE8C7C2}"/>
            </c:ext>
          </c:extLst>
        </c:ser>
        <c:ser>
          <c:idx val="3"/>
          <c:order val="3"/>
          <c:tx>
            <c:strRef>
              <c:f>ПФО!$B$103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ПФО!$C$103:$R$103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0.54867005174008054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F-41D6-B89A-20CAADE8C7C2}"/>
            </c:ext>
          </c:extLst>
        </c:ser>
        <c:ser>
          <c:idx val="4"/>
          <c:order val="4"/>
          <c:tx>
            <c:strRef>
              <c:f>ПФО!$B$104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ПФО!$C$104:$R$104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0.21762825719270115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F-41D6-B89A-20CAADE8C7C2}"/>
            </c:ext>
          </c:extLst>
        </c:ser>
        <c:ser>
          <c:idx val="5"/>
          <c:order val="5"/>
          <c:tx>
            <c:strRef>
              <c:f>ПФО!$B$105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ПФО!$C$105:$R$105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0.30374061433563876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AF-41D6-B89A-20CAADE8C7C2}"/>
            </c:ext>
          </c:extLst>
        </c:ser>
        <c:ser>
          <c:idx val="6"/>
          <c:order val="6"/>
          <c:tx>
            <c:strRef>
              <c:f>ПФО!$B$106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ПФО!$C$106:$R$106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0.29629847624678884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AF-41D6-B89A-20CAADE8C7C2}"/>
            </c:ext>
          </c:extLst>
        </c:ser>
        <c:ser>
          <c:idx val="7"/>
          <c:order val="7"/>
          <c:tx>
            <c:strRef>
              <c:f>ПФО!$B$107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ПФО!$C$107:$R$107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0.29828492824236613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AF-41D6-B89A-20CAADE8C7C2}"/>
            </c:ext>
          </c:extLst>
        </c:ser>
        <c:ser>
          <c:idx val="8"/>
          <c:order val="8"/>
          <c:tx>
            <c:strRef>
              <c:f>ПФО!$B$108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0.50817620555861598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AF-41D6-B89A-20CAADE8C7C2}"/>
            </c:ext>
          </c:extLst>
        </c:ser>
        <c:ser>
          <c:idx val="9"/>
          <c:order val="9"/>
          <c:tx>
            <c:strRef>
              <c:f>ПФО!$B$109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0.12336673800105742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AF-41D6-B89A-20CAADE8C7C2}"/>
            </c:ext>
          </c:extLst>
        </c:ser>
        <c:ser>
          <c:idx val="10"/>
          <c:order val="10"/>
          <c:tx>
            <c:strRef>
              <c:f>ПФО!$B$110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0.37793436509019412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AF-41D6-B89A-20CAADE8C7C2}"/>
            </c:ext>
          </c:extLst>
        </c:ser>
        <c:ser>
          <c:idx val="11"/>
          <c:order val="11"/>
          <c:tx>
            <c:strRef>
              <c:f>ПФО!$B$111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0.38730254071093362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AF-41D6-B89A-20CAADE8C7C2}"/>
            </c:ext>
          </c:extLst>
        </c:ser>
        <c:ser>
          <c:idx val="12"/>
          <c:order val="12"/>
          <c:tx>
            <c:strRef>
              <c:f>ПФО!$B$112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6.3804991065880293E-2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AF-41D6-B89A-20CAADE8C7C2}"/>
            </c:ext>
          </c:extLst>
        </c:ser>
        <c:ser>
          <c:idx val="13"/>
          <c:order val="13"/>
          <c:tx>
            <c:strRef>
              <c:f>ПФО!$B$113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ПФО!$C$99:$R$99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ПФО!$C$113:$R$113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0.36480551384967308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AF-41D6-B89A-20CAADE8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24360"/>
        <c:axId val="495624688"/>
      </c:lineChart>
      <c:catAx>
        <c:axId val="49562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24688"/>
        <c:crosses val="autoZero"/>
        <c:auto val="1"/>
        <c:lblAlgn val="ctr"/>
        <c:lblOffset val="100"/>
        <c:noMultiLvlLbl val="0"/>
      </c:catAx>
      <c:valAx>
        <c:axId val="49562468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Финансы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ПФО!$B$68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0.59620838622672701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9-41A0-A16B-23F475903CBA}"/>
            </c:ext>
          </c:extLst>
        </c:ser>
        <c:ser>
          <c:idx val="1"/>
          <c:order val="1"/>
          <c:tx>
            <c:strRef>
              <c:f>ПФО!$B$69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ПФО!$C$69:$R$69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0.50255237440139189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9-41A0-A16B-23F475903CBA}"/>
            </c:ext>
          </c:extLst>
        </c:ser>
        <c:ser>
          <c:idx val="2"/>
          <c:order val="2"/>
          <c:tx>
            <c:strRef>
              <c:f>ПФО!$B$70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ПФО!$C$70:$R$70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0.52207206427279718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9-41A0-A16B-23F475903CBA}"/>
            </c:ext>
          </c:extLst>
        </c:ser>
        <c:ser>
          <c:idx val="3"/>
          <c:order val="3"/>
          <c:tx>
            <c:strRef>
              <c:f>ПФО!$B$71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0.70076548303520836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9-41A0-A16B-23F475903CBA}"/>
            </c:ext>
          </c:extLst>
        </c:ser>
        <c:ser>
          <c:idx val="4"/>
          <c:order val="4"/>
          <c:tx>
            <c:strRef>
              <c:f>ПФО!$B$72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0.60810284907319645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9-41A0-A16B-23F475903CBA}"/>
            </c:ext>
          </c:extLst>
        </c:ser>
        <c:ser>
          <c:idx val="5"/>
          <c:order val="5"/>
          <c:tx>
            <c:strRef>
              <c:f>ПФО!$B$73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0.5803546753801373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E9-41A0-A16B-23F475903CBA}"/>
            </c:ext>
          </c:extLst>
        </c:ser>
        <c:ser>
          <c:idx val="6"/>
          <c:order val="6"/>
          <c:tx>
            <c:strRef>
              <c:f>ПФО!$B$74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0.62933678942877369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E9-41A0-A16B-23F475903CBA}"/>
            </c:ext>
          </c:extLst>
        </c:ser>
        <c:ser>
          <c:idx val="7"/>
          <c:order val="7"/>
          <c:tx>
            <c:strRef>
              <c:f>ПФО!$B$75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ПФО!$C$75:$R$75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0.54773935678119912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E9-41A0-A16B-23F475903CBA}"/>
            </c:ext>
          </c:extLst>
        </c:ser>
        <c:ser>
          <c:idx val="8"/>
          <c:order val="8"/>
          <c:tx>
            <c:strRef>
              <c:f>ПФО!$B$76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ПФО!$C$76:$R$76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0.63770232320356157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E9-41A0-A16B-23F475903CBA}"/>
            </c:ext>
          </c:extLst>
        </c:ser>
        <c:ser>
          <c:idx val="9"/>
          <c:order val="9"/>
          <c:tx>
            <c:strRef>
              <c:f>ПФО!$B$77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ПФО!$C$77:$R$77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0.59897947283376596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E9-41A0-A16B-23F475903CBA}"/>
            </c:ext>
          </c:extLst>
        </c:ser>
        <c:ser>
          <c:idx val="10"/>
          <c:order val="10"/>
          <c:tx>
            <c:strRef>
              <c:f>ПФО!$B$78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ПФО!$C$78:$R$78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0.53970882212158378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E9-41A0-A16B-23F475903CBA}"/>
            </c:ext>
          </c:extLst>
        </c:ser>
        <c:ser>
          <c:idx val="11"/>
          <c:order val="11"/>
          <c:tx>
            <c:strRef>
              <c:f>ПФО!$B$79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ПФО!$C$79:$R$79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0.66004202787694155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E9-41A0-A16B-23F475903CBA}"/>
            </c:ext>
          </c:extLst>
        </c:ser>
        <c:ser>
          <c:idx val="12"/>
          <c:order val="12"/>
          <c:tx>
            <c:strRef>
              <c:f>ПФО!$B$80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ПФО!$C$80:$R$80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0.56194109704729012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E9-41A0-A16B-23F475903CBA}"/>
            </c:ext>
          </c:extLst>
        </c:ser>
        <c:ser>
          <c:idx val="13"/>
          <c:order val="13"/>
          <c:tx>
            <c:strRef>
              <c:f>ПФО!$B$81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ПФО!$C$67:$R$67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ПФО!$C$81:$R$81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0.57683760163119946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E9-41A0-A16B-23F47590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95352"/>
        <c:axId val="587395680"/>
      </c:lineChart>
      <c:catAx>
        <c:axId val="58739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395680"/>
        <c:crosses val="autoZero"/>
        <c:auto val="1"/>
        <c:lblAlgn val="ctr"/>
        <c:lblOffset val="100"/>
        <c:noMultiLvlLbl val="0"/>
      </c:catAx>
      <c:valAx>
        <c:axId val="58739568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39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Торговля и услуги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ПФО!$B$133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0.40134612123549895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6-48A6-B15E-85F399B60994}"/>
            </c:ext>
          </c:extLst>
        </c:ser>
        <c:ser>
          <c:idx val="1"/>
          <c:order val="1"/>
          <c:tx>
            <c:strRef>
              <c:f>ПФО!$B$134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0.28776807260032644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6-48A6-B15E-85F399B60994}"/>
            </c:ext>
          </c:extLst>
        </c:ser>
        <c:ser>
          <c:idx val="2"/>
          <c:order val="2"/>
          <c:tx>
            <c:strRef>
              <c:f>ПФО!$B$135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0.24793964119261816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6-48A6-B15E-85F399B60994}"/>
            </c:ext>
          </c:extLst>
        </c:ser>
        <c:ser>
          <c:idx val="3"/>
          <c:order val="3"/>
          <c:tx>
            <c:strRef>
              <c:f>ПФО!$B$136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0.4895550685408982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6-48A6-B15E-85F399B60994}"/>
            </c:ext>
          </c:extLst>
        </c:ser>
        <c:ser>
          <c:idx val="4"/>
          <c:order val="4"/>
          <c:tx>
            <c:strRef>
              <c:f>ПФО!$B$137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0.35156954733402118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6-48A6-B15E-85F399B60994}"/>
            </c:ext>
          </c:extLst>
        </c:ser>
        <c:ser>
          <c:idx val="5"/>
          <c:order val="5"/>
          <c:tx>
            <c:strRef>
              <c:f>ПФО!$B$138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0.3283874595654459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6-48A6-B15E-85F399B60994}"/>
            </c:ext>
          </c:extLst>
        </c:ser>
        <c:ser>
          <c:idx val="6"/>
          <c:order val="6"/>
          <c:tx>
            <c:strRef>
              <c:f>ПФО!$B$139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0.41683130797297352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B6-48A6-B15E-85F399B60994}"/>
            </c:ext>
          </c:extLst>
        </c:ser>
        <c:ser>
          <c:idx val="7"/>
          <c:order val="7"/>
          <c:tx>
            <c:strRef>
              <c:f>ПФО!$B$140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0.36700709471440701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B6-48A6-B15E-85F399B60994}"/>
            </c:ext>
          </c:extLst>
        </c:ser>
        <c:ser>
          <c:idx val="8"/>
          <c:order val="8"/>
          <c:tx>
            <c:strRef>
              <c:f>ПФО!$B$141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0.42194884791508702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B6-48A6-B15E-85F399B60994}"/>
            </c:ext>
          </c:extLst>
        </c:ser>
        <c:ser>
          <c:idx val="9"/>
          <c:order val="9"/>
          <c:tx>
            <c:strRef>
              <c:f>ПФО!$B$142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0.35577677120078272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B6-48A6-B15E-85F399B60994}"/>
            </c:ext>
          </c:extLst>
        </c:ser>
        <c:ser>
          <c:idx val="10"/>
          <c:order val="10"/>
          <c:tx>
            <c:strRef>
              <c:f>ПФО!$B$143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0.35407826419517435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B6-48A6-B15E-85F399B60994}"/>
            </c:ext>
          </c:extLst>
        </c:ser>
        <c:ser>
          <c:idx val="11"/>
          <c:order val="11"/>
          <c:tx>
            <c:strRef>
              <c:f>ПФО!$B$144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ПФО!$C$144:$R$144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0.39658024133115893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B6-48A6-B15E-85F399B60994}"/>
            </c:ext>
          </c:extLst>
        </c:ser>
        <c:ser>
          <c:idx val="12"/>
          <c:order val="12"/>
          <c:tx>
            <c:strRef>
              <c:f>ПФО!$B$145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ПФО!$C$145:$R$145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0.32404641613597213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B6-48A6-B15E-85F399B60994}"/>
            </c:ext>
          </c:extLst>
        </c:ser>
        <c:ser>
          <c:idx val="13"/>
          <c:order val="13"/>
          <c:tx>
            <c:strRef>
              <c:f>ПФО!$B$146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ПФО!$C$132:$R$132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ПФО!$C$146:$R$146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0.31541424254496636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B6-48A6-B15E-85F399B6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50528"/>
        <c:axId val="458033472"/>
      </c:lineChart>
      <c:catAx>
        <c:axId val="4580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033472"/>
        <c:crosses val="autoZero"/>
        <c:auto val="1"/>
        <c:lblAlgn val="ctr"/>
        <c:lblOffset val="100"/>
        <c:noMultiLvlLbl val="0"/>
      </c:catAx>
      <c:valAx>
        <c:axId val="45803347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0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3496646252551863"/>
          <c:h val="0.71994427249999682"/>
        </c:manualLayout>
      </c:layout>
      <c:radarChart>
        <c:radarStyle val="marker"/>
        <c:varyColors val="0"/>
        <c:ser>
          <c:idx val="0"/>
          <c:order val="0"/>
          <c:tx>
            <c:strRef>
              <c:f>ЦФО!$C$61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ЦФО!$C$62:$C$79</c:f>
              <c:numCache>
                <c:formatCode>0.0000</c:formatCode>
                <c:ptCount val="18"/>
                <c:pt idx="0">
                  <c:v>0.55932980149239098</c:v>
                </c:pt>
                <c:pt idx="1">
                  <c:v>0.30112671767239407</c:v>
                </c:pt>
                <c:pt idx="2">
                  <c:v>0.44897187241980846</c:v>
                </c:pt>
                <c:pt idx="3">
                  <c:v>0.56057403406797224</c:v>
                </c:pt>
                <c:pt idx="4">
                  <c:v>0.27691642293891039</c:v>
                </c:pt>
                <c:pt idx="5">
                  <c:v>0.58890674850123947</c:v>
                </c:pt>
                <c:pt idx="6">
                  <c:v>0.34978879601413559</c:v>
                </c:pt>
                <c:pt idx="7">
                  <c:v>0.40305637257579224</c:v>
                </c:pt>
                <c:pt idx="8">
                  <c:v>0.67257158798125471</c:v>
                </c:pt>
                <c:pt idx="9">
                  <c:v>0.69112643672758167</c:v>
                </c:pt>
                <c:pt idx="10">
                  <c:v>0.48976801150861488</c:v>
                </c:pt>
                <c:pt idx="11">
                  <c:v>0.4794111585968388</c:v>
                </c:pt>
                <c:pt idx="12">
                  <c:v>0.40712600958088641</c:v>
                </c:pt>
                <c:pt idx="13">
                  <c:v>0.54197091642004036</c:v>
                </c:pt>
                <c:pt idx="14">
                  <c:v>0.44137467462857455</c:v>
                </c:pt>
                <c:pt idx="15">
                  <c:v>0.39727186490860855</c:v>
                </c:pt>
                <c:pt idx="16">
                  <c:v>0.48642463589225571</c:v>
                </c:pt>
                <c:pt idx="17">
                  <c:v>0.33250618989960062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B52-9579-311D083C0975}"/>
            </c:ext>
          </c:extLst>
        </c:ser>
        <c:ser>
          <c:idx val="1"/>
          <c:order val="1"/>
          <c:tx>
            <c:strRef>
              <c:f>ЦФО!$D$61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ЦФО!$D$62:$D$79</c:f>
              <c:numCache>
                <c:formatCode>0.0000</c:formatCode>
                <c:ptCount val="18"/>
                <c:pt idx="0">
                  <c:v>0.59054609583498407</c:v>
                </c:pt>
                <c:pt idx="1">
                  <c:v>0.57281511983096001</c:v>
                </c:pt>
                <c:pt idx="2">
                  <c:v>0.56971475983954567</c:v>
                </c:pt>
                <c:pt idx="3">
                  <c:v>0.57888812482545859</c:v>
                </c:pt>
                <c:pt idx="4">
                  <c:v>0.53735322601046143</c:v>
                </c:pt>
                <c:pt idx="5">
                  <c:v>0.57788757624927778</c:v>
                </c:pt>
                <c:pt idx="6">
                  <c:v>0.55129387225969406</c:v>
                </c:pt>
                <c:pt idx="7">
                  <c:v>0.57788757624927778</c:v>
                </c:pt>
                <c:pt idx="8">
                  <c:v>0.59706188598524856</c:v>
                </c:pt>
                <c:pt idx="9">
                  <c:v>0.60159403611678186</c:v>
                </c:pt>
                <c:pt idx="10">
                  <c:v>0.56444992038500696</c:v>
                </c:pt>
                <c:pt idx="11">
                  <c:v>0.60248859967533352</c:v>
                </c:pt>
                <c:pt idx="12">
                  <c:v>0.56444992038500696</c:v>
                </c:pt>
                <c:pt idx="13">
                  <c:v>0.58284484928624003</c:v>
                </c:pt>
                <c:pt idx="14">
                  <c:v>0.5979763107890691</c:v>
                </c:pt>
                <c:pt idx="15">
                  <c:v>0.56444992038500696</c:v>
                </c:pt>
                <c:pt idx="16">
                  <c:v>0.55241929505327203</c:v>
                </c:pt>
                <c:pt idx="17">
                  <c:v>0.41307904927446953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F-4B52-9579-311D083C0975}"/>
            </c:ext>
          </c:extLst>
        </c:ser>
        <c:ser>
          <c:idx val="2"/>
          <c:order val="2"/>
          <c:tx>
            <c:strRef>
              <c:f>ЦФО!$E$61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ЦФО!$E$62:$E$79</c:f>
              <c:numCache>
                <c:formatCode>0.0000</c:formatCode>
                <c:ptCount val="18"/>
                <c:pt idx="0">
                  <c:v>0.39462016525222926</c:v>
                </c:pt>
                <c:pt idx="1">
                  <c:v>0.40778549174138751</c:v>
                </c:pt>
                <c:pt idx="2">
                  <c:v>0.5</c:v>
                </c:pt>
                <c:pt idx="3">
                  <c:v>0.49362298597270349</c:v>
                </c:pt>
                <c:pt idx="4">
                  <c:v>0.48709131032558028</c:v>
                </c:pt>
                <c:pt idx="5">
                  <c:v>0.41628174059420603</c:v>
                </c:pt>
                <c:pt idx="6">
                  <c:v>0.40778549174138751</c:v>
                </c:pt>
                <c:pt idx="7">
                  <c:v>0.37149857228423716</c:v>
                </c:pt>
                <c:pt idx="8">
                  <c:v>0.44049706175048847</c:v>
                </c:pt>
                <c:pt idx="9">
                  <c:v>0.46293735614364523</c:v>
                </c:pt>
                <c:pt idx="10">
                  <c:v>0.44049706175048847</c:v>
                </c:pt>
                <c:pt idx="11">
                  <c:v>0.50928625013915918</c:v>
                </c:pt>
                <c:pt idx="12">
                  <c:v>0.5</c:v>
                </c:pt>
                <c:pt idx="13">
                  <c:v>0.45931347703523795</c:v>
                </c:pt>
                <c:pt idx="14">
                  <c:v>0.52117112491658979</c:v>
                </c:pt>
                <c:pt idx="15">
                  <c:v>0.52117112491658979</c:v>
                </c:pt>
                <c:pt idx="16">
                  <c:v>0.56123102415468651</c:v>
                </c:pt>
                <c:pt idx="17">
                  <c:v>0.54336743126302911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F-4B52-9579-311D083C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7776"/>
        <c:axId val="87254144"/>
      </c:radarChart>
      <c:catAx>
        <c:axId val="8722777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7254144"/>
        <c:crosses val="autoZero"/>
        <c:auto val="1"/>
        <c:lblAlgn val="ctr"/>
        <c:lblOffset val="100"/>
        <c:noMultiLvlLbl val="0"/>
      </c:catAx>
      <c:valAx>
        <c:axId val="8725414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7227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Жилье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ПФО!$B$165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ПФО!$C$165:$R$165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0.4693633263655812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D-419F-8D33-A35200E535B7}"/>
            </c:ext>
          </c:extLst>
        </c:ser>
        <c:ser>
          <c:idx val="1"/>
          <c:order val="1"/>
          <c:tx>
            <c:strRef>
              <c:f>ПФО!$B$166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ПФО!$C$166:$R$166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0.50408498255538792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D-419F-8D33-A35200E535B7}"/>
            </c:ext>
          </c:extLst>
        </c:ser>
        <c:ser>
          <c:idx val="2"/>
          <c:order val="2"/>
          <c:tx>
            <c:strRef>
              <c:f>ПФО!$B$167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ПФО!$C$167:$R$167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0.45765359120303223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D-419F-8D33-A35200E535B7}"/>
            </c:ext>
          </c:extLst>
        </c:ser>
        <c:ser>
          <c:idx val="3"/>
          <c:order val="3"/>
          <c:tx>
            <c:strRef>
              <c:f>ПФО!$B$168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ПФО!$C$168:$R$168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0.52275255608551829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D-419F-8D33-A35200E535B7}"/>
            </c:ext>
          </c:extLst>
        </c:ser>
        <c:ser>
          <c:idx val="4"/>
          <c:order val="4"/>
          <c:tx>
            <c:strRef>
              <c:f>ПФО!$B$169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ПФО!$C$169:$R$169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0.45752661042329096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D-419F-8D33-A35200E535B7}"/>
            </c:ext>
          </c:extLst>
        </c:ser>
        <c:ser>
          <c:idx val="5"/>
          <c:order val="5"/>
          <c:tx>
            <c:strRef>
              <c:f>ПФО!$B$170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ПФО!$C$170:$R$170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0.46425283473101792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D-419F-8D33-A35200E535B7}"/>
            </c:ext>
          </c:extLst>
        </c:ser>
        <c:ser>
          <c:idx val="6"/>
          <c:order val="6"/>
          <c:tx>
            <c:strRef>
              <c:f>ПФО!$B$171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ПФО!$C$171:$R$171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0.47270610200050478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7D-419F-8D33-A35200E535B7}"/>
            </c:ext>
          </c:extLst>
        </c:ser>
        <c:ser>
          <c:idx val="7"/>
          <c:order val="7"/>
          <c:tx>
            <c:strRef>
              <c:f>ПФО!$B$172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ПФО!$C$172:$R$172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0.44419289166623316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7D-419F-8D33-A35200E535B7}"/>
            </c:ext>
          </c:extLst>
        </c:ser>
        <c:ser>
          <c:idx val="8"/>
          <c:order val="8"/>
          <c:tx>
            <c:strRef>
              <c:f>ПФО!$B$173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ПФО!$C$173:$R$173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0.48412893389645711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7D-419F-8D33-A35200E535B7}"/>
            </c:ext>
          </c:extLst>
        </c:ser>
        <c:ser>
          <c:idx val="9"/>
          <c:order val="9"/>
          <c:tx>
            <c:strRef>
              <c:f>ПФО!$B$174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ПФО!$C$174:$R$174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0.47803504105560174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7D-419F-8D33-A35200E535B7}"/>
            </c:ext>
          </c:extLst>
        </c:ser>
        <c:ser>
          <c:idx val="10"/>
          <c:order val="10"/>
          <c:tx>
            <c:strRef>
              <c:f>ПФО!$B$175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0.51796099724871114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7D-419F-8D33-A35200E535B7}"/>
            </c:ext>
          </c:extLst>
        </c:ser>
        <c:ser>
          <c:idx val="11"/>
          <c:order val="11"/>
          <c:tx>
            <c:strRef>
              <c:f>ПФО!$B$176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0.45499565772081185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7D-419F-8D33-A35200E535B7}"/>
            </c:ext>
          </c:extLst>
        </c:ser>
        <c:ser>
          <c:idx val="12"/>
          <c:order val="12"/>
          <c:tx>
            <c:strRef>
              <c:f>ПФО!$B$177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0.48322887531520647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7D-419F-8D33-A35200E535B7}"/>
            </c:ext>
          </c:extLst>
        </c:ser>
        <c:ser>
          <c:idx val="13"/>
          <c:order val="13"/>
          <c:tx>
            <c:strRef>
              <c:f>ПФО!$B$178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ПФО!$C$164:$R$164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ПФО!$C$178:$R$178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0.54843589101232126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7D-419F-8D33-A35200E5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73704"/>
        <c:axId val="498614696"/>
      </c:lineChart>
      <c:catAx>
        <c:axId val="61177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614696"/>
        <c:crosses val="autoZero"/>
        <c:auto val="1"/>
        <c:lblAlgn val="ctr"/>
        <c:lblOffset val="100"/>
        <c:noMultiLvlLbl val="0"/>
      </c:catAx>
      <c:valAx>
        <c:axId val="49861469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77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620874330000487"/>
          <c:h val="0.66818632519419929"/>
        </c:manualLayout>
      </c:layout>
      <c:radarChart>
        <c:radarStyle val="marker"/>
        <c:varyColors val="0"/>
        <c:ser>
          <c:idx val="0"/>
          <c:order val="0"/>
          <c:tx>
            <c:strRef>
              <c:f>УФО!$C$1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УФО!$C$2:$C$5</c:f>
              <c:numCache>
                <c:formatCode>0.0000</c:formatCode>
                <c:ptCount val="4"/>
                <c:pt idx="0">
                  <c:v>0.51398703552370051</c:v>
                </c:pt>
                <c:pt idx="1">
                  <c:v>0.54103087735768729</c:v>
                </c:pt>
                <c:pt idx="2">
                  <c:v>2.9689407512702232E-2</c:v>
                </c:pt>
                <c:pt idx="3">
                  <c:v>0.55661730811776033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9-4549-A80F-33DB34314D0B}"/>
            </c:ext>
          </c:extLst>
        </c:ser>
        <c:ser>
          <c:idx val="1"/>
          <c:order val="1"/>
          <c:tx>
            <c:strRef>
              <c:f>УФО!$D$1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УФО!$D$2:$D$5</c:f>
              <c:numCache>
                <c:formatCode>0.0000</c:formatCode>
                <c:ptCount val="4"/>
                <c:pt idx="0">
                  <c:v>0.70111592460818739</c:v>
                </c:pt>
                <c:pt idx="1">
                  <c:v>0.78527030128247222</c:v>
                </c:pt>
                <c:pt idx="2">
                  <c:v>0.85792817645647423</c:v>
                </c:pt>
                <c:pt idx="3">
                  <c:v>0.72201762836024852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9-4549-A80F-33DB34314D0B}"/>
            </c:ext>
          </c:extLst>
        </c:ser>
        <c:ser>
          <c:idx val="2"/>
          <c:order val="2"/>
          <c:tx>
            <c:strRef>
              <c:f>УФО!$E$1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УФО!$E$2:$E$5</c:f>
              <c:numCache>
                <c:formatCode>0.0000</c:formatCode>
                <c:ptCount val="4"/>
                <c:pt idx="0">
                  <c:v>0.230232558003093</c:v>
                </c:pt>
                <c:pt idx="1">
                  <c:v>0.55531882462931104</c:v>
                </c:pt>
                <c:pt idx="2">
                  <c:v>0.69385138412718517</c:v>
                </c:pt>
                <c:pt idx="3">
                  <c:v>0.46045270129142851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9-4549-A80F-33DB3431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272"/>
        <c:axId val="91496448"/>
      </c:radarChart>
      <c:catAx>
        <c:axId val="914782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1496448"/>
        <c:crosses val="autoZero"/>
        <c:auto val="1"/>
        <c:lblAlgn val="ctr"/>
        <c:lblOffset val="100"/>
        <c:noMultiLvlLbl val="0"/>
      </c:catAx>
      <c:valAx>
        <c:axId val="91496448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1478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171148083723932"/>
          <c:h val="0.66145178822344175"/>
        </c:manualLayout>
      </c:layout>
      <c:radarChart>
        <c:radarStyle val="marker"/>
        <c:varyColors val="0"/>
        <c:ser>
          <c:idx val="0"/>
          <c:order val="0"/>
          <c:tx>
            <c:strRef>
              <c:f>УФО!$C$17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cat>
            <c:strRef>
              <c:f>УФО!$B$18:$B$21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УФО!$C$18:$C$21</c:f>
              <c:numCache>
                <c:formatCode>0.0000</c:formatCode>
                <c:ptCount val="4"/>
                <c:pt idx="0">
                  <c:v>0.42907755615240867</c:v>
                </c:pt>
                <c:pt idx="1">
                  <c:v>0.34349367468167891</c:v>
                </c:pt>
                <c:pt idx="2">
                  <c:v>0.24606352436810031</c:v>
                </c:pt>
                <c:pt idx="3">
                  <c:v>0.3503936030701883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1-4B60-9A59-EF44B44D3D1E}"/>
            </c:ext>
          </c:extLst>
        </c:ser>
        <c:ser>
          <c:idx val="1"/>
          <c:order val="1"/>
          <c:tx>
            <c:strRef>
              <c:f>УФО!$D$17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cat>
            <c:strRef>
              <c:f>УФО!$B$18:$B$21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УФО!$D$18:$D$21</c:f>
              <c:numCache>
                <c:formatCode>0.0000</c:formatCode>
                <c:ptCount val="4"/>
                <c:pt idx="0">
                  <c:v>0.11174103128650863</c:v>
                </c:pt>
                <c:pt idx="1">
                  <c:v>0.24962510862270737</c:v>
                </c:pt>
                <c:pt idx="2">
                  <c:v>2.4868834658379749E-2</c:v>
                </c:pt>
                <c:pt idx="3">
                  <c:v>0.1675838247480336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1-4B60-9A59-EF44B44D3D1E}"/>
            </c:ext>
          </c:extLst>
        </c:ser>
        <c:ser>
          <c:idx val="2"/>
          <c:order val="2"/>
          <c:tx>
            <c:strRef>
              <c:f>УФО!$E$17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cat>
            <c:strRef>
              <c:f>УФО!$B$18:$B$21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УФО!$E$18:$E$21</c:f>
              <c:numCache>
                <c:formatCode>0.0000</c:formatCode>
                <c:ptCount val="4"/>
                <c:pt idx="0">
                  <c:v>4.3553326471740053E-3</c:v>
                </c:pt>
                <c:pt idx="1">
                  <c:v>6.9097576902890978E-2</c:v>
                </c:pt>
                <c:pt idx="2">
                  <c:v>1.8441850649870124E-3</c:v>
                </c:pt>
                <c:pt idx="3">
                  <c:v>1.9601717946898082E-2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1-4B60-9A59-EF44B44D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8192"/>
        <c:axId val="91538176"/>
      </c:radarChart>
      <c:catAx>
        <c:axId val="9152819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1538176"/>
        <c:crosses val="autoZero"/>
        <c:auto val="1"/>
        <c:lblAlgn val="ctr"/>
        <c:lblOffset val="100"/>
        <c:noMultiLvlLbl val="0"/>
      </c:catAx>
      <c:valAx>
        <c:axId val="91538176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15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262231626883165"/>
          <c:y val="0.10209554791566545"/>
          <c:w val="0.35684145310121124"/>
          <c:h val="0.63619977080329748"/>
        </c:manualLayout>
      </c:layout>
      <c:radarChart>
        <c:radarStyle val="marker"/>
        <c:varyColors val="0"/>
        <c:ser>
          <c:idx val="0"/>
          <c:order val="0"/>
          <c:tx>
            <c:strRef>
              <c:f>УФО!$C$34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cat>
            <c:strRef>
              <c:f>УФО!$B$35:$B$38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УФО!$C$35:$C$38</c:f>
              <c:numCache>
                <c:formatCode>0.0000</c:formatCode>
                <c:ptCount val="4"/>
                <c:pt idx="0">
                  <c:v>0.33422264416446812</c:v>
                </c:pt>
                <c:pt idx="1">
                  <c:v>0.53722931569702903</c:v>
                </c:pt>
                <c:pt idx="2">
                  <c:v>0.5411723044834239</c:v>
                </c:pt>
                <c:pt idx="3">
                  <c:v>0.39401496345563836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7-42AE-BBAC-F39CF92281C6}"/>
            </c:ext>
          </c:extLst>
        </c:ser>
        <c:ser>
          <c:idx val="1"/>
          <c:order val="1"/>
          <c:tx>
            <c:strRef>
              <c:f>УФО!$D$34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cat>
            <c:strRef>
              <c:f>УФО!$B$35:$B$38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УФО!$D$35:$D$38</c:f>
              <c:numCache>
                <c:formatCode>0.0000</c:formatCode>
                <c:ptCount val="4"/>
                <c:pt idx="0">
                  <c:v>0.12358288091886918</c:v>
                </c:pt>
                <c:pt idx="1">
                  <c:v>0.4274681433908783</c:v>
                </c:pt>
                <c:pt idx="2">
                  <c:v>0.66444849355782087</c:v>
                </c:pt>
                <c:pt idx="3">
                  <c:v>0.31054654096678064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7-42AE-BBAC-F39CF92281C6}"/>
            </c:ext>
          </c:extLst>
        </c:ser>
        <c:ser>
          <c:idx val="2"/>
          <c:order val="2"/>
          <c:tx>
            <c:strRef>
              <c:f>УФО!$E$34</c:f>
              <c:strCache>
                <c:ptCount val="1"/>
                <c:pt idx="0">
                  <c:v>Объем платных услуг</c:v>
                </c:pt>
              </c:strCache>
            </c:strRef>
          </c:tx>
          <c:cat>
            <c:strRef>
              <c:f>УФО!$B$35:$B$38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УФО!$E$35:$E$38</c:f>
              <c:numCache>
                <c:formatCode>0.0000</c:formatCode>
                <c:ptCount val="4"/>
                <c:pt idx="0">
                  <c:v>0.27113688737623803</c:v>
                </c:pt>
                <c:pt idx="1">
                  <c:v>0.55105202108841145</c:v>
                </c:pt>
                <c:pt idx="2">
                  <c:v>0.48863891617744726</c:v>
                </c:pt>
                <c:pt idx="3">
                  <c:v>0.40669119480182803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7-42AE-BBAC-F39CF922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6192"/>
        <c:axId val="91657728"/>
      </c:radarChart>
      <c:catAx>
        <c:axId val="9165619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1657728"/>
        <c:crosses val="autoZero"/>
        <c:auto val="1"/>
        <c:lblAlgn val="ctr"/>
        <c:lblOffset val="100"/>
        <c:noMultiLvlLbl val="0"/>
      </c:catAx>
      <c:valAx>
        <c:axId val="91657728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16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2267768906690656"/>
          <c:h val="0.66464539758617125"/>
        </c:manualLayout>
      </c:layout>
      <c:radarChart>
        <c:radarStyle val="marker"/>
        <c:varyColors val="0"/>
        <c:ser>
          <c:idx val="0"/>
          <c:order val="0"/>
          <c:tx>
            <c:strRef>
              <c:f>УФО!$C$55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cat>
            <c:strRef>
              <c:f>УФО!$B$56:$B$59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УФО!$C$56:$C$59</c:f>
              <c:numCache>
                <c:formatCode>0.0000</c:formatCode>
                <c:ptCount val="4"/>
                <c:pt idx="0">
                  <c:v>0.26477983670821043</c:v>
                </c:pt>
                <c:pt idx="1">
                  <c:v>0.45679690761361119</c:v>
                </c:pt>
                <c:pt idx="2">
                  <c:v>0.55051680055943641</c:v>
                </c:pt>
                <c:pt idx="3">
                  <c:v>0.38719246265389329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B-40CC-ACC8-600D227BE4CC}"/>
            </c:ext>
          </c:extLst>
        </c:ser>
        <c:ser>
          <c:idx val="1"/>
          <c:order val="1"/>
          <c:tx>
            <c:strRef>
              <c:f>УФО!$D$55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cat>
            <c:strRef>
              <c:f>УФО!$B$56:$B$59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УФО!$D$56:$D$59</c:f>
              <c:numCache>
                <c:formatCode>0.0000</c:formatCode>
                <c:ptCount val="4"/>
                <c:pt idx="0">
                  <c:v>0.52128721274105672</c:v>
                </c:pt>
                <c:pt idx="1">
                  <c:v>0.53006790110587176</c:v>
                </c:pt>
                <c:pt idx="2">
                  <c:v>0.49439629518592559</c:v>
                </c:pt>
                <c:pt idx="3">
                  <c:v>0.53252054471998134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B-40CC-ACC8-600D227BE4CC}"/>
            </c:ext>
          </c:extLst>
        </c:ser>
        <c:ser>
          <c:idx val="2"/>
          <c:order val="2"/>
          <c:tx>
            <c:strRef>
              <c:f>УФО!$E$55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cat>
            <c:strRef>
              <c:f>УФО!$B$56:$B$59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 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УФО!$E$56:$E$59</c:f>
              <c:numCache>
                <c:formatCode>0.0000</c:formatCode>
                <c:ptCount val="4"/>
                <c:pt idx="0">
                  <c:v>0.4837658892619458</c:v>
                </c:pt>
                <c:pt idx="1">
                  <c:v>0.51230956021217355</c:v>
                </c:pt>
                <c:pt idx="2">
                  <c:v>0.4837658892619458</c:v>
                </c:pt>
                <c:pt idx="3">
                  <c:v>0.48709131032558028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B-40CC-ACC8-600D227B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1648"/>
        <c:axId val="91773184"/>
      </c:radarChart>
      <c:catAx>
        <c:axId val="9177164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1773184"/>
        <c:crosses val="autoZero"/>
        <c:auto val="1"/>
        <c:lblAlgn val="ctr"/>
        <c:lblOffset val="100"/>
        <c:noMultiLvlLbl val="0"/>
      </c:catAx>
      <c:valAx>
        <c:axId val="9177318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1771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Финансы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УФО!$B$76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УФО!$C$75:$R$75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УФО!$C$76:$R$76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0.48177850604499367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4-40B2-B145-1CCC62792440}"/>
            </c:ext>
          </c:extLst>
        </c:ser>
        <c:ser>
          <c:idx val="1"/>
          <c:order val="1"/>
          <c:tx>
            <c:strRef>
              <c:f>УФО!$B$77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УФО!$C$75:$R$75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УФО!$C$77:$R$77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0.62720666775649014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4-40B2-B145-1CCC62792440}"/>
            </c:ext>
          </c:extLst>
        </c:ser>
        <c:ser>
          <c:idx val="2"/>
          <c:order val="2"/>
          <c:tx>
            <c:strRef>
              <c:f>УФО!$B$78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УФО!$C$75:$R$75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УФО!$C$78:$R$78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0.52715632269878721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4-40B2-B145-1CCC62792440}"/>
            </c:ext>
          </c:extLst>
        </c:ser>
        <c:ser>
          <c:idx val="3"/>
          <c:order val="3"/>
          <c:tx>
            <c:strRef>
              <c:f>УФО!$B$79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УФО!$C$75:$R$75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УФО!$C$79:$R$79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0.57969587925647914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4-40B2-B145-1CCC62792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081032"/>
        <c:axId val="603080704"/>
      </c:lineChart>
      <c:catAx>
        <c:axId val="60308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080704"/>
        <c:crosses val="autoZero"/>
        <c:auto val="1"/>
        <c:lblAlgn val="ctr"/>
        <c:lblOffset val="100"/>
        <c:noMultiLvlLbl val="0"/>
      </c:catAx>
      <c:valAx>
        <c:axId val="60308070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08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Инновации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УФО!$B$96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УФО!$C$95:$R$95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УФО!$C$96:$R$96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0.18172464002869712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5-4295-B4C1-5324C6405FC0}"/>
            </c:ext>
          </c:extLst>
        </c:ser>
        <c:ser>
          <c:idx val="1"/>
          <c:order val="1"/>
          <c:tx>
            <c:strRef>
              <c:f>УФО!$B$97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УФО!$C$95:$R$95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УФО!$C$97:$R$97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0.22073878673575908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5-4295-B4C1-5324C6405FC0}"/>
            </c:ext>
          </c:extLst>
        </c:ser>
        <c:ser>
          <c:idx val="2"/>
          <c:order val="2"/>
          <c:tx>
            <c:strRef>
              <c:f>УФО!$B$98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УФО!$C$95:$R$95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УФО!$C$98:$R$98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9.0925514697155693E-2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5-4295-B4C1-5324C6405FC0}"/>
            </c:ext>
          </c:extLst>
        </c:ser>
        <c:ser>
          <c:idx val="3"/>
          <c:order val="3"/>
          <c:tx>
            <c:strRef>
              <c:f>УФО!$B$99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УФО!$C$95:$R$95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УФО!$C$99:$R$99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0.17919304858837334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5-4295-B4C1-5324C640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03464"/>
        <c:axId val="613343480"/>
      </c:lineChart>
      <c:catAx>
        <c:axId val="6133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343480"/>
        <c:crosses val="autoZero"/>
        <c:auto val="1"/>
        <c:lblAlgn val="ctr"/>
        <c:lblOffset val="100"/>
        <c:noMultiLvlLbl val="0"/>
      </c:catAx>
      <c:valAx>
        <c:axId val="61334348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30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Торговля и услуги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УФО!$B$117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УФО!$C$116:$R$116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УФО!$C$117:$R$117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0.24298080415319179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B-4F9A-84D8-55F2259EB1E1}"/>
            </c:ext>
          </c:extLst>
        </c:ser>
        <c:ser>
          <c:idx val="1"/>
          <c:order val="1"/>
          <c:tx>
            <c:strRef>
              <c:f>УФО!$B$118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УФО!$C$116:$R$116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УФО!$C$118:$R$118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0.50524982672543961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B-4F9A-84D8-55F2259EB1E1}"/>
            </c:ext>
          </c:extLst>
        </c:ser>
        <c:ser>
          <c:idx val="2"/>
          <c:order val="2"/>
          <c:tx>
            <c:strRef>
              <c:f>УФО!$B$119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УФО!$C$116:$R$116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УФО!$C$119:$R$119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0.56475323807289735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B-4F9A-84D8-55F2259EB1E1}"/>
            </c:ext>
          </c:extLst>
        </c:ser>
        <c:ser>
          <c:idx val="3"/>
          <c:order val="3"/>
          <c:tx>
            <c:strRef>
              <c:f>УФО!$B$120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УФО!$C$116:$R$116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УФО!$C$120:$R$120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0.37041756640808227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B-4F9A-84D8-55F2259E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5600"/>
        <c:axId val="613322160"/>
      </c:lineChart>
      <c:catAx>
        <c:axId val="6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322160"/>
        <c:crosses val="autoZero"/>
        <c:auto val="1"/>
        <c:lblAlgn val="ctr"/>
        <c:lblOffset val="100"/>
        <c:noMultiLvlLbl val="0"/>
      </c:catAx>
      <c:valAx>
        <c:axId val="61332216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Жилье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УФО!$B$136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УФО!$C$135:$R$135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0.42327764623707104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4-47C4-BCC4-815231AD17BC}"/>
            </c:ext>
          </c:extLst>
        </c:ser>
        <c:ser>
          <c:idx val="1"/>
          <c:order val="1"/>
          <c:tx>
            <c:strRef>
              <c:f>УФО!$B$137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УФО!$C$135:$R$135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0.49972478964388545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4-47C4-BCC4-815231AD17BC}"/>
            </c:ext>
          </c:extLst>
        </c:ser>
        <c:ser>
          <c:idx val="2"/>
          <c:order val="2"/>
          <c:tx>
            <c:strRef>
              <c:f>УФО!$B$138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УФО!$C$135:$R$135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0.5095596616691026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4-47C4-BCC4-815231AD17BC}"/>
            </c:ext>
          </c:extLst>
        </c:ser>
        <c:ser>
          <c:idx val="3"/>
          <c:order val="3"/>
          <c:tx>
            <c:strRef>
              <c:f>УФО!$B$139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УФО!$C$135:$R$135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0.46893477256648497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4-47C4-BCC4-815231AD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03664"/>
        <c:axId val="523508912"/>
      </c:lineChart>
      <c:catAx>
        <c:axId val="5235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508912"/>
        <c:crosses val="autoZero"/>
        <c:auto val="1"/>
        <c:lblAlgn val="ctr"/>
        <c:lblOffset val="100"/>
        <c:noMultiLvlLbl val="0"/>
      </c:catAx>
      <c:valAx>
        <c:axId val="52350891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5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13896724699506"/>
          <c:y val="6.6225773502450111E-2"/>
          <c:w val="0.40413494885500711"/>
          <c:h val="0.7142302587428595"/>
        </c:manualLayout>
      </c:layout>
      <c:radarChart>
        <c:radarStyle val="marker"/>
        <c:varyColors val="0"/>
        <c:ser>
          <c:idx val="0"/>
          <c:order val="0"/>
          <c:tx>
            <c:strRef>
              <c:f>СФО!$C$1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СФО!$C$2:$C$13</c:f>
              <c:numCache>
                <c:formatCode>0.0000</c:formatCode>
                <c:ptCount val="12"/>
                <c:pt idx="0">
                  <c:v>0.5438949157765095</c:v>
                </c:pt>
                <c:pt idx="1">
                  <c:v>0.42838860824695929</c:v>
                </c:pt>
                <c:pt idx="2">
                  <c:v>0.3152362801112597</c:v>
                </c:pt>
                <c:pt idx="3">
                  <c:v>0.36481467102617299</c:v>
                </c:pt>
                <c:pt idx="4">
                  <c:v>0.54612191867746185</c:v>
                </c:pt>
                <c:pt idx="5">
                  <c:v>0.41239923397671013</c:v>
                </c:pt>
                <c:pt idx="6">
                  <c:v>0.67615229438742752</c:v>
                </c:pt>
                <c:pt idx="7">
                  <c:v>0.67389937514806764</c:v>
                </c:pt>
                <c:pt idx="8">
                  <c:v>0.36056076720936958</c:v>
                </c:pt>
                <c:pt idx="9">
                  <c:v>0.52489903545211714</c:v>
                </c:pt>
                <c:pt idx="10">
                  <c:v>0.7093465283144198</c:v>
                </c:pt>
                <c:pt idx="11">
                  <c:v>0.6901440554350956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4-4452-90F4-6AD267D488F5}"/>
            </c:ext>
          </c:extLst>
        </c:ser>
        <c:ser>
          <c:idx val="1"/>
          <c:order val="1"/>
          <c:tx>
            <c:strRef>
              <c:f>СФО!$D$1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СФО!$D$2:$D$13</c:f>
              <c:numCache>
                <c:formatCode>0.0000</c:formatCode>
                <c:ptCount val="12"/>
                <c:pt idx="0">
                  <c:v>0.48637102965052875</c:v>
                </c:pt>
                <c:pt idx="1">
                  <c:v>0.67892218510543834</c:v>
                </c:pt>
                <c:pt idx="2">
                  <c:v>0.66333285191769298</c:v>
                </c:pt>
                <c:pt idx="3">
                  <c:v>0.70080843684898875</c:v>
                </c:pt>
                <c:pt idx="4">
                  <c:v>0.71118423260312047</c:v>
                </c:pt>
                <c:pt idx="5">
                  <c:v>0.69088961907705981</c:v>
                </c:pt>
                <c:pt idx="6">
                  <c:v>0.78778076024498778</c:v>
                </c:pt>
                <c:pt idx="7">
                  <c:v>0.73572513430419928</c:v>
                </c:pt>
                <c:pt idx="8">
                  <c:v>0.70474395063733453</c:v>
                </c:pt>
                <c:pt idx="9">
                  <c:v>0.815536485165551</c:v>
                </c:pt>
                <c:pt idx="10">
                  <c:v>0.75143459846658012</c:v>
                </c:pt>
                <c:pt idx="11">
                  <c:v>0.75186438095204444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4-4452-90F4-6AD267D488F5}"/>
            </c:ext>
          </c:extLst>
        </c:ser>
        <c:ser>
          <c:idx val="2"/>
          <c:order val="2"/>
          <c:tx>
            <c:strRef>
              <c:f>СФО!$E$1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СФО!$E$2:$E$13</c:f>
              <c:numCache>
                <c:formatCode>0.0000</c:formatCode>
                <c:ptCount val="12"/>
                <c:pt idx="0">
                  <c:v>9.8659673879452695E-2</c:v>
                </c:pt>
                <c:pt idx="1">
                  <c:v>0.17421919649137263</c:v>
                </c:pt>
                <c:pt idx="2">
                  <c:v>2.8819124875972078E-2</c:v>
                </c:pt>
                <c:pt idx="3">
                  <c:v>0.24546919487775695</c:v>
                </c:pt>
                <c:pt idx="4">
                  <c:v>0.32266269196477743</c:v>
                </c:pt>
                <c:pt idx="5">
                  <c:v>0.25856336334104485</c:v>
                </c:pt>
                <c:pt idx="6">
                  <c:v>0.4217613518743486</c:v>
                </c:pt>
                <c:pt idx="7">
                  <c:v>0.47511603240966932</c:v>
                </c:pt>
                <c:pt idx="8">
                  <c:v>0.3955894830308217</c:v>
                </c:pt>
                <c:pt idx="9">
                  <c:v>0.51516209418278225</c:v>
                </c:pt>
                <c:pt idx="10">
                  <c:v>0.37667089260959397</c:v>
                </c:pt>
                <c:pt idx="11">
                  <c:v>0.45253539727914521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4-4452-90F4-6AD267D4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4384"/>
        <c:axId val="92145920"/>
      </c:radarChart>
      <c:catAx>
        <c:axId val="921443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2145920"/>
        <c:crosses val="autoZero"/>
        <c:auto val="1"/>
        <c:lblAlgn val="ctr"/>
        <c:lblOffset val="100"/>
        <c:noMultiLvlLbl val="0"/>
      </c:catAx>
      <c:valAx>
        <c:axId val="921459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2144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Финансы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ЦФО!$B$86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ЦФО!$C$86:$R$86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0.54288209637287954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342-BA71-DEC03EC2D16E}"/>
            </c:ext>
          </c:extLst>
        </c:ser>
        <c:ser>
          <c:idx val="1"/>
          <c:order val="1"/>
          <c:tx>
            <c:strRef>
              <c:f>ЦФО!$B$87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ЦФО!$C$87:$R$87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0.50292317916731966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C-4342-BA71-DEC03EC2D16E}"/>
            </c:ext>
          </c:extLst>
        </c:ser>
        <c:ser>
          <c:idx val="2"/>
          <c:order val="2"/>
          <c:tx>
            <c:strRef>
              <c:f>ЦФО!$B$88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ЦФО!$C$88:$R$88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0.58712800150045774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C-4342-BA71-DEC03EC2D16E}"/>
            </c:ext>
          </c:extLst>
        </c:ser>
        <c:ser>
          <c:idx val="3"/>
          <c:order val="3"/>
          <c:tx>
            <c:strRef>
              <c:f>ЦФО!$B$89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ЦФО!$C$89:$R$89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0.5854009179540306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C-4342-BA71-DEC03EC2D16E}"/>
            </c:ext>
          </c:extLst>
        </c:ser>
        <c:ser>
          <c:idx val="4"/>
          <c:order val="4"/>
          <c:tx>
            <c:strRef>
              <c:f>ЦФО!$B$90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ЦФО!$C$90:$R$90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0.5376647892732177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BC-4342-BA71-DEC03EC2D16E}"/>
            </c:ext>
          </c:extLst>
        </c:ser>
        <c:ser>
          <c:idx val="5"/>
          <c:order val="5"/>
          <c:tx>
            <c:strRef>
              <c:f>ЦФО!$B$91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ЦФО!$C$91:$R$91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0.66607461098108856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BC-4342-BA71-DEC03EC2D16E}"/>
            </c:ext>
          </c:extLst>
        </c:ser>
        <c:ser>
          <c:idx val="6"/>
          <c:order val="6"/>
          <c:tx>
            <c:strRef>
              <c:f>ЦФО!$B$92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ЦФО!$C$92:$R$92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0.58807578881150635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BC-4342-BA71-DEC03EC2D16E}"/>
            </c:ext>
          </c:extLst>
        </c:ser>
        <c:ser>
          <c:idx val="7"/>
          <c:order val="7"/>
          <c:tx>
            <c:strRef>
              <c:f>ЦФО!$B$93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ЦФО!$C$93:$R$93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0.51978623044410799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BC-4342-BA71-DEC03EC2D16E}"/>
            </c:ext>
          </c:extLst>
        </c:ser>
        <c:ser>
          <c:idx val="8"/>
          <c:order val="8"/>
          <c:tx>
            <c:strRef>
              <c:f>ЦФО!$B$94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ЦФО!$C$94:$R$94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0.49837400788806918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BC-4342-BA71-DEC03EC2D16E}"/>
            </c:ext>
          </c:extLst>
        </c:ser>
        <c:ser>
          <c:idx val="9"/>
          <c:order val="9"/>
          <c:tx>
            <c:strRef>
              <c:f>ЦФО!$B$95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ЦФО!$C$95:$R$95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0.6959608199870625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BC-4342-BA71-DEC03EC2D16E}"/>
            </c:ext>
          </c:extLst>
        </c:ser>
        <c:ser>
          <c:idx val="10"/>
          <c:order val="10"/>
          <c:tx>
            <c:strRef>
              <c:f>ЦФО!$B$96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ЦФО!$C$96:$R$96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0.53670868672685434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BC-4342-BA71-DEC03EC2D16E}"/>
            </c:ext>
          </c:extLst>
        </c:ser>
        <c:ser>
          <c:idx val="11"/>
          <c:order val="11"/>
          <c:tx>
            <c:strRef>
              <c:f>ЦФО!$B$97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ЦФО!$C$97:$R$97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0.6641801579103449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BC-4342-BA71-DEC03EC2D16E}"/>
            </c:ext>
          </c:extLst>
        </c:ser>
        <c:ser>
          <c:idx val="12"/>
          <c:order val="12"/>
          <c:tx>
            <c:strRef>
              <c:f>ЦФО!$B$98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ЦФО!$C$98:$R$98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0.56642946918381443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BC-4342-BA71-DEC03EC2D16E}"/>
            </c:ext>
          </c:extLst>
        </c:ser>
        <c:ser>
          <c:idx val="13"/>
          <c:order val="13"/>
          <c:tx>
            <c:strRef>
              <c:f>ЦФО!$B$99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ЦФО!$C$99:$R$99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0.47847945915184553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BC-4342-BA71-DEC03EC2D16E}"/>
            </c:ext>
          </c:extLst>
        </c:ser>
        <c:ser>
          <c:idx val="14"/>
          <c:order val="14"/>
          <c:tx>
            <c:strRef>
              <c:f>ЦФО!$B$100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ЦФО!$C$100:$R$100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0.58210623990823518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BC-4342-BA71-DEC03EC2D16E}"/>
            </c:ext>
          </c:extLst>
        </c:ser>
        <c:ser>
          <c:idx val="15"/>
          <c:order val="15"/>
          <c:tx>
            <c:strRef>
              <c:f>ЦФО!$B$101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ЦФО!$C$101:$R$101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0.58216072900123172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BC-4342-BA71-DEC03EC2D16E}"/>
            </c:ext>
          </c:extLst>
        </c:ser>
        <c:ser>
          <c:idx val="16"/>
          <c:order val="16"/>
          <c:tx>
            <c:strRef>
              <c:f>ЦФО!$B$102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ЦФО!$C$102:$R$102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0.63353421508030161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BC-4342-BA71-DEC03EC2D16E}"/>
            </c:ext>
          </c:extLst>
        </c:ser>
        <c:ser>
          <c:idx val="17"/>
          <c:order val="17"/>
          <c:tx>
            <c:strRef>
              <c:f>ЦФО!$B$103</c:f>
              <c:strCache>
                <c:ptCount val="1"/>
                <c:pt idx="0">
                  <c:v>г. Москва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ЦФО!$C$85:$R$85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ЦФО!$C$103:$R$103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0.80372667016276733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BC-4342-BA71-DEC03EC2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04056"/>
        <c:axId val="488694544"/>
      </c:lineChart>
      <c:catAx>
        <c:axId val="48870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694544"/>
        <c:crosses val="autoZero"/>
        <c:auto val="1"/>
        <c:lblAlgn val="ctr"/>
        <c:lblOffset val="100"/>
        <c:noMultiLvlLbl val="0"/>
      </c:catAx>
      <c:valAx>
        <c:axId val="48869454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0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620874330000487"/>
          <c:h val="0.66818632519419929"/>
        </c:manualLayout>
      </c:layout>
      <c:radarChart>
        <c:radarStyle val="marker"/>
        <c:varyColors val="0"/>
        <c:ser>
          <c:idx val="0"/>
          <c:order val="0"/>
          <c:tx>
            <c:strRef>
              <c:f>СФО!$C$17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cat>
            <c:strRef>
              <c:f>СФО!$B$18:$B$29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СФО!$C$18:$C$29</c:f>
              <c:numCache>
                <c:formatCode>0.0000</c:formatCode>
                <c:ptCount val="12"/>
                <c:pt idx="0">
                  <c:v>4.355334099593218E-2</c:v>
                </c:pt>
                <c:pt idx="1">
                  <c:v>0.12844645698535886</c:v>
                </c:pt>
                <c:pt idx="2">
                  <c:v>0.26858455984405383</c:v>
                </c:pt>
                <c:pt idx="3">
                  <c:v>4.2978832844356704E-2</c:v>
                </c:pt>
                <c:pt idx="4">
                  <c:v>0.54099837433497144</c:v>
                </c:pt>
                <c:pt idx="5">
                  <c:v>5.33789150690007E-2</c:v>
                </c:pt>
                <c:pt idx="6">
                  <c:v>0.16886689818185602</c:v>
                </c:pt>
                <c:pt idx="7">
                  <c:v>0.37635826819710333</c:v>
                </c:pt>
                <c:pt idx="8">
                  <c:v>0.15023347886231864</c:v>
                </c:pt>
                <c:pt idx="9">
                  <c:v>0.22345361170963121</c:v>
                </c:pt>
                <c:pt idx="10">
                  <c:v>0.32076090409205005</c:v>
                </c:pt>
                <c:pt idx="11">
                  <c:v>0.61470692027411944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1-49DB-A126-E066E8F3C1A9}"/>
            </c:ext>
          </c:extLst>
        </c:ser>
        <c:ser>
          <c:idx val="1"/>
          <c:order val="1"/>
          <c:tx>
            <c:strRef>
              <c:f>СФО!$D$17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cat>
            <c:strRef>
              <c:f>СФО!$B$18:$B$29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СФО!$D$18:$D$29</c:f>
              <c:numCache>
                <c:formatCode>0.0000</c:formatCode>
                <c:ptCount val="12"/>
                <c:pt idx="0">
                  <c:v>0.38092274733665371</c:v>
                </c:pt>
                <c:pt idx="1">
                  <c:v>0.54128064739425741</c:v>
                </c:pt>
                <c:pt idx="2">
                  <c:v>0.38154329771561485</c:v>
                </c:pt>
                <c:pt idx="3">
                  <c:v>2.7494431689929281E-24</c:v>
                </c:pt>
                <c:pt idx="4">
                  <c:v>0.33958464854877718</c:v>
                </c:pt>
                <c:pt idx="5">
                  <c:v>1.7632043614509959E-6</c:v>
                </c:pt>
                <c:pt idx="6">
                  <c:v>0.29459602970412097</c:v>
                </c:pt>
                <c:pt idx="7">
                  <c:v>0.28231848759765704</c:v>
                </c:pt>
                <c:pt idx="8">
                  <c:v>0.34017469478369383</c:v>
                </c:pt>
                <c:pt idx="9">
                  <c:v>0.20724867037355052</c:v>
                </c:pt>
                <c:pt idx="10">
                  <c:v>0.20114849619295719</c:v>
                </c:pt>
                <c:pt idx="11">
                  <c:v>0.34993613004744389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1-49DB-A126-E066E8F3C1A9}"/>
            </c:ext>
          </c:extLst>
        </c:ser>
        <c:ser>
          <c:idx val="2"/>
          <c:order val="2"/>
          <c:tx>
            <c:strRef>
              <c:f>СФО!$E$17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cat>
            <c:strRef>
              <c:f>СФО!$B$18:$B$29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СФО!$E$18:$E$29</c:f>
              <c:numCache>
                <c:formatCode>0.0000</c:formatCode>
                <c:ptCount val="12"/>
                <c:pt idx="0">
                  <c:v>1.1424576571225375E-2</c:v>
                </c:pt>
                <c:pt idx="1">
                  <c:v>6.4718993227976887E-5</c:v>
                </c:pt>
                <c:pt idx="2">
                  <c:v>4.7531719719767182E-68</c:v>
                </c:pt>
                <c:pt idx="3">
                  <c:v>9.6491126758053042E-78</c:v>
                </c:pt>
                <c:pt idx="4">
                  <c:v>1.4382893080301259E-3</c:v>
                </c:pt>
                <c:pt idx="5">
                  <c:v>2.2944315638719227E-44</c:v>
                </c:pt>
                <c:pt idx="6">
                  <c:v>2.2419473805057377E-2</c:v>
                </c:pt>
                <c:pt idx="7">
                  <c:v>1.1433512770244436E-11</c:v>
                </c:pt>
                <c:pt idx="8">
                  <c:v>5.3500616298355328E-4</c:v>
                </c:pt>
                <c:pt idx="9">
                  <c:v>7.5778312492592393E-3</c:v>
                </c:pt>
                <c:pt idx="10">
                  <c:v>0.25334342003366633</c:v>
                </c:pt>
                <c:pt idx="11">
                  <c:v>2.4005539214850529E-3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1-49DB-A126-E066E8F3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4304"/>
        <c:axId val="92195840"/>
      </c:radarChart>
      <c:catAx>
        <c:axId val="921943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2195840"/>
        <c:crosses val="autoZero"/>
        <c:auto val="1"/>
        <c:lblAlgn val="ctr"/>
        <c:lblOffset val="100"/>
        <c:noMultiLvlLbl val="0"/>
      </c:catAx>
      <c:valAx>
        <c:axId val="9219584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2194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620874330000487"/>
          <c:h val="0.66818632519419929"/>
        </c:manualLayout>
      </c:layout>
      <c:radarChart>
        <c:radarStyle val="marker"/>
        <c:varyColors val="0"/>
        <c:ser>
          <c:idx val="0"/>
          <c:order val="0"/>
          <c:tx>
            <c:strRef>
              <c:f>СФО!$C$37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cat>
            <c:strRef>
              <c:f>СФО!$B$38:$B$49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СФО!$C$38:$C$49</c:f>
              <c:numCache>
                <c:formatCode>0.0000</c:formatCode>
                <c:ptCount val="12"/>
                <c:pt idx="0">
                  <c:v>0.3033223955993602</c:v>
                </c:pt>
                <c:pt idx="1">
                  <c:v>0.44558664288073108</c:v>
                </c:pt>
                <c:pt idx="2">
                  <c:v>0.12256138876608229</c:v>
                </c:pt>
                <c:pt idx="3">
                  <c:v>0.39866125084760279</c:v>
                </c:pt>
                <c:pt idx="4">
                  <c:v>0.34952121282705728</c:v>
                </c:pt>
                <c:pt idx="5">
                  <c:v>0.37526094264230125</c:v>
                </c:pt>
                <c:pt idx="6">
                  <c:v>0.44038683404387813</c:v>
                </c:pt>
                <c:pt idx="7">
                  <c:v>0.37556891416083116</c:v>
                </c:pt>
                <c:pt idx="8">
                  <c:v>0.34815060500338801</c:v>
                </c:pt>
                <c:pt idx="9">
                  <c:v>0.44064353572164688</c:v>
                </c:pt>
                <c:pt idx="10">
                  <c:v>0.4192918495939168</c:v>
                </c:pt>
                <c:pt idx="11">
                  <c:v>0.36990340443761838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3-4612-8E4A-AF58BCAEB2AD}"/>
            </c:ext>
          </c:extLst>
        </c:ser>
        <c:ser>
          <c:idx val="1"/>
          <c:order val="1"/>
          <c:tx>
            <c:strRef>
              <c:f>СФО!$D$37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cat>
            <c:strRef>
              <c:f>СФО!$B$38:$B$49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СФО!$D$38:$D$49</c:f>
              <c:numCache>
                <c:formatCode>0.0000</c:formatCode>
                <c:ptCount val="12"/>
                <c:pt idx="0">
                  <c:v>0.18103508838579949</c:v>
                </c:pt>
                <c:pt idx="1">
                  <c:v>0.46026436530319642</c:v>
                </c:pt>
                <c:pt idx="2">
                  <c:v>5.6703893509851049E-2</c:v>
                </c:pt>
                <c:pt idx="3">
                  <c:v>0.46081265721720432</c:v>
                </c:pt>
                <c:pt idx="4">
                  <c:v>0.12589157457492683</c:v>
                </c:pt>
                <c:pt idx="5">
                  <c:v>0.37999603468529713</c:v>
                </c:pt>
                <c:pt idx="6">
                  <c:v>0.4034524508407023</c:v>
                </c:pt>
                <c:pt idx="7">
                  <c:v>0.23440846772815693</c:v>
                </c:pt>
                <c:pt idx="8">
                  <c:v>0.31130186789555292</c:v>
                </c:pt>
                <c:pt idx="9">
                  <c:v>0.44490416224460033</c:v>
                </c:pt>
                <c:pt idx="10">
                  <c:v>0.37043246982827693</c:v>
                </c:pt>
                <c:pt idx="11">
                  <c:v>0.26963319074181102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3-4612-8E4A-AF58BCAEB2AD}"/>
            </c:ext>
          </c:extLst>
        </c:ser>
        <c:ser>
          <c:idx val="2"/>
          <c:order val="2"/>
          <c:tx>
            <c:strRef>
              <c:f>СФО!$E$37</c:f>
              <c:strCache>
                <c:ptCount val="1"/>
                <c:pt idx="0">
                  <c:v>Объем платных услуг</c:v>
                </c:pt>
              </c:strCache>
            </c:strRef>
          </c:tx>
          <c:cat>
            <c:strRef>
              <c:f>СФО!$B$38:$B$49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СФО!$E$38:$E$49</c:f>
              <c:numCache>
                <c:formatCode>0.0000</c:formatCode>
                <c:ptCount val="12"/>
                <c:pt idx="0">
                  <c:v>0.21691360099887513</c:v>
                </c:pt>
                <c:pt idx="1">
                  <c:v>0.34873858260884716</c:v>
                </c:pt>
                <c:pt idx="2">
                  <c:v>0.10094176505060534</c:v>
                </c:pt>
                <c:pt idx="3">
                  <c:v>0.28616643047387386</c:v>
                </c:pt>
                <c:pt idx="4">
                  <c:v>0.34252389447290704</c:v>
                </c:pt>
                <c:pt idx="5">
                  <c:v>0.36057011480395923</c:v>
                </c:pt>
                <c:pt idx="6">
                  <c:v>0.45600801662370571</c:v>
                </c:pt>
                <c:pt idx="7">
                  <c:v>0.34474734279369823</c:v>
                </c:pt>
                <c:pt idx="8">
                  <c:v>0.37557271554053223</c:v>
                </c:pt>
                <c:pt idx="9">
                  <c:v>0.44552746262164639</c:v>
                </c:pt>
                <c:pt idx="10">
                  <c:v>0.40675580017958723</c:v>
                </c:pt>
                <c:pt idx="11">
                  <c:v>0.39330621706031516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3-4612-8E4A-AF58BCAE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3856"/>
        <c:axId val="92319744"/>
      </c:radarChart>
      <c:catAx>
        <c:axId val="923138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2319744"/>
        <c:crosses val="autoZero"/>
        <c:auto val="1"/>
        <c:lblAlgn val="ctr"/>
        <c:lblOffset val="100"/>
        <c:noMultiLvlLbl val="0"/>
      </c:catAx>
      <c:valAx>
        <c:axId val="9231974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2313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620874330000487"/>
          <c:h val="0.66818632519419929"/>
        </c:manualLayout>
      </c:layout>
      <c:radarChart>
        <c:radarStyle val="marker"/>
        <c:varyColors val="0"/>
        <c:ser>
          <c:idx val="0"/>
          <c:order val="0"/>
          <c:tx>
            <c:strRef>
              <c:f>СФО!$C$58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cat>
            <c:strRef>
              <c:f>СФО!$B$59:$B$70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СФО!$C$59:$C$70</c:f>
              <c:numCache>
                <c:formatCode>0.0000</c:formatCode>
                <c:ptCount val="12"/>
                <c:pt idx="0">
                  <c:v>0.3410449269749391</c:v>
                </c:pt>
                <c:pt idx="1">
                  <c:v>0.21308111459767151</c:v>
                </c:pt>
                <c:pt idx="2">
                  <c:v>0.27583776437995178</c:v>
                </c:pt>
                <c:pt idx="3">
                  <c:v>0.44921752323723491</c:v>
                </c:pt>
                <c:pt idx="4">
                  <c:v>0.29993293689265993</c:v>
                </c:pt>
                <c:pt idx="5">
                  <c:v>7.9315684824483354E-2</c:v>
                </c:pt>
                <c:pt idx="6">
                  <c:v>0.38803991631147611</c:v>
                </c:pt>
                <c:pt idx="7">
                  <c:v>0.39444301322470748</c:v>
                </c:pt>
                <c:pt idx="8">
                  <c:v>0.25092063611730037</c:v>
                </c:pt>
                <c:pt idx="9">
                  <c:v>0.53748457882302991</c:v>
                </c:pt>
                <c:pt idx="10">
                  <c:v>0.2176934168856966</c:v>
                </c:pt>
                <c:pt idx="11">
                  <c:v>0.35860427740246714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3-4D13-BF17-2E0BF7210A90}"/>
            </c:ext>
          </c:extLst>
        </c:ser>
        <c:ser>
          <c:idx val="1"/>
          <c:order val="1"/>
          <c:tx>
            <c:strRef>
              <c:f>СФО!$D$58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cat>
            <c:strRef>
              <c:f>СФО!$B$59:$B$70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СФО!$D$59:$D$70</c:f>
              <c:numCache>
                <c:formatCode>0.0000</c:formatCode>
                <c:ptCount val="12"/>
                <c:pt idx="0">
                  <c:v>0.45162930573483778</c:v>
                </c:pt>
                <c:pt idx="1">
                  <c:v>0.45490473724858332</c:v>
                </c:pt>
                <c:pt idx="2">
                  <c:v>0.29766226616309388</c:v>
                </c:pt>
                <c:pt idx="3">
                  <c:v>0.51742786615868108</c:v>
                </c:pt>
                <c:pt idx="4">
                  <c:v>0.504126503180508</c:v>
                </c:pt>
                <c:pt idx="5">
                  <c:v>0.45162930573483778</c:v>
                </c:pt>
                <c:pt idx="6">
                  <c:v>0.51218930543723784</c:v>
                </c:pt>
                <c:pt idx="7">
                  <c:v>0.51086278633504734</c:v>
                </c:pt>
                <c:pt idx="8">
                  <c:v>0.51086278633504734</c:v>
                </c:pt>
                <c:pt idx="9">
                  <c:v>0.52000729716759797</c:v>
                </c:pt>
                <c:pt idx="10">
                  <c:v>0.51218930543723784</c:v>
                </c:pt>
                <c:pt idx="11">
                  <c:v>0.50818915745547655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3-4D13-BF17-2E0BF7210A90}"/>
            </c:ext>
          </c:extLst>
        </c:ser>
        <c:ser>
          <c:idx val="2"/>
          <c:order val="2"/>
          <c:tx>
            <c:strRef>
              <c:f>СФО!$E$58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cat>
            <c:strRef>
              <c:f>СФО!$B$59:$B$70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СФО!$E$59:$E$70</c:f>
              <c:numCache>
                <c:formatCode>0.0000</c:formatCode>
                <c:ptCount val="12"/>
                <c:pt idx="0">
                  <c:v>0.45192856919555047</c:v>
                </c:pt>
                <c:pt idx="1">
                  <c:v>0.52973154717964765</c:v>
                </c:pt>
                <c:pt idx="2">
                  <c:v>0.45931347703523795</c:v>
                </c:pt>
                <c:pt idx="3">
                  <c:v>0.35187884454383445</c:v>
                </c:pt>
                <c:pt idx="4">
                  <c:v>0.47005161511840921</c:v>
                </c:pt>
                <c:pt idx="5">
                  <c:v>0.49037679516448823</c:v>
                </c:pt>
                <c:pt idx="6">
                  <c:v>0.54336743126302911</c:v>
                </c:pt>
                <c:pt idx="7">
                  <c:v>0.37149857228423716</c:v>
                </c:pt>
                <c:pt idx="8">
                  <c:v>0.44816604806892785</c:v>
                </c:pt>
                <c:pt idx="9">
                  <c:v>0.45192856919555047</c:v>
                </c:pt>
                <c:pt idx="10">
                  <c:v>0.46293735614364523</c:v>
                </c:pt>
                <c:pt idx="11">
                  <c:v>0.44049706175048847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3-4D13-BF17-2E0BF721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7872"/>
        <c:axId val="92381952"/>
      </c:radarChart>
      <c:catAx>
        <c:axId val="923678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2381952"/>
        <c:crosses val="autoZero"/>
        <c:auto val="1"/>
        <c:lblAlgn val="ctr"/>
        <c:lblOffset val="100"/>
        <c:noMultiLvlLbl val="0"/>
      </c:catAx>
      <c:valAx>
        <c:axId val="92381952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2367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Финансы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СФО!$B$81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СФО!$C$81:$R$81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0.37630853976883033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6-44D6-9386-A247AAD86D9C}"/>
            </c:ext>
          </c:extLst>
        </c:ser>
        <c:ser>
          <c:idx val="1"/>
          <c:order val="1"/>
          <c:tx>
            <c:strRef>
              <c:f>СФО!$B$82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СФО!$C$82:$R$82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0.42717666328125675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6-44D6-9386-A247AAD86D9C}"/>
            </c:ext>
          </c:extLst>
        </c:ser>
        <c:ser>
          <c:idx val="2"/>
          <c:order val="2"/>
          <c:tx>
            <c:strRef>
              <c:f>СФО!$B$83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СФО!$C$83:$R$83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0.33579608563497493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6-44D6-9386-A247AAD86D9C}"/>
            </c:ext>
          </c:extLst>
        </c:ser>
        <c:ser>
          <c:idx val="3"/>
          <c:order val="3"/>
          <c:tx>
            <c:strRef>
              <c:f>СФО!$B$84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СФО!$C$84:$R$84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0.4370307675843062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6-44D6-9386-A247AAD86D9C}"/>
            </c:ext>
          </c:extLst>
        </c:ser>
        <c:ser>
          <c:idx val="4"/>
          <c:order val="4"/>
          <c:tx>
            <c:strRef>
              <c:f>СФО!$B$85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СФО!$C$85:$R$85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0.52665628108178664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6-44D6-9386-A247AAD86D9C}"/>
            </c:ext>
          </c:extLst>
        </c:ser>
        <c:ser>
          <c:idx val="5"/>
          <c:order val="5"/>
          <c:tx>
            <c:strRef>
              <c:f>СФО!$B$86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СФО!$C$86:$R$86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0.45395073879827158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6-44D6-9386-A247AAD86D9C}"/>
            </c:ext>
          </c:extLst>
        </c:ser>
        <c:ser>
          <c:idx val="6"/>
          <c:order val="6"/>
          <c:tx>
            <c:strRef>
              <c:f>СФО!$B$87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СФО!$C$87:$R$87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0.6285648021689213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26-44D6-9386-A247AAD86D9C}"/>
            </c:ext>
          </c:extLst>
        </c:ser>
        <c:ser>
          <c:idx val="7"/>
          <c:order val="7"/>
          <c:tx>
            <c:strRef>
              <c:f>СФО!$B$88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СФО!$C$88:$R$88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0.62824684728731206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26-44D6-9386-A247AAD86D9C}"/>
            </c:ext>
          </c:extLst>
        </c:ser>
        <c:ser>
          <c:idx val="8"/>
          <c:order val="8"/>
          <c:tx>
            <c:strRef>
              <c:f>СФО!$B$89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СФО!$C$89:$R$89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0.48696473362584197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26-44D6-9386-A247AAD86D9C}"/>
            </c:ext>
          </c:extLst>
        </c:ser>
        <c:ser>
          <c:idx val="9"/>
          <c:order val="9"/>
          <c:tx>
            <c:strRef>
              <c:f>СФО!$B$90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СФО!$C$90:$R$90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0.61853253826681687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26-44D6-9386-A247AAD86D9C}"/>
            </c:ext>
          </c:extLst>
        </c:ser>
        <c:ser>
          <c:idx val="10"/>
          <c:order val="10"/>
          <c:tx>
            <c:strRef>
              <c:f>СФО!$B$91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СФО!$C$91:$R$91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0.61248400646353129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26-44D6-9386-A247AAD86D9C}"/>
            </c:ext>
          </c:extLst>
        </c:ser>
        <c:ser>
          <c:idx val="11"/>
          <c:order val="11"/>
          <c:tx>
            <c:strRef>
              <c:f>СФО!$B$92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СФО!$C$92:$R$92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0.63151461122209518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26-44D6-9386-A247AAD8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576112"/>
        <c:axId val="490546592"/>
      </c:lineChart>
      <c:catAx>
        <c:axId val="4905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46592"/>
        <c:crosses val="autoZero"/>
        <c:auto val="1"/>
        <c:lblAlgn val="ctr"/>
        <c:lblOffset val="100"/>
        <c:noMultiLvlLbl val="0"/>
      </c:catAx>
      <c:valAx>
        <c:axId val="49054659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Инновации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СФО!$B$110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0.14530022163460374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C-46AB-8F9D-563629B06AF2}"/>
            </c:ext>
          </c:extLst>
        </c:ser>
        <c:ser>
          <c:idx val="1"/>
          <c:order val="1"/>
          <c:tx>
            <c:strRef>
              <c:f>СФО!$B$111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0.22326394112428141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C-46AB-8F9D-563629B06AF2}"/>
            </c:ext>
          </c:extLst>
        </c:ser>
        <c:ser>
          <c:idx val="2"/>
          <c:order val="2"/>
          <c:tx>
            <c:strRef>
              <c:f>СФО!$B$112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0.21670928585322291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C-46AB-8F9D-563629B06AF2}"/>
            </c:ext>
          </c:extLst>
        </c:ser>
        <c:ser>
          <c:idx val="3"/>
          <c:order val="3"/>
          <c:tx>
            <c:strRef>
              <c:f>СФО!$B$113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СФО!$C$113:$R$113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1.4326277614785568E-2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C-46AB-8F9D-563629B06AF2}"/>
            </c:ext>
          </c:extLst>
        </c:ser>
        <c:ser>
          <c:idx val="4"/>
          <c:order val="4"/>
          <c:tx>
            <c:strRef>
              <c:f>СФО!$B$114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СФО!$C$114:$R$114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0.29400710406392622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2C-46AB-8F9D-563629B06AF2}"/>
            </c:ext>
          </c:extLst>
        </c:ser>
        <c:ser>
          <c:idx val="5"/>
          <c:order val="5"/>
          <c:tx>
            <c:strRef>
              <c:f>СФО!$B$115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СФО!$C$115:$R$115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1.7793559424454052E-2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2C-46AB-8F9D-563629B06AF2}"/>
            </c:ext>
          </c:extLst>
        </c:ser>
        <c:ser>
          <c:idx val="6"/>
          <c:order val="6"/>
          <c:tx>
            <c:strRef>
              <c:f>СФО!$B$116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СФО!$C$116:$R$116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0.16196080056367812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2C-46AB-8F9D-563629B06AF2}"/>
            </c:ext>
          </c:extLst>
        </c:ser>
        <c:ser>
          <c:idx val="7"/>
          <c:order val="7"/>
          <c:tx>
            <c:strRef>
              <c:f>СФО!$B$117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СФО!$C$117:$R$117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0.21955891860206464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2C-46AB-8F9D-563629B06AF2}"/>
            </c:ext>
          </c:extLst>
        </c:ser>
        <c:ser>
          <c:idx val="8"/>
          <c:order val="8"/>
          <c:tx>
            <c:strRef>
              <c:f>СФО!$B$118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СФО!$C$118:$R$118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0.16364772660299867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2C-46AB-8F9D-563629B06AF2}"/>
            </c:ext>
          </c:extLst>
        </c:ser>
        <c:ser>
          <c:idx val="9"/>
          <c:order val="9"/>
          <c:tx>
            <c:strRef>
              <c:f>СФО!$B$119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СФО!$C$119:$R$119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0.14609337111081366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2C-46AB-8F9D-563629B06AF2}"/>
            </c:ext>
          </c:extLst>
        </c:ser>
        <c:ser>
          <c:idx val="10"/>
          <c:order val="10"/>
          <c:tx>
            <c:strRef>
              <c:f>СФО!$B$120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СФО!$C$120:$R$120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0.25841760677289116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2C-46AB-8F9D-563629B06AF2}"/>
            </c:ext>
          </c:extLst>
        </c:ser>
        <c:ser>
          <c:idx val="11"/>
          <c:order val="11"/>
          <c:tx>
            <c:strRef>
              <c:f>СФО!$B$121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СФО!$C$109:$R$109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СФО!$C$121:$R$121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0.32234786808101612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2C-46AB-8F9D-563629B0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90160"/>
        <c:axId val="620588192"/>
      </c:lineChart>
      <c:catAx>
        <c:axId val="6205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88192"/>
        <c:crosses val="autoZero"/>
        <c:auto val="1"/>
        <c:lblAlgn val="ctr"/>
        <c:lblOffset val="100"/>
        <c:noMultiLvlLbl val="0"/>
      </c:catAx>
      <c:valAx>
        <c:axId val="62058819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Торговля и услуги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СФО!$B$140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0.2337570283280116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4-4B0A-9088-BC8967B16727}"/>
            </c:ext>
          </c:extLst>
        </c:ser>
        <c:ser>
          <c:idx val="1"/>
          <c:order val="1"/>
          <c:tx>
            <c:strRef>
              <c:f>СФО!$B$141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0.41819653026425824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4-4B0A-9088-BC8967B16727}"/>
            </c:ext>
          </c:extLst>
        </c:ser>
        <c:ser>
          <c:idx val="2"/>
          <c:order val="2"/>
          <c:tx>
            <c:strRef>
              <c:f>СФО!$B$142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9.3402349108846219E-2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4-4B0A-9088-BC8967B16727}"/>
            </c:ext>
          </c:extLst>
        </c:ser>
        <c:ser>
          <c:idx val="3"/>
          <c:order val="3"/>
          <c:tx>
            <c:strRef>
              <c:f>СФО!$B$143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0.38188011284622697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4-4B0A-9088-BC8967B16727}"/>
            </c:ext>
          </c:extLst>
        </c:ser>
        <c:ser>
          <c:idx val="4"/>
          <c:order val="4"/>
          <c:tx>
            <c:strRef>
              <c:f>СФО!$B$144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СФО!$C$144:$R$144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0.27264556062496376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4-4B0A-9088-BC8967B16727}"/>
            </c:ext>
          </c:extLst>
        </c:ser>
        <c:ser>
          <c:idx val="5"/>
          <c:order val="5"/>
          <c:tx>
            <c:strRef>
              <c:f>СФО!$B$145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СФО!$C$145:$R$145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0.37194236404385256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4-4B0A-9088-BC8967B16727}"/>
            </c:ext>
          </c:extLst>
        </c:ser>
        <c:ser>
          <c:idx val="6"/>
          <c:order val="6"/>
          <c:tx>
            <c:strRef>
              <c:f>СФО!$B$146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СФО!$C$146:$R$146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0.43328243383609538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A4-4B0A-9088-BC8967B16727}"/>
            </c:ext>
          </c:extLst>
        </c:ser>
        <c:ser>
          <c:idx val="7"/>
          <c:order val="7"/>
          <c:tx>
            <c:strRef>
              <c:f>СФО!$B$147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СФО!$C$147:$R$147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0.31824157489422877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A4-4B0A-9088-BC8967B16727}"/>
            </c:ext>
          </c:extLst>
        </c:ser>
        <c:ser>
          <c:idx val="8"/>
          <c:order val="8"/>
          <c:tx>
            <c:strRef>
              <c:f>СФО!$B$148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СФО!$C$148:$R$148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0.34500839614649109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A4-4B0A-9088-BC8967B16727}"/>
            </c:ext>
          </c:extLst>
        </c:ser>
        <c:ser>
          <c:idx val="9"/>
          <c:order val="9"/>
          <c:tx>
            <c:strRef>
              <c:f>СФО!$B$149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СФО!$C$149:$R$149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0.44369172019596453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A4-4B0A-9088-BC8967B16727}"/>
            </c:ext>
          </c:extLst>
        </c:ser>
        <c:ser>
          <c:idx val="10"/>
          <c:order val="10"/>
          <c:tx>
            <c:strRef>
              <c:f>СФО!$B$150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СФО!$C$150:$R$150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0.39882670653392699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A4-4B0A-9088-BC8967B16727}"/>
            </c:ext>
          </c:extLst>
        </c:ser>
        <c:ser>
          <c:idx val="11"/>
          <c:order val="11"/>
          <c:tx>
            <c:strRef>
              <c:f>СФО!$B$151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СФО!$C$139:$R$139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СФО!$C$151:$R$151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0.34428093741324822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A4-4B0A-9088-BC8967B16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61984"/>
        <c:axId val="628768216"/>
      </c:lineChart>
      <c:catAx>
        <c:axId val="6287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768216"/>
        <c:crosses val="autoZero"/>
        <c:auto val="1"/>
        <c:lblAlgn val="ctr"/>
        <c:lblOffset val="100"/>
        <c:noMultiLvlLbl val="0"/>
      </c:catAx>
      <c:valAx>
        <c:axId val="62876821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7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Жилье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СФО!$B$167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СФО!$C$167:$R$167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0.41486760063510913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4-4C25-9328-51B80D59098F}"/>
            </c:ext>
          </c:extLst>
        </c:ser>
        <c:ser>
          <c:idx val="1"/>
          <c:order val="1"/>
          <c:tx>
            <c:strRef>
              <c:f>СФО!$B$168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СФО!$C$168:$R$168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0.39923913300863417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4-4C25-9328-51B80D59098F}"/>
            </c:ext>
          </c:extLst>
        </c:ser>
        <c:ser>
          <c:idx val="2"/>
          <c:order val="2"/>
          <c:tx>
            <c:strRef>
              <c:f>СФО!$B$169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СФО!$C$169:$R$169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0.34427116919276118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4-4C25-9328-51B80D59098F}"/>
            </c:ext>
          </c:extLst>
        </c:ser>
        <c:ser>
          <c:idx val="3"/>
          <c:order val="3"/>
          <c:tx>
            <c:strRef>
              <c:f>СФО!$B$170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СФО!$C$170:$R$170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0.43950807797991676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4-4C25-9328-51B80D59098F}"/>
            </c:ext>
          </c:extLst>
        </c:ser>
        <c:ser>
          <c:idx val="4"/>
          <c:order val="4"/>
          <c:tx>
            <c:strRef>
              <c:f>СФО!$B$171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СФО!$C$171:$R$171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0.42470368506385903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34-4C25-9328-51B80D59098F}"/>
            </c:ext>
          </c:extLst>
        </c:ser>
        <c:ser>
          <c:idx val="5"/>
          <c:order val="5"/>
          <c:tx>
            <c:strRef>
              <c:f>СФО!$B$172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СФО!$C$172:$R$172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0.34044059524126974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34-4C25-9328-51B80D59098F}"/>
            </c:ext>
          </c:extLst>
        </c:ser>
        <c:ser>
          <c:idx val="6"/>
          <c:order val="6"/>
          <c:tx>
            <c:strRef>
              <c:f>СФО!$B$173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СФО!$C$173:$R$173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0.48119888433724772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34-4C25-9328-51B80D59098F}"/>
            </c:ext>
          </c:extLst>
        </c:ser>
        <c:ser>
          <c:idx val="7"/>
          <c:order val="7"/>
          <c:tx>
            <c:strRef>
              <c:f>СФО!$B$174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СФО!$C$174:$R$174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0.4256014572813307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34-4C25-9328-51B80D59098F}"/>
            </c:ext>
          </c:extLst>
        </c:ser>
        <c:ser>
          <c:idx val="8"/>
          <c:order val="8"/>
          <c:tx>
            <c:strRef>
              <c:f>СФО!$B$175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0.40331649017375848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34-4C25-9328-51B80D59098F}"/>
            </c:ext>
          </c:extLst>
        </c:ser>
        <c:ser>
          <c:idx val="9"/>
          <c:order val="9"/>
          <c:tx>
            <c:strRef>
              <c:f>СФО!$B$176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0.50314014839539267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34-4C25-9328-51B80D59098F}"/>
            </c:ext>
          </c:extLst>
        </c:ser>
        <c:ser>
          <c:idx val="10"/>
          <c:order val="10"/>
          <c:tx>
            <c:strRef>
              <c:f>СФО!$B$177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0.39760669282219324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34-4C25-9328-51B80D59098F}"/>
            </c:ext>
          </c:extLst>
        </c:ser>
        <c:ser>
          <c:idx val="11"/>
          <c:order val="11"/>
          <c:tx>
            <c:strRef>
              <c:f>СФО!$B$178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СФО!$C$166:$R$166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СФО!$C$178:$R$178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0.43576349886947741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34-4C25-9328-51B80D59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44408"/>
        <c:axId val="489995864"/>
      </c:lineChart>
      <c:catAx>
        <c:axId val="49004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95864"/>
        <c:crosses val="autoZero"/>
        <c:auto val="1"/>
        <c:lblAlgn val="ctr"/>
        <c:lblOffset val="100"/>
        <c:noMultiLvlLbl val="0"/>
      </c:catAx>
      <c:valAx>
        <c:axId val="48999586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04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620874330000487"/>
          <c:h val="0.66818632519419929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ДФО!$C$2:$C$10</c:f>
              <c:numCache>
                <c:formatCode>0.0000</c:formatCode>
                <c:ptCount val="9"/>
                <c:pt idx="0">
                  <c:v>0.58373695975035977</c:v>
                </c:pt>
                <c:pt idx="1">
                  <c:v>0.50116381674418253</c:v>
                </c:pt>
                <c:pt idx="2">
                  <c:v>0.47640525958045526</c:v>
                </c:pt>
                <c:pt idx="3">
                  <c:v>0.60970405767289793</c:v>
                </c:pt>
                <c:pt idx="4">
                  <c:v>0.22683447724182354</c:v>
                </c:pt>
                <c:pt idx="5">
                  <c:v>0.41824417447925583</c:v>
                </c:pt>
                <c:pt idx="6">
                  <c:v>0.66848575307621239</c:v>
                </c:pt>
                <c:pt idx="7">
                  <c:v>0.45646271626319562</c:v>
                </c:pt>
                <c:pt idx="8">
                  <c:v>0.65216914017184213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831-8C42-8E55DF56DC97}"/>
            </c:ext>
          </c:extLst>
        </c:ser>
        <c:ser>
          <c:idx val="1"/>
          <c:order val="1"/>
          <c:tx>
            <c:strRef>
              <c:f>ДФО!$D$1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ДФО!$D$2:$D$10</c:f>
              <c:numCache>
                <c:formatCode>0.0000</c:formatCode>
                <c:ptCount val="9"/>
                <c:pt idx="0">
                  <c:v>0.84810505863106855</c:v>
                </c:pt>
                <c:pt idx="1">
                  <c:v>0.81245665183170046</c:v>
                </c:pt>
                <c:pt idx="2">
                  <c:v>0.79064502271023984</c:v>
                </c:pt>
                <c:pt idx="3">
                  <c:v>0.80904798310504289</c:v>
                </c:pt>
                <c:pt idx="4">
                  <c:v>0.78157802042743452</c:v>
                </c:pt>
                <c:pt idx="5">
                  <c:v>0.86228265818099303</c:v>
                </c:pt>
                <c:pt idx="6">
                  <c:v>0.84219449821520143</c:v>
                </c:pt>
                <c:pt idx="7">
                  <c:v>0.65466387998229059</c:v>
                </c:pt>
                <c:pt idx="8">
                  <c:v>0.85632309837563036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831-8C42-8E55DF56DC97}"/>
            </c:ext>
          </c:extLst>
        </c:ser>
        <c:ser>
          <c:idx val="2"/>
          <c:order val="2"/>
          <c:tx>
            <c:strRef>
              <c:f>ДФО!$E$1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ДФО!$E$2:$E$10</c:f>
              <c:numCache>
                <c:formatCode>0.0000</c:formatCode>
                <c:ptCount val="9"/>
                <c:pt idx="0">
                  <c:v>0.45561935793518826</c:v>
                </c:pt>
                <c:pt idx="1">
                  <c:v>0.67670349823361586</c:v>
                </c:pt>
                <c:pt idx="2">
                  <c:v>0.5593460806254178</c:v>
                </c:pt>
                <c:pt idx="3">
                  <c:v>0.5679348229302803</c:v>
                </c:pt>
                <c:pt idx="4">
                  <c:v>0.45995837888527519</c:v>
                </c:pt>
                <c:pt idx="5">
                  <c:v>0.76309277687832766</c:v>
                </c:pt>
                <c:pt idx="6">
                  <c:v>0.72599039307363999</c:v>
                </c:pt>
                <c:pt idx="7">
                  <c:v>0.31011408610964364</c:v>
                </c:pt>
                <c:pt idx="8">
                  <c:v>0.64283741766663793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831-8C42-8E55DF56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2208"/>
        <c:axId val="93192192"/>
      </c:radarChart>
      <c:catAx>
        <c:axId val="9318220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3192192"/>
        <c:crosses val="autoZero"/>
        <c:auto val="1"/>
        <c:lblAlgn val="ctr"/>
        <c:lblOffset val="100"/>
        <c:noMultiLvlLbl val="0"/>
      </c:catAx>
      <c:valAx>
        <c:axId val="93192192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3182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620874330000487"/>
          <c:h val="0.66818632519419929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ДФО!$C$16</c:f>
              <c:strCache>
                <c:ptCount val="1"/>
                <c:pt idx="0">
                  <c:v>Инновационная активность</c:v>
                </c:pt>
              </c:strCache>
            </c:strRef>
          </c:tx>
          <c:cat>
            <c:strRef>
              <c:f>ДФО!$B$17:$B$25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ДФО!$C$17:$C$25</c:f>
              <c:numCache>
                <c:formatCode>0.0000</c:formatCode>
                <c:ptCount val="9"/>
                <c:pt idx="0">
                  <c:v>0.24949790057946908</c:v>
                </c:pt>
                <c:pt idx="1">
                  <c:v>0.39213580643425988</c:v>
                </c:pt>
                <c:pt idx="2">
                  <c:v>0.18766179779329176</c:v>
                </c:pt>
                <c:pt idx="3">
                  <c:v>0.13112053191537931</c:v>
                </c:pt>
                <c:pt idx="4">
                  <c:v>0.16612542869735017</c:v>
                </c:pt>
                <c:pt idx="5">
                  <c:v>0.28149520759593444</c:v>
                </c:pt>
                <c:pt idx="6">
                  <c:v>8.3320037691214002E-2</c:v>
                </c:pt>
                <c:pt idx="7">
                  <c:v>0.11384980785589069</c:v>
                </c:pt>
                <c:pt idx="8">
                  <c:v>0.1665229704045661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3-477E-B6BD-20901A17F51B}"/>
            </c:ext>
          </c:extLst>
        </c:ser>
        <c:ser>
          <c:idx val="1"/>
          <c:order val="1"/>
          <c:tx>
            <c:strRef>
              <c:f>ДФО!$D$16</c:f>
              <c:strCache>
                <c:ptCount val="1"/>
                <c:pt idx="0">
                  <c:v>Интенсивность затрат на инновационную деятельность</c:v>
                </c:pt>
              </c:strCache>
            </c:strRef>
          </c:tx>
          <c:cat>
            <c:strRef>
              <c:f>ДФО!$B$17:$B$25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ДФО!$D$17:$D$25</c:f>
              <c:numCache>
                <c:formatCode>0.0000</c:formatCode>
                <c:ptCount val="9"/>
                <c:pt idx="0">
                  <c:v>2.228150456019835E-2</c:v>
                </c:pt>
                <c:pt idx="1">
                  <c:v>0.12064610391288416</c:v>
                </c:pt>
                <c:pt idx="2">
                  <c:v>3.776658922121668E-2</c:v>
                </c:pt>
                <c:pt idx="3">
                  <c:v>0.74879019881215858</c:v>
                </c:pt>
                <c:pt idx="4">
                  <c:v>2.4176305695125079E-3</c:v>
                </c:pt>
                <c:pt idx="5">
                  <c:v>1.1537554301607376E-6</c:v>
                </c:pt>
                <c:pt idx="6">
                  <c:v>0.59487242740220958</c:v>
                </c:pt>
                <c:pt idx="7">
                  <c:v>1.9374651472463054E-2</c:v>
                </c:pt>
                <c:pt idx="8">
                  <c:v>1.0103597305002785E-14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3-477E-B6BD-20901A17F51B}"/>
            </c:ext>
          </c:extLst>
        </c:ser>
        <c:ser>
          <c:idx val="2"/>
          <c:order val="2"/>
          <c:tx>
            <c:strRef>
              <c:f>ДФО!$E$16</c:f>
              <c:strCache>
                <c:ptCount val="1"/>
                <c:pt idx="0">
                  <c:v>Доля инновационной продукции</c:v>
                </c:pt>
              </c:strCache>
            </c:strRef>
          </c:tx>
          <c:cat>
            <c:strRef>
              <c:f>ДФО!$B$17:$B$25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ДФО!$E$17:$E$25</c:f>
              <c:numCache>
                <c:formatCode>0.0000</c:formatCode>
                <c:ptCount val="9"/>
                <c:pt idx="0">
                  <c:v>1.0153721785489467E-9</c:v>
                </c:pt>
                <c:pt idx="1">
                  <c:v>9.7343243619825567E-4</c:v>
                </c:pt>
                <c:pt idx="2">
                  <c:v>4.3063098750426568E-4</c:v>
                </c:pt>
                <c:pt idx="3">
                  <c:v>0.38523112180990476</c:v>
                </c:pt>
                <c:pt idx="4">
                  <c:v>1.1826115459733925E-10</c:v>
                </c:pt>
                <c:pt idx="5">
                  <c:v>2.7061190800195712E-27</c:v>
                </c:pt>
                <c:pt idx="6">
                  <c:v>6.9505858693848999E-11</c:v>
                </c:pt>
                <c:pt idx="7">
                  <c:v>4.1389046043843976E-8</c:v>
                </c:pt>
                <c:pt idx="8">
                  <c:v>5.6799129236739634E-15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3-477E-B6BD-20901A17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7552"/>
        <c:axId val="93233920"/>
      </c:radarChart>
      <c:catAx>
        <c:axId val="932075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3233920"/>
        <c:crosses val="autoZero"/>
        <c:auto val="1"/>
        <c:lblAlgn val="ctr"/>
        <c:lblOffset val="100"/>
        <c:noMultiLvlLbl val="0"/>
      </c:catAx>
      <c:valAx>
        <c:axId val="932339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3207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620874330000487"/>
          <c:h val="0.66818632519419929"/>
        </c:manualLayout>
      </c:layout>
      <c:radarChart>
        <c:radarStyle val="marker"/>
        <c:varyColors val="0"/>
        <c:ser>
          <c:idx val="0"/>
          <c:order val="0"/>
          <c:tx>
            <c:strRef>
              <c:f>ДФО!$C$36</c:f>
              <c:strCache>
                <c:ptCount val="1"/>
                <c:pt idx="0">
                  <c:v>Оборот розничной торговли </c:v>
                </c:pt>
              </c:strCache>
            </c:strRef>
          </c:tx>
          <c:cat>
            <c:strRef>
              <c:f>ДФО!$B$37:$B$45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ДФО!$C$37:$C$45</c:f>
              <c:numCache>
                <c:formatCode>0.0000</c:formatCode>
                <c:ptCount val="9"/>
                <c:pt idx="0">
                  <c:v>0.52512268909837223</c:v>
                </c:pt>
                <c:pt idx="1">
                  <c:v>0.45024787613020578</c:v>
                </c:pt>
                <c:pt idx="2">
                  <c:v>0.49614663879793414</c:v>
                </c:pt>
                <c:pt idx="3">
                  <c:v>0.55937115857555453</c:v>
                </c:pt>
                <c:pt idx="4">
                  <c:v>0.51766462507054678</c:v>
                </c:pt>
                <c:pt idx="5">
                  <c:v>0.51847502095328246</c:v>
                </c:pt>
                <c:pt idx="6">
                  <c:v>0.62088659679141245</c:v>
                </c:pt>
                <c:pt idx="7">
                  <c:v>0.38260858358652627</c:v>
                </c:pt>
                <c:pt idx="8">
                  <c:v>0.47531001761063962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E-4093-A6E9-E17ECADA2A64}"/>
            </c:ext>
          </c:extLst>
        </c:ser>
        <c:ser>
          <c:idx val="1"/>
          <c:order val="1"/>
          <c:tx>
            <c:strRef>
              <c:f>ДФО!$D$36</c:f>
              <c:strCache>
                <c:ptCount val="1"/>
                <c:pt idx="0">
                  <c:v>Оборот общественного питания</c:v>
                </c:pt>
              </c:strCache>
            </c:strRef>
          </c:tx>
          <c:cat>
            <c:strRef>
              <c:f>ДФО!$B$37:$B$45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ДФО!$D$37:$D$45</c:f>
              <c:numCache>
                <c:formatCode>0.0000</c:formatCode>
                <c:ptCount val="9"/>
                <c:pt idx="0">
                  <c:v>0.69605965085033239</c:v>
                </c:pt>
                <c:pt idx="1">
                  <c:v>0.67314456335548833</c:v>
                </c:pt>
                <c:pt idx="2">
                  <c:v>0.33310920651791071</c:v>
                </c:pt>
                <c:pt idx="3">
                  <c:v>0.54168410071169559</c:v>
                </c:pt>
                <c:pt idx="4">
                  <c:v>0.38939376406818926</c:v>
                </c:pt>
                <c:pt idx="5">
                  <c:v>0.67993136329095827</c:v>
                </c:pt>
                <c:pt idx="6">
                  <c:v>0.63397621858727149</c:v>
                </c:pt>
                <c:pt idx="7">
                  <c:v>0.1667214840296849</c:v>
                </c:pt>
                <c:pt idx="8">
                  <c:v>0.78120374363865164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E-4093-A6E9-E17ECADA2A64}"/>
            </c:ext>
          </c:extLst>
        </c:ser>
        <c:ser>
          <c:idx val="2"/>
          <c:order val="2"/>
          <c:tx>
            <c:strRef>
              <c:f>ДФО!$E$36</c:f>
              <c:strCache>
                <c:ptCount val="1"/>
                <c:pt idx="0">
                  <c:v>Объем платных услуг</c:v>
                </c:pt>
              </c:strCache>
            </c:strRef>
          </c:tx>
          <c:cat>
            <c:strRef>
              <c:f>ДФО!$B$37:$B$45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ДФО!$E$37:$E$45</c:f>
              <c:numCache>
                <c:formatCode>0.0000</c:formatCode>
                <c:ptCount val="9"/>
                <c:pt idx="0">
                  <c:v>0.55487983415428654</c:v>
                </c:pt>
                <c:pt idx="1">
                  <c:v>0.61667771114999603</c:v>
                </c:pt>
                <c:pt idx="2">
                  <c:v>0.52978123201577199</c:v>
                </c:pt>
                <c:pt idx="3">
                  <c:v>0.61012498274830307</c:v>
                </c:pt>
                <c:pt idx="4">
                  <c:v>0.47264797694282285</c:v>
                </c:pt>
                <c:pt idx="5">
                  <c:v>0.65263211788278397</c:v>
                </c:pt>
                <c:pt idx="6">
                  <c:v>0.63995331668217426</c:v>
                </c:pt>
                <c:pt idx="7">
                  <c:v>0.43276487509035311</c:v>
                </c:pt>
                <c:pt idx="8">
                  <c:v>0.58265724724950907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E-4093-A6E9-E17ECADA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0880"/>
        <c:axId val="84092416"/>
      </c:radarChart>
      <c:catAx>
        <c:axId val="840908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4092416"/>
        <c:crosses val="autoZero"/>
        <c:auto val="1"/>
        <c:lblAlgn val="ctr"/>
        <c:lblOffset val="100"/>
        <c:noMultiLvlLbl val="0"/>
      </c:catAx>
      <c:valAx>
        <c:axId val="84092416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4090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Инновации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ЦФО!$B$127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ЦФО!$C$127:$R$127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0.3738361227835732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C-49EA-86C4-4D6CF0777931}"/>
            </c:ext>
          </c:extLst>
        </c:ser>
        <c:ser>
          <c:idx val="1"/>
          <c:order val="1"/>
          <c:tx>
            <c:strRef>
              <c:f>ЦФО!$B$128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ЦФО!$C$128:$R$128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0.21513431841542474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C-49EA-86C4-4D6CF0777931}"/>
            </c:ext>
          </c:extLst>
        </c:ser>
        <c:ser>
          <c:idx val="2"/>
          <c:order val="2"/>
          <c:tx>
            <c:strRef>
              <c:f>ЦФО!$B$129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ЦФО!$C$129:$R$129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0.27608907728987958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C-49EA-86C4-4D6CF0777931}"/>
            </c:ext>
          </c:extLst>
        </c:ser>
        <c:ser>
          <c:idx val="3"/>
          <c:order val="3"/>
          <c:tx>
            <c:strRef>
              <c:f>ЦФО!$B$130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0.35446682927419221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C-49EA-86C4-4D6CF0777931}"/>
            </c:ext>
          </c:extLst>
        </c:ser>
        <c:ser>
          <c:idx val="4"/>
          <c:order val="4"/>
          <c:tx>
            <c:strRef>
              <c:f>ЦФО!$B$131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ЦФО!$C$131:$R$131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0.17681925268044418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CC-49EA-86C4-4D6CF0777931}"/>
            </c:ext>
          </c:extLst>
        </c:ser>
        <c:ser>
          <c:idx val="5"/>
          <c:order val="5"/>
          <c:tx>
            <c:strRef>
              <c:f>ЦФО!$B$132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ЦФО!$C$132:$R$132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0.1385419561741594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CC-49EA-86C4-4D6CF0777931}"/>
            </c:ext>
          </c:extLst>
        </c:ser>
        <c:ser>
          <c:idx val="6"/>
          <c:order val="6"/>
          <c:tx>
            <c:strRef>
              <c:f>ЦФО!$B$133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5.6761712161970533E-2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CC-49EA-86C4-4D6CF0777931}"/>
            </c:ext>
          </c:extLst>
        </c:ser>
        <c:ser>
          <c:idx val="7"/>
          <c:order val="7"/>
          <c:tx>
            <c:strRef>
              <c:f>ЦФО!$B$134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8.6671991474946308E-2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CC-49EA-86C4-4D6CF0777931}"/>
            </c:ext>
          </c:extLst>
        </c:ser>
        <c:ser>
          <c:idx val="8"/>
          <c:order val="8"/>
          <c:tx>
            <c:strRef>
              <c:f>ЦФО!$B$135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0.35014052241400795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CC-49EA-86C4-4D6CF0777931}"/>
            </c:ext>
          </c:extLst>
        </c:ser>
        <c:ser>
          <c:idx val="9"/>
          <c:order val="9"/>
          <c:tx>
            <c:strRef>
              <c:f>ЦФО!$B$136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0.35702107000709038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CC-49EA-86C4-4D6CF0777931}"/>
            </c:ext>
          </c:extLst>
        </c:ser>
        <c:ser>
          <c:idx val="10"/>
          <c:order val="10"/>
          <c:tx>
            <c:strRef>
              <c:f>ЦФО!$B$137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0.15184017378346321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CC-49EA-86C4-4D6CF0777931}"/>
            </c:ext>
          </c:extLst>
        </c:ser>
        <c:ser>
          <c:idx val="11"/>
          <c:order val="11"/>
          <c:tx>
            <c:strRef>
              <c:f>ЦФО!$B$138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0.15719122786908793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CC-49EA-86C4-4D6CF0777931}"/>
            </c:ext>
          </c:extLst>
        </c:ser>
        <c:ser>
          <c:idx val="12"/>
          <c:order val="12"/>
          <c:tx>
            <c:strRef>
              <c:f>ЦФО!$B$139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0.10437625815966949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CC-49EA-86C4-4D6CF0777931}"/>
            </c:ext>
          </c:extLst>
        </c:ser>
        <c:ser>
          <c:idx val="13"/>
          <c:order val="13"/>
          <c:tx>
            <c:strRef>
              <c:f>ЦФО!$B$140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0.18694536111558804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CC-49EA-86C4-4D6CF0777931}"/>
            </c:ext>
          </c:extLst>
        </c:ser>
        <c:ser>
          <c:idx val="14"/>
          <c:order val="14"/>
          <c:tx>
            <c:strRef>
              <c:f>ЦФО!$B$141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0.22573983853582535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CC-49EA-86C4-4D6CF0777931}"/>
            </c:ext>
          </c:extLst>
        </c:ser>
        <c:ser>
          <c:idx val="15"/>
          <c:order val="15"/>
          <c:tx>
            <c:strRef>
              <c:f>ЦФО!$B$142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0.4258444189417836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CC-49EA-86C4-4D6CF0777931}"/>
            </c:ext>
          </c:extLst>
        </c:ser>
        <c:ser>
          <c:idx val="16"/>
          <c:order val="16"/>
          <c:tx>
            <c:strRef>
              <c:f>ЦФО!$B$143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0.20292018322393091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CC-49EA-86C4-4D6CF0777931}"/>
            </c:ext>
          </c:extLst>
        </c:ser>
        <c:ser>
          <c:idx val="17"/>
          <c:order val="17"/>
          <c:tx>
            <c:strRef>
              <c:f>ЦФО!$B$144</c:f>
              <c:strCache>
                <c:ptCount val="1"/>
                <c:pt idx="0">
                  <c:v>г. Москва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ЦФО!$C$126:$R$126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ЦФО!$C$144:$R$144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0.2948675894730593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CC-49EA-86C4-4D6CF077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47136"/>
        <c:axId val="500447464"/>
      </c:lineChart>
      <c:catAx>
        <c:axId val="5004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47464"/>
        <c:crosses val="autoZero"/>
        <c:auto val="1"/>
        <c:lblAlgn val="ctr"/>
        <c:lblOffset val="100"/>
        <c:noMultiLvlLbl val="0"/>
      </c:catAx>
      <c:valAx>
        <c:axId val="50044746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4639836687156"/>
          <c:y val="7.6026465132149182E-2"/>
          <c:w val="0.44620874330000487"/>
          <c:h val="0.66818632519419929"/>
        </c:manualLayout>
      </c:layout>
      <c:radarChart>
        <c:radarStyle val="marker"/>
        <c:varyColors val="0"/>
        <c:ser>
          <c:idx val="0"/>
          <c:order val="0"/>
          <c:tx>
            <c:strRef>
              <c:f>ДФО!$C$57</c:f>
              <c:strCache>
                <c:ptCount val="1"/>
                <c:pt idx="0">
                  <c:v>Ввод в действие жилых домов</c:v>
                </c:pt>
              </c:strCache>
            </c:strRef>
          </c:tx>
          <c:cat>
            <c:strRef>
              <c:f>ДФО!$B$58:$B$66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ДФО!$C$58:$C$66</c:f>
              <c:numCache>
                <c:formatCode>0.0000</c:formatCode>
                <c:ptCount val="9"/>
                <c:pt idx="0">
                  <c:v>0.44812748902363209</c:v>
                </c:pt>
                <c:pt idx="1">
                  <c:v>0.13788563964525236</c:v>
                </c:pt>
                <c:pt idx="2">
                  <c:v>0.28602849191334712</c:v>
                </c:pt>
                <c:pt idx="3">
                  <c:v>8.5332303754973873E-2</c:v>
                </c:pt>
                <c:pt idx="4">
                  <c:v>0.11399063270744875</c:v>
                </c:pt>
                <c:pt idx="5">
                  <c:v>1.2422938848011048E-3</c:v>
                </c:pt>
                <c:pt idx="6">
                  <c:v>0.61970739570041888</c:v>
                </c:pt>
                <c:pt idx="7">
                  <c:v>7.7642991965018423E-3</c:v>
                </c:pt>
                <c:pt idx="8">
                  <c:v>1.9788201212326217E-5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6-44CF-9796-AE44EB0EC9ED}"/>
            </c:ext>
          </c:extLst>
        </c:ser>
        <c:ser>
          <c:idx val="1"/>
          <c:order val="1"/>
          <c:tx>
            <c:strRef>
              <c:f>ДФО!$D$57</c:f>
              <c:strCache>
                <c:ptCount val="1"/>
                <c:pt idx="0">
                  <c:v>Площадь жилья на одного жителя</c:v>
                </c:pt>
              </c:strCache>
            </c:strRef>
          </c:tx>
          <c:cat>
            <c:strRef>
              <c:f>ДФО!$B$58:$B$66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ДФО!$D$58:$D$66</c:f>
              <c:numCache>
                <c:formatCode>0.0000</c:formatCode>
                <c:ptCount val="9"/>
                <c:pt idx="0">
                  <c:v>0.47836051388547446</c:v>
                </c:pt>
                <c:pt idx="1">
                  <c:v>0.51742786615868108</c:v>
                </c:pt>
                <c:pt idx="2">
                  <c:v>0.48576597057680293</c:v>
                </c:pt>
                <c:pt idx="3">
                  <c:v>0.49580827356017332</c:v>
                </c:pt>
                <c:pt idx="4">
                  <c:v>0.51350902535438625</c:v>
                </c:pt>
                <c:pt idx="5">
                  <c:v>0.55465395299042941</c:v>
                </c:pt>
                <c:pt idx="6">
                  <c:v>0.53854651288448685</c:v>
                </c:pt>
                <c:pt idx="7">
                  <c:v>0.49011541083617383</c:v>
                </c:pt>
                <c:pt idx="8">
                  <c:v>0.4872234921846178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6-44CF-9796-AE44EB0EC9ED}"/>
            </c:ext>
          </c:extLst>
        </c:ser>
        <c:ser>
          <c:idx val="2"/>
          <c:order val="2"/>
          <c:tx>
            <c:strRef>
              <c:f>ДФО!$E$57</c:f>
              <c:strCache>
                <c:ptCount val="1"/>
                <c:pt idx="0">
                  <c:v>Удельный вес расходов на ЖКХ</c:v>
                </c:pt>
              </c:strCache>
            </c:strRef>
          </c:tx>
          <c:cat>
            <c:strRef>
              <c:f>ДФО!$B$58:$B$66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 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ДФО!$E$58:$E$66</c:f>
              <c:numCache>
                <c:formatCode>0.0000</c:formatCode>
                <c:ptCount val="9"/>
                <c:pt idx="0">
                  <c:v>0.5062272740493825</c:v>
                </c:pt>
                <c:pt idx="1">
                  <c:v>0.53527814533843776</c:v>
                </c:pt>
                <c:pt idx="2">
                  <c:v>0.44049706175048847</c:v>
                </c:pt>
                <c:pt idx="3">
                  <c:v>0.51230956021217355</c:v>
                </c:pt>
                <c:pt idx="4">
                  <c:v>0.4735434224363147</c:v>
                </c:pt>
                <c:pt idx="5">
                  <c:v>0.55626573804824342</c:v>
                </c:pt>
                <c:pt idx="6">
                  <c:v>0.37624481090234912</c:v>
                </c:pt>
                <c:pt idx="7">
                  <c:v>0.40778549174138751</c:v>
                </c:pt>
                <c:pt idx="8">
                  <c:v>0.5152977723760046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6-44CF-9796-AE44EB0E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7760"/>
        <c:axId val="88279296"/>
      </c:radarChart>
      <c:catAx>
        <c:axId val="88277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8279296"/>
        <c:crosses val="autoZero"/>
        <c:auto val="1"/>
        <c:lblAlgn val="ctr"/>
        <c:lblOffset val="100"/>
        <c:noMultiLvlLbl val="0"/>
      </c:catAx>
      <c:valAx>
        <c:axId val="88279296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8277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Финансы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ДФО!$B$81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ДФО!$C$81:$R$81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0.6291537921055389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7-4290-88A9-F6D5883C5FEA}"/>
            </c:ext>
          </c:extLst>
        </c:ser>
        <c:ser>
          <c:idx val="1"/>
          <c:order val="1"/>
          <c:tx>
            <c:strRef>
              <c:f>ДФО!$B$82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ДФО!$C$82:$R$82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0.66344132226983288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4290-88A9-F6D5883C5FEA}"/>
            </c:ext>
          </c:extLst>
        </c:ser>
        <c:ser>
          <c:idx val="2"/>
          <c:order val="2"/>
          <c:tx>
            <c:strRef>
              <c:f>ДФО!$B$83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ДФО!$C$83:$R$83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0.60879878763870432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4290-88A9-F6D5883C5FEA}"/>
            </c:ext>
          </c:extLst>
        </c:ser>
        <c:ser>
          <c:idx val="3"/>
          <c:order val="3"/>
          <c:tx>
            <c:strRef>
              <c:f>ДФО!$B$84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ДФО!$C$84:$R$84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0.662228954569407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4290-88A9-F6D5883C5FEA}"/>
            </c:ext>
          </c:extLst>
        </c:ser>
        <c:ser>
          <c:idx val="4"/>
          <c:order val="4"/>
          <c:tx>
            <c:strRef>
              <c:f>ДФО!$B$85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ДФО!$C$85:$R$85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0.48945695885151114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4290-88A9-F6D5883C5FEA}"/>
            </c:ext>
          </c:extLst>
        </c:ser>
        <c:ser>
          <c:idx val="5"/>
          <c:order val="5"/>
          <c:tx>
            <c:strRef>
              <c:f>ДФО!$B$86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ДФО!$C$86:$R$86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0.6812065365128589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4290-88A9-F6D5883C5FEA}"/>
            </c:ext>
          </c:extLst>
        </c:ser>
        <c:ser>
          <c:idx val="6"/>
          <c:order val="6"/>
          <c:tx>
            <c:strRef>
              <c:f>ДФО!$B$87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ДФО!$C$87:$R$87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0.74555688145501797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D7-4290-88A9-F6D5883C5FEA}"/>
            </c:ext>
          </c:extLst>
        </c:ser>
        <c:ser>
          <c:idx val="7"/>
          <c:order val="7"/>
          <c:tx>
            <c:strRef>
              <c:f>ДФО!$B$88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ДФО!$C$88:$R$88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0.47374689411837662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D7-4290-88A9-F6D5883C5FEA}"/>
            </c:ext>
          </c:extLst>
        </c:ser>
        <c:ser>
          <c:idx val="8"/>
          <c:order val="8"/>
          <c:tx>
            <c:strRef>
              <c:f>ДФО!$B$89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ДФО!$C$80:$R$80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ДФО!$C$89:$R$89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0.71710988540470344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D7-4290-88A9-F6D5883C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51472"/>
        <c:axId val="606352784"/>
      </c:lineChart>
      <c:catAx>
        <c:axId val="606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352784"/>
        <c:crosses val="autoZero"/>
        <c:auto val="1"/>
        <c:lblAlgn val="ctr"/>
        <c:lblOffset val="100"/>
        <c:noMultiLvlLbl val="0"/>
      </c:catAx>
      <c:valAx>
        <c:axId val="60635278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3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Инновации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ДФО!$B$104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ДФО!$C$104:$R$104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9.0593135385013193E-2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53F-AE5C-D1A0585CBB20}"/>
            </c:ext>
          </c:extLst>
        </c:ser>
        <c:ser>
          <c:idx val="1"/>
          <c:order val="1"/>
          <c:tx>
            <c:strRef>
              <c:f>ДФО!$B$105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ДФО!$C$105:$R$105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0.17125178092778079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B-453F-AE5C-D1A0585CBB20}"/>
            </c:ext>
          </c:extLst>
        </c:ser>
        <c:ser>
          <c:idx val="2"/>
          <c:order val="2"/>
          <c:tx>
            <c:strRef>
              <c:f>ДФО!$B$106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ДФО!$C$106:$R$106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7.5286339334004235E-2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B-453F-AE5C-D1A0585CBB20}"/>
            </c:ext>
          </c:extLst>
        </c:ser>
        <c:ser>
          <c:idx val="3"/>
          <c:order val="3"/>
          <c:tx>
            <c:strRef>
              <c:f>ДФО!$B$107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ДФО!$C$107:$R$107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0.42171395084581426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B-453F-AE5C-D1A0585CBB20}"/>
            </c:ext>
          </c:extLst>
        </c:ser>
        <c:ser>
          <c:idx val="4"/>
          <c:order val="4"/>
          <c:tx>
            <c:strRef>
              <c:f>ДФО!$B$108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5.6181019795041275E-2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B-453F-AE5C-D1A0585CBB20}"/>
            </c:ext>
          </c:extLst>
        </c:ser>
        <c:ser>
          <c:idx val="5"/>
          <c:order val="5"/>
          <c:tx>
            <c:strRef>
              <c:f>ДФО!$B$109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9.3832120450454859E-2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8B-453F-AE5C-D1A0585CBB20}"/>
            </c:ext>
          </c:extLst>
        </c:ser>
        <c:ser>
          <c:idx val="6"/>
          <c:order val="6"/>
          <c:tx>
            <c:strRef>
              <c:f>ДФО!$B$110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0.2260641550543098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8B-453F-AE5C-D1A0585CBB20}"/>
            </c:ext>
          </c:extLst>
        </c:ser>
        <c:ser>
          <c:idx val="7"/>
          <c:order val="7"/>
          <c:tx>
            <c:strRef>
              <c:f>ДФО!$B$111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4.4408166905799934E-2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8B-453F-AE5C-D1A0585CBB20}"/>
            </c:ext>
          </c:extLst>
        </c:ser>
        <c:ser>
          <c:idx val="8"/>
          <c:order val="8"/>
          <c:tx>
            <c:strRef>
              <c:f>ДФО!$B$112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5.5507656801527298E-2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8B-453F-AE5C-D1A0585C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65584"/>
        <c:axId val="689776080"/>
      </c:lineChart>
      <c:catAx>
        <c:axId val="6897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776080"/>
        <c:crosses val="autoZero"/>
        <c:auto val="1"/>
        <c:lblAlgn val="ctr"/>
        <c:lblOffset val="100"/>
        <c:noMultiLvlLbl val="0"/>
      </c:catAx>
      <c:valAx>
        <c:axId val="68977608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7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Торговля и услуги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ДФО!$B$130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0.59202072470099709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1-4B3B-8879-FD119E38282B}"/>
            </c:ext>
          </c:extLst>
        </c:ser>
        <c:ser>
          <c:idx val="1"/>
          <c:order val="1"/>
          <c:tx>
            <c:strRef>
              <c:f>ДФО!$B$131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ДФО!$C$131:$R$131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0.58002338354522998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1-4B3B-8879-FD119E38282B}"/>
            </c:ext>
          </c:extLst>
        </c:ser>
        <c:ser>
          <c:idx val="2"/>
          <c:order val="2"/>
          <c:tx>
            <c:strRef>
              <c:f>ДФО!$B$132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ДФО!$C$132:$R$132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0.453012359110539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1-4B3B-8879-FD119E38282B}"/>
            </c:ext>
          </c:extLst>
        </c:ser>
        <c:ser>
          <c:idx val="3"/>
          <c:order val="3"/>
          <c:tx>
            <c:strRef>
              <c:f>ДФО!$B$133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0.57039341401185106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1-4B3B-8879-FD119E38282B}"/>
            </c:ext>
          </c:extLst>
        </c:ser>
        <c:ser>
          <c:idx val="4"/>
          <c:order val="4"/>
          <c:tx>
            <c:strRef>
              <c:f>ДФО!$B$134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0.45990212202718633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1-4B3B-8879-FD119E38282B}"/>
            </c:ext>
          </c:extLst>
        </c:ser>
        <c:ser>
          <c:idx val="5"/>
          <c:order val="5"/>
          <c:tx>
            <c:strRef>
              <c:f>ДФО!$B$135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0.61701283404234164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1-4B3B-8879-FD119E38282B}"/>
            </c:ext>
          </c:extLst>
        </c:ser>
        <c:ser>
          <c:idx val="6"/>
          <c:order val="6"/>
          <c:tx>
            <c:strRef>
              <c:f>ДФО!$B$136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0.63160537735361932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C1-4B3B-8879-FD119E38282B}"/>
            </c:ext>
          </c:extLst>
        </c:ser>
        <c:ser>
          <c:idx val="7"/>
          <c:order val="7"/>
          <c:tx>
            <c:strRef>
              <c:f>ДФО!$B$137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0.32736498090218807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1-4B3B-8879-FD119E38282B}"/>
            </c:ext>
          </c:extLst>
        </c:ser>
        <c:ser>
          <c:idx val="8"/>
          <c:order val="8"/>
          <c:tx>
            <c:strRef>
              <c:f>ДФО!$B$138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ДФО!$C$129:$R$129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0.61305700283293341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C1-4B3B-8879-FD119E38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80032"/>
        <c:axId val="688747888"/>
      </c:lineChart>
      <c:catAx>
        <c:axId val="6887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747888"/>
        <c:crosses val="autoZero"/>
        <c:auto val="1"/>
        <c:lblAlgn val="ctr"/>
        <c:lblOffset val="100"/>
        <c:noMultiLvlLbl val="0"/>
      </c:catAx>
      <c:valAx>
        <c:axId val="68874788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7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Жилье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ДФО!$B$152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ДФО!$C$152:$R$152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0.477571758986163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C-499F-9392-E21AB4BAB1F2}"/>
            </c:ext>
          </c:extLst>
        </c:ser>
        <c:ser>
          <c:idx val="1"/>
          <c:order val="1"/>
          <c:tx>
            <c:strRef>
              <c:f>ДФО!$B$153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ДФО!$C$153:$R$153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0.39686388371412368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C-499F-9392-E21AB4BAB1F2}"/>
            </c:ext>
          </c:extLst>
        </c:ser>
        <c:ser>
          <c:idx val="2"/>
          <c:order val="2"/>
          <c:tx>
            <c:strRef>
              <c:f>ДФО!$B$154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ДФО!$C$154:$R$154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0.40409717474687951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C-499F-9392-E21AB4BAB1F2}"/>
            </c:ext>
          </c:extLst>
        </c:ser>
        <c:ser>
          <c:idx val="3"/>
          <c:order val="3"/>
          <c:tx>
            <c:strRef>
              <c:f>ДФО!$B$155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ДФО!$C$155:$R$155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0.36448337917577361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C-499F-9392-E21AB4BAB1F2}"/>
            </c:ext>
          </c:extLst>
        </c:ser>
        <c:ser>
          <c:idx val="4"/>
          <c:order val="4"/>
          <c:tx>
            <c:strRef>
              <c:f>ДФО!$B$156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ДФО!$C$156:$R$156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0.36701436016604988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5C-499F-9392-E21AB4BAB1F2}"/>
            </c:ext>
          </c:extLst>
        </c:ser>
        <c:ser>
          <c:idx val="5"/>
          <c:order val="5"/>
          <c:tx>
            <c:strRef>
              <c:f>ДФО!$B$157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ДФО!$C$157:$R$157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0.37072066164115797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5C-499F-9392-E21AB4BAB1F2}"/>
            </c:ext>
          </c:extLst>
        </c:ser>
        <c:ser>
          <c:idx val="6"/>
          <c:order val="6"/>
          <c:tx>
            <c:strRef>
              <c:f>ДФО!$B$158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ДФО!$C$158:$R$158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0.51149957316241823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5C-499F-9392-E21AB4BAB1F2}"/>
            </c:ext>
          </c:extLst>
        </c:ser>
        <c:ser>
          <c:idx val="7"/>
          <c:order val="7"/>
          <c:tx>
            <c:strRef>
              <c:f>ДФО!$B$159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ДФО!$C$159:$R$159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0.30188840059135441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5C-499F-9392-E21AB4BAB1F2}"/>
            </c:ext>
          </c:extLst>
        </c:ser>
        <c:ser>
          <c:idx val="8"/>
          <c:order val="8"/>
          <c:tx>
            <c:strRef>
              <c:f>ДФО!$B$160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ДФО!$C$151:$R$151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ДФО!$C$160:$R$160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0.3341803509206116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5C-499F-9392-E21AB4BA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71504"/>
        <c:axId val="688783312"/>
      </c:lineChart>
      <c:catAx>
        <c:axId val="6887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783312"/>
        <c:crosses val="autoZero"/>
        <c:auto val="1"/>
        <c:lblAlgn val="ctr"/>
        <c:lblOffset val="100"/>
        <c:noMultiLvlLbl val="0"/>
      </c:catAx>
      <c:valAx>
        <c:axId val="68878331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7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Торговля</a:t>
            </a:r>
            <a:r>
              <a:rPr lang="ru-RU" baseline="0"/>
              <a:t> и услуги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ЦФО!$B$167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ЦФО!$C$167:$R$167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0.4147416306996492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5-4823-8838-AE19B33EADC2}"/>
            </c:ext>
          </c:extLst>
        </c:ser>
        <c:ser>
          <c:idx val="1"/>
          <c:order val="1"/>
          <c:tx>
            <c:strRef>
              <c:f>ЦФО!$B$168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ЦФО!$C$168:$R$168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0.40231894118776373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5-4823-8838-AE19B33EADC2}"/>
            </c:ext>
          </c:extLst>
        </c:ser>
        <c:ser>
          <c:idx val="2"/>
          <c:order val="2"/>
          <c:tx>
            <c:strRef>
              <c:f>ЦФО!$B$169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ЦФО!$C$169:$R$169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0.38194266727927345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5-4823-8838-AE19B33EADC2}"/>
            </c:ext>
          </c:extLst>
        </c:ser>
        <c:ser>
          <c:idx val="3"/>
          <c:order val="3"/>
          <c:tx>
            <c:strRef>
              <c:f>ЦФО!$B$170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ЦФО!$C$170:$R$170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0.41655715136526889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5-4823-8838-AE19B33EADC2}"/>
            </c:ext>
          </c:extLst>
        </c:ser>
        <c:ser>
          <c:idx val="4"/>
          <c:order val="4"/>
          <c:tx>
            <c:strRef>
              <c:f>ЦФО!$B$171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ЦФО!$C$171:$R$171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0.35904651470618482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5-4823-8838-AE19B33EADC2}"/>
            </c:ext>
          </c:extLst>
        </c:ser>
        <c:ser>
          <c:idx val="5"/>
          <c:order val="5"/>
          <c:tx>
            <c:strRef>
              <c:f>ЦФО!$B$172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ЦФО!$C$172:$R$172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0.4360968638113436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A5-4823-8838-AE19B33EADC2}"/>
            </c:ext>
          </c:extLst>
        </c:ser>
        <c:ser>
          <c:idx val="6"/>
          <c:order val="6"/>
          <c:tx>
            <c:strRef>
              <c:f>ЦФО!$B$173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ЦФО!$C$173:$R$173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0.34127791101960431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A5-4823-8838-AE19B33EADC2}"/>
            </c:ext>
          </c:extLst>
        </c:ser>
        <c:ser>
          <c:idx val="7"/>
          <c:order val="7"/>
          <c:tx>
            <c:strRef>
              <c:f>ЦФО!$B$174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ЦФО!$C$174:$R$174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0.36861978583174509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A5-4823-8838-AE19B33EADC2}"/>
            </c:ext>
          </c:extLst>
        </c:ser>
        <c:ser>
          <c:idx val="8"/>
          <c:order val="8"/>
          <c:tx>
            <c:strRef>
              <c:f>ЦФО!$B$175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0.41001453815215694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A5-4823-8838-AE19B33EADC2}"/>
            </c:ext>
          </c:extLst>
        </c:ser>
        <c:ser>
          <c:idx val="9"/>
          <c:order val="9"/>
          <c:tx>
            <c:strRef>
              <c:f>ЦФО!$B$176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0.55568139567437125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A5-4823-8838-AE19B33EADC2}"/>
            </c:ext>
          </c:extLst>
        </c:ser>
        <c:ser>
          <c:idx val="10"/>
          <c:order val="10"/>
          <c:tx>
            <c:strRef>
              <c:f>ЦФО!$B$177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0.33761546676456017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A5-4823-8838-AE19B33EADC2}"/>
            </c:ext>
          </c:extLst>
        </c:ser>
        <c:ser>
          <c:idx val="11"/>
          <c:order val="11"/>
          <c:tx>
            <c:strRef>
              <c:f>ЦФО!$B$178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ЦФО!$C$178:$R$178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0.36963118698147407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A5-4823-8838-AE19B33EADC2}"/>
            </c:ext>
          </c:extLst>
        </c:ser>
        <c:ser>
          <c:idx val="12"/>
          <c:order val="12"/>
          <c:tx>
            <c:strRef>
              <c:f>ЦФО!$B$179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ЦФО!$C$179:$R$179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0.32889039021487765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A5-4823-8838-AE19B33EADC2}"/>
            </c:ext>
          </c:extLst>
        </c:ser>
        <c:ser>
          <c:idx val="13"/>
          <c:order val="13"/>
          <c:tx>
            <c:strRef>
              <c:f>ЦФО!$B$180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ЦФО!$C$180:$R$180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0.36460027770598141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A5-4823-8838-AE19B33EADC2}"/>
            </c:ext>
          </c:extLst>
        </c:ser>
        <c:ser>
          <c:idx val="14"/>
          <c:order val="14"/>
          <c:tx>
            <c:strRef>
              <c:f>ЦФО!$B$181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ЦФО!$C$181:$R$181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0.37066768809738204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A5-4823-8838-AE19B33EADC2}"/>
            </c:ext>
          </c:extLst>
        </c:ser>
        <c:ser>
          <c:idx val="15"/>
          <c:order val="15"/>
          <c:tx>
            <c:strRef>
              <c:f>ЦФО!$B$182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ЦФО!$C$182:$R$182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0.3700498618305561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A5-4823-8838-AE19B33EADC2}"/>
            </c:ext>
          </c:extLst>
        </c:ser>
        <c:ser>
          <c:idx val="16"/>
          <c:order val="16"/>
          <c:tx>
            <c:strRef>
              <c:f>ЦФО!$B$183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ЦФО!$C$183:$R$183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0.43230829502435419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A5-4823-8838-AE19B33EADC2}"/>
            </c:ext>
          </c:extLst>
        </c:ser>
        <c:ser>
          <c:idx val="17"/>
          <c:order val="17"/>
          <c:tx>
            <c:strRef>
              <c:f>ЦФО!$B$184</c:f>
              <c:strCache>
                <c:ptCount val="1"/>
                <c:pt idx="0">
                  <c:v>г. Москва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ЦФО!$C$166:$R$166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ЦФО!$C$184:$R$184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0.68469225323536465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9A5-4823-8838-AE19B33E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98456"/>
        <c:axId val="529498128"/>
      </c:lineChart>
      <c:catAx>
        <c:axId val="52949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498128"/>
        <c:crosses val="autoZero"/>
        <c:auto val="1"/>
        <c:lblAlgn val="ctr"/>
        <c:lblOffset val="100"/>
        <c:noMultiLvlLbl val="0"/>
      </c:catAx>
      <c:valAx>
        <c:axId val="52949812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49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Жилье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ЦФО!$B$207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ЦФО!$C$207:$R$207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0.51483202085986812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C-4CBF-872C-CC98AEB794BB}"/>
            </c:ext>
          </c:extLst>
        </c:ser>
        <c:ser>
          <c:idx val="1"/>
          <c:order val="1"/>
          <c:tx>
            <c:strRef>
              <c:f>ЦФО!$B$208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ЦФО!$C$208:$R$208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0.42724244308158049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C-4CBF-872C-CC98AEB794BB}"/>
            </c:ext>
          </c:extLst>
        </c:ser>
        <c:ser>
          <c:idx val="2"/>
          <c:order val="2"/>
          <c:tx>
            <c:strRef>
              <c:f>ЦФО!$B$209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ЦФО!$C$209:$R$209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0.50622887741978473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C-4CBF-872C-CC98AEB794BB}"/>
            </c:ext>
          </c:extLst>
        </c:ser>
        <c:ser>
          <c:idx val="3"/>
          <c:order val="3"/>
          <c:tx>
            <c:strRef>
              <c:f>ЦФО!$B$210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ЦФО!$C$210:$R$210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0.54436171495537811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C-4CBF-872C-CC98AEB794BB}"/>
            </c:ext>
          </c:extLst>
        </c:ser>
        <c:ser>
          <c:idx val="4"/>
          <c:order val="4"/>
          <c:tx>
            <c:strRef>
              <c:f>ЦФО!$B$211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ЦФО!$C$211:$R$211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0.43378698642498409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3C-4CBF-872C-CC98AEB794BB}"/>
            </c:ext>
          </c:extLst>
        </c:ser>
        <c:ser>
          <c:idx val="5"/>
          <c:order val="5"/>
          <c:tx>
            <c:strRef>
              <c:f>ЦФО!$B$212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ЦФО!$C$212:$R$212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0.52769202178157448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3C-4CBF-872C-CC98AEB794BB}"/>
            </c:ext>
          </c:extLst>
        </c:ser>
        <c:ser>
          <c:idx val="6"/>
          <c:order val="6"/>
          <c:tx>
            <c:strRef>
              <c:f>ЦФО!$B$213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ЦФО!$C$213:$R$213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0.43628938667173905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3C-4CBF-872C-CC98AEB794BB}"/>
            </c:ext>
          </c:extLst>
        </c:ser>
        <c:ser>
          <c:idx val="7"/>
          <c:order val="7"/>
          <c:tx>
            <c:strRef>
              <c:f>ЦФО!$B$214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ЦФО!$C$214:$R$214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0.45081417370310239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3C-4CBF-872C-CC98AEB794BB}"/>
            </c:ext>
          </c:extLst>
        </c:ser>
        <c:ser>
          <c:idx val="8"/>
          <c:order val="8"/>
          <c:tx>
            <c:strRef>
              <c:f>ЦФО!$B$215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ЦФО!$C$215:$R$215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0.57004351190566382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3C-4CBF-872C-CC98AEB794BB}"/>
            </c:ext>
          </c:extLst>
        </c:ser>
        <c:ser>
          <c:idx val="9"/>
          <c:order val="9"/>
          <c:tx>
            <c:strRef>
              <c:f>ЦФО!$B$216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ЦФО!$C$216:$R$216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0.58521927632933624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3C-4CBF-872C-CC98AEB794BB}"/>
            </c:ext>
          </c:extLst>
        </c:ser>
        <c:ser>
          <c:idx val="10"/>
          <c:order val="10"/>
          <c:tx>
            <c:strRef>
              <c:f>ЦФО!$B$217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ЦФО!$C$217:$R$217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0.4982383312147034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3C-4CBF-872C-CC98AEB794BB}"/>
            </c:ext>
          </c:extLst>
        </c:ser>
        <c:ser>
          <c:idx val="11"/>
          <c:order val="11"/>
          <c:tx>
            <c:strRef>
              <c:f>ЦФО!$B$218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ЦФО!$C$218:$R$218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0.53039533613711054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3C-4CBF-872C-CC98AEB794BB}"/>
            </c:ext>
          </c:extLst>
        </c:ser>
        <c:ser>
          <c:idx val="12"/>
          <c:order val="12"/>
          <c:tx>
            <c:strRef>
              <c:f>ЦФО!$B$219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ЦФО!$C$219:$R$219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0.49052530998863109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3C-4CBF-872C-CC98AEB794BB}"/>
            </c:ext>
          </c:extLst>
        </c:ser>
        <c:ser>
          <c:idx val="13"/>
          <c:order val="13"/>
          <c:tx>
            <c:strRef>
              <c:f>ЦФО!$B$220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ЦФО!$C$220:$R$220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0.52804308091383945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3C-4CBF-872C-CC98AEB794BB}"/>
            </c:ext>
          </c:extLst>
        </c:ser>
        <c:ser>
          <c:idx val="14"/>
          <c:order val="14"/>
          <c:tx>
            <c:strRef>
              <c:f>ЦФО!$B$221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ЦФО!$C$221:$R$221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0.52017403677807783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3C-4CBF-872C-CC98AEB794BB}"/>
            </c:ext>
          </c:extLst>
        </c:ser>
        <c:ser>
          <c:idx val="15"/>
          <c:order val="15"/>
          <c:tx>
            <c:strRef>
              <c:f>ЦФО!$B$222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ЦФО!$C$222:$R$222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0.4942976367367351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3C-4CBF-872C-CC98AEB794BB}"/>
            </c:ext>
          </c:extLst>
        </c:ser>
        <c:ser>
          <c:idx val="16"/>
          <c:order val="16"/>
          <c:tx>
            <c:strRef>
              <c:f>ЦФО!$B$223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ЦФО!$C$223:$R$223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0.53335831836673808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3C-4CBF-872C-CC98AEB794BB}"/>
            </c:ext>
          </c:extLst>
        </c:ser>
        <c:ser>
          <c:idx val="17"/>
          <c:order val="17"/>
          <c:tx>
            <c:strRef>
              <c:f>ЦФО!$B$224</c:f>
              <c:strCache>
                <c:ptCount val="1"/>
                <c:pt idx="0">
                  <c:v>г. Москва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ЦФО!$C$206:$R$206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ЦФО!$C$224:$R$224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0.42965089014569974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3C-4CBF-872C-CC98AEB7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57912"/>
        <c:axId val="457954632"/>
      </c:lineChart>
      <c:catAx>
        <c:axId val="45795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954632"/>
        <c:crosses val="autoZero"/>
        <c:auto val="1"/>
        <c:lblAlgn val="ctr"/>
        <c:lblOffset val="100"/>
        <c:noMultiLvlLbl val="0"/>
      </c:catAx>
      <c:valAx>
        <c:axId val="45795463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95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357007701905524"/>
          <c:y val="6.7815209626580594E-2"/>
          <c:w val="0.39961556534448733"/>
          <c:h val="0.68475335056804776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</c:f>
              <c:strCache>
                <c:ptCount val="1"/>
                <c:pt idx="0">
                  <c:v>Налоговые поступления в бюджет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СЗФО!$C$2:$C$11</c:f>
              <c:numCache>
                <c:formatCode>0.0000</c:formatCode>
                <c:ptCount val="10"/>
                <c:pt idx="0">
                  <c:v>0.45276034623767314</c:v>
                </c:pt>
                <c:pt idx="1">
                  <c:v>0.67887624307312855</c:v>
                </c:pt>
                <c:pt idx="2">
                  <c:v>0.31930463467256909</c:v>
                </c:pt>
                <c:pt idx="3">
                  <c:v>0.49706140238591862</c:v>
                </c:pt>
                <c:pt idx="4">
                  <c:v>0.73021394509768822</c:v>
                </c:pt>
                <c:pt idx="5">
                  <c:v>0.83232602711903858</c:v>
                </c:pt>
                <c:pt idx="6">
                  <c:v>0</c:v>
                </c:pt>
                <c:pt idx="7">
                  <c:v>0.20707699509889604</c:v>
                </c:pt>
                <c:pt idx="8">
                  <c:v>0.36087671550871453</c:v>
                </c:pt>
                <c:pt idx="9">
                  <c:v>0.92713209386449402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7-4472-8271-891BF1890CC9}"/>
            </c:ext>
          </c:extLst>
        </c:ser>
        <c:ser>
          <c:idx val="1"/>
          <c:order val="1"/>
          <c:tx>
            <c:strRef>
              <c:f>СЗФО!$D$1</c:f>
              <c:strCache>
                <c:ptCount val="1"/>
                <c:pt idx="0">
                  <c:v>Объем жилищных кредитов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СЗФО!$D$2:$D$11</c:f>
              <c:numCache>
                <c:formatCode>0.0000</c:formatCode>
                <c:ptCount val="10"/>
                <c:pt idx="0">
                  <c:v>0.76602599924261539</c:v>
                </c:pt>
                <c:pt idx="1">
                  <c:v>0.79673413432268281</c:v>
                </c:pt>
                <c:pt idx="2">
                  <c:v>0.79683239836669018</c:v>
                </c:pt>
                <c:pt idx="3">
                  <c:v>0.74995848827904921</c:v>
                </c:pt>
                <c:pt idx="4">
                  <c:v>0.75715957131524458</c:v>
                </c:pt>
                <c:pt idx="5">
                  <c:v>0.80909538572144901</c:v>
                </c:pt>
                <c:pt idx="6">
                  <c:v>0.7812545190786212</c:v>
                </c:pt>
                <c:pt idx="7">
                  <c:v>0.72034901268561091</c:v>
                </c:pt>
                <c:pt idx="8">
                  <c:v>0.67615416726839006</c:v>
                </c:pt>
                <c:pt idx="9">
                  <c:v>0.86481938988293794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7-4472-8271-891BF1890CC9}"/>
            </c:ext>
          </c:extLst>
        </c:ser>
        <c:ser>
          <c:idx val="2"/>
          <c:order val="2"/>
          <c:tx>
            <c:strRef>
              <c:f>СЗФО!$E$1</c:f>
              <c:strCache>
                <c:ptCount val="1"/>
                <c:pt idx="0">
                  <c:v>Вклады юридических и физических лиц 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СЗФО!$E$2:$E$11</c:f>
              <c:numCache>
                <c:formatCode>0.0000</c:formatCode>
                <c:ptCount val="10"/>
                <c:pt idx="0">
                  <c:v>0.46379385697776881</c:v>
                </c:pt>
                <c:pt idx="1">
                  <c:v>0.50069901242229231</c:v>
                </c:pt>
                <c:pt idx="2">
                  <c:v>0.51902706132392085</c:v>
                </c:pt>
                <c:pt idx="3">
                  <c:v>0.52630230627264818</c:v>
                </c:pt>
                <c:pt idx="4">
                  <c:v>0.54168035247016189</c:v>
                </c:pt>
                <c:pt idx="5">
                  <c:v>0.3537894922269133</c:v>
                </c:pt>
                <c:pt idx="6">
                  <c:v>0.61519403586281163</c:v>
                </c:pt>
                <c:pt idx="7">
                  <c:v>0.38474244940625818</c:v>
                </c:pt>
                <c:pt idx="8">
                  <c:v>0.37163011350833658</c:v>
                </c:pt>
                <c:pt idx="9">
                  <c:v>0.77297922233290406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7-4472-8271-891BF189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3408"/>
        <c:axId val="88434944"/>
      </c:radarChart>
      <c:catAx>
        <c:axId val="8843340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8434944"/>
        <c:crosses val="autoZero"/>
        <c:auto val="1"/>
        <c:lblAlgn val="ctr"/>
        <c:lblOffset val="100"/>
        <c:noMultiLvlLbl val="0"/>
      </c:catAx>
      <c:valAx>
        <c:axId val="88434944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88433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166688</xdr:colOff>
      <xdr:row>0</xdr:row>
      <xdr:rowOff>57150</xdr:rowOff>
    </xdr:from>
    <xdr:to>
      <xdr:col>14</xdr:col>
      <xdr:colOff>328613</xdr:colOff>
      <xdr:row>15</xdr:row>
      <xdr:rowOff>71438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157616</xdr:colOff>
      <xdr:row>19</xdr:row>
      <xdr:rowOff>177004</xdr:rowOff>
    </xdr:from>
    <xdr:to>
      <xdr:col>14</xdr:col>
      <xdr:colOff>284616</xdr:colOff>
      <xdr:row>37</xdr:row>
      <xdr:rowOff>63499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49893</xdr:colOff>
      <xdr:row>40</xdr:row>
      <xdr:rowOff>20523</xdr:rowOff>
    </xdr:from>
    <xdr:to>
      <xdr:col>14</xdr:col>
      <xdr:colOff>211818</xdr:colOff>
      <xdr:row>57</xdr:row>
      <xdr:rowOff>137205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44904</xdr:colOff>
      <xdr:row>60</xdr:row>
      <xdr:rowOff>15989</xdr:rowOff>
    </xdr:from>
    <xdr:to>
      <xdr:col>14</xdr:col>
      <xdr:colOff>165554</xdr:colOff>
      <xdr:row>75</xdr:row>
      <xdr:rowOff>149680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81644</xdr:colOff>
      <xdr:row>103</xdr:row>
      <xdr:rowOff>140492</xdr:rowOff>
    </xdr:from>
    <xdr:to>
      <xdr:col>17</xdr:col>
      <xdr:colOff>773907</xdr:colOff>
      <xdr:row>124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122464</xdr:colOff>
      <xdr:row>144</xdr:row>
      <xdr:rowOff>138792</xdr:rowOff>
    </xdr:from>
    <xdr:to>
      <xdr:col>17</xdr:col>
      <xdr:colOff>762000</xdr:colOff>
      <xdr:row>163</xdr:row>
      <xdr:rowOff>11906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81643</xdr:colOff>
      <xdr:row>184</xdr:row>
      <xdr:rowOff>95251</xdr:rowOff>
    </xdr:from>
    <xdr:to>
      <xdr:col>17</xdr:col>
      <xdr:colOff>762000</xdr:colOff>
      <xdr:row>203</xdr:row>
      <xdr:rowOff>47625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122463</xdr:colOff>
      <xdr:row>224</xdr:row>
      <xdr:rowOff>95249</xdr:rowOff>
    </xdr:from>
    <xdr:to>
      <xdr:col>17</xdr:col>
      <xdr:colOff>762000</xdr:colOff>
      <xdr:row>246</xdr:row>
      <xdr:rowOff>71437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2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21167</xdr:rowOff>
    </xdr:from>
    <xdr:to>
      <xdr:col>14</xdr:col>
      <xdr:colOff>595311</xdr:colOff>
      <xdr:row>12</xdr:row>
      <xdr:rowOff>465667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12</xdr:row>
      <xdr:rowOff>657224</xdr:rowOff>
    </xdr:from>
    <xdr:to>
      <xdr:col>14</xdr:col>
      <xdr:colOff>607218</xdr:colOff>
      <xdr:row>27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28</xdr:row>
      <xdr:rowOff>28575</xdr:rowOff>
    </xdr:from>
    <xdr:to>
      <xdr:col>14</xdr:col>
      <xdr:colOff>607218</xdr:colOff>
      <xdr:row>41</xdr:row>
      <xdr:rowOff>161925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2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114301</xdr:colOff>
      <xdr:row>42</xdr:row>
      <xdr:rowOff>76199</xdr:rowOff>
    </xdr:from>
    <xdr:to>
      <xdr:col>14</xdr:col>
      <xdr:colOff>631031</xdr:colOff>
      <xdr:row>62</xdr:row>
      <xdr:rowOff>57150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2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68036</xdr:colOff>
      <xdr:row>74</xdr:row>
      <xdr:rowOff>138793</xdr:rowOff>
    </xdr:from>
    <xdr:to>
      <xdr:col>18</xdr:col>
      <xdr:colOff>0</xdr:colOff>
      <xdr:row>87</xdr:row>
      <xdr:rowOff>176893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101</xdr:row>
      <xdr:rowOff>138793</xdr:rowOff>
    </xdr:from>
    <xdr:to>
      <xdr:col>17</xdr:col>
      <xdr:colOff>857250</xdr:colOff>
      <xdr:row>114</xdr:row>
      <xdr:rowOff>190500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163285</xdr:colOff>
      <xdr:row>127</xdr:row>
      <xdr:rowOff>54429</xdr:rowOff>
    </xdr:from>
    <xdr:to>
      <xdr:col>17</xdr:col>
      <xdr:colOff>830036</xdr:colOff>
      <xdr:row>140</xdr:row>
      <xdr:rowOff>176894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54430</xdr:colOff>
      <xdr:row>154</xdr:row>
      <xdr:rowOff>70757</xdr:rowOff>
    </xdr:from>
    <xdr:to>
      <xdr:col>17</xdr:col>
      <xdr:colOff>830037</xdr:colOff>
      <xdr:row>175</xdr:row>
      <xdr:rowOff>27214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0</xdr:rowOff>
    </xdr:from>
    <xdr:to>
      <xdr:col>14</xdr:col>
      <xdr:colOff>400050</xdr:colOff>
      <xdr:row>14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15</xdr:row>
      <xdr:rowOff>19050</xdr:rowOff>
    </xdr:from>
    <xdr:to>
      <xdr:col>14</xdr:col>
      <xdr:colOff>428625</xdr:colOff>
      <xdr:row>29</xdr:row>
      <xdr:rowOff>114299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30</xdr:row>
      <xdr:rowOff>38100</xdr:rowOff>
    </xdr:from>
    <xdr:to>
      <xdr:col>14</xdr:col>
      <xdr:colOff>438150</xdr:colOff>
      <xdr:row>46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47</xdr:row>
      <xdr:rowOff>180975</xdr:rowOff>
    </xdr:from>
    <xdr:to>
      <xdr:col>14</xdr:col>
      <xdr:colOff>428626</xdr:colOff>
      <xdr:row>63</xdr:row>
      <xdr:rowOff>23813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101</xdr:row>
      <xdr:rowOff>81644</xdr:rowOff>
    </xdr:from>
    <xdr:to>
      <xdr:col>17</xdr:col>
      <xdr:colOff>773905</xdr:colOff>
      <xdr:row>119</xdr:row>
      <xdr:rowOff>163286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68037</xdr:colOff>
      <xdr:row>74</xdr:row>
      <xdr:rowOff>68037</xdr:rowOff>
    </xdr:from>
    <xdr:to>
      <xdr:col>17</xdr:col>
      <xdr:colOff>762000</xdr:colOff>
      <xdr:row>90</xdr:row>
      <xdr:rowOff>285751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95249</xdr:colOff>
      <xdr:row>131</xdr:row>
      <xdr:rowOff>40821</xdr:rowOff>
    </xdr:from>
    <xdr:to>
      <xdr:col>17</xdr:col>
      <xdr:colOff>789213</xdr:colOff>
      <xdr:row>149</xdr:row>
      <xdr:rowOff>27215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95249</xdr:colOff>
      <xdr:row>160</xdr:row>
      <xdr:rowOff>57150</xdr:rowOff>
    </xdr:from>
    <xdr:to>
      <xdr:col>17</xdr:col>
      <xdr:colOff>721177</xdr:colOff>
      <xdr:row>183</xdr:row>
      <xdr:rowOff>27214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2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</xdr:colOff>
      <xdr:row>0</xdr:row>
      <xdr:rowOff>0</xdr:rowOff>
    </xdr:from>
    <xdr:to>
      <xdr:col>14</xdr:col>
      <xdr:colOff>226218</xdr:colOff>
      <xdr:row>15</xdr:row>
      <xdr:rowOff>166688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23813</xdr:rowOff>
    </xdr:from>
    <xdr:to>
      <xdr:col>14</xdr:col>
      <xdr:colOff>238125</xdr:colOff>
      <xdr:row>31</xdr:row>
      <xdr:rowOff>66674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64294</xdr:colOff>
      <xdr:row>31</xdr:row>
      <xdr:rowOff>164306</xdr:rowOff>
    </xdr:from>
    <xdr:to>
      <xdr:col>14</xdr:col>
      <xdr:colOff>226219</xdr:colOff>
      <xdr:row>48</xdr:row>
      <xdr:rowOff>69055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14287</xdr:rowOff>
    </xdr:from>
    <xdr:to>
      <xdr:col>14</xdr:col>
      <xdr:colOff>238125</xdr:colOff>
      <xdr:row>63</xdr:row>
      <xdr:rowOff>109536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40821</xdr:colOff>
      <xdr:row>74</xdr:row>
      <xdr:rowOff>70756</xdr:rowOff>
    </xdr:from>
    <xdr:to>
      <xdr:col>17</xdr:col>
      <xdr:colOff>775606</xdr:colOff>
      <xdr:row>84</xdr:row>
      <xdr:rowOff>136071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136071</xdr:colOff>
      <xdr:row>95</xdr:row>
      <xdr:rowOff>68037</xdr:rowOff>
    </xdr:from>
    <xdr:to>
      <xdr:col>17</xdr:col>
      <xdr:colOff>721178</xdr:colOff>
      <xdr:row>108</xdr:row>
      <xdr:rowOff>68035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81642</xdr:colOff>
      <xdr:row>118</xdr:row>
      <xdr:rowOff>125186</xdr:rowOff>
    </xdr:from>
    <xdr:to>
      <xdr:col>17</xdr:col>
      <xdr:colOff>761999</xdr:colOff>
      <xdr:row>133</xdr:row>
      <xdr:rowOff>108857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54427</xdr:colOff>
      <xdr:row>143</xdr:row>
      <xdr:rowOff>111577</xdr:rowOff>
    </xdr:from>
    <xdr:to>
      <xdr:col>17</xdr:col>
      <xdr:colOff>748392</xdr:colOff>
      <xdr:row>165</xdr:row>
      <xdr:rowOff>95250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28575</xdr:rowOff>
    </xdr:from>
    <xdr:to>
      <xdr:col>14</xdr:col>
      <xdr:colOff>276225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15</xdr:row>
      <xdr:rowOff>190500</xdr:rowOff>
    </xdr:from>
    <xdr:to>
      <xdr:col>14</xdr:col>
      <xdr:colOff>276225</xdr:colOff>
      <xdr:row>31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32</xdr:row>
      <xdr:rowOff>114300</xdr:rowOff>
    </xdr:from>
    <xdr:to>
      <xdr:col>14</xdr:col>
      <xdr:colOff>276225</xdr:colOff>
      <xdr:row>48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48</xdr:row>
      <xdr:rowOff>219075</xdr:rowOff>
    </xdr:from>
    <xdr:to>
      <xdr:col>14</xdr:col>
      <xdr:colOff>285750</xdr:colOff>
      <xdr:row>63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83344</xdr:colOff>
      <xdr:row>113</xdr:row>
      <xdr:rowOff>57149</xdr:rowOff>
    </xdr:from>
    <xdr:to>
      <xdr:col>17</xdr:col>
      <xdr:colOff>748393</xdr:colOff>
      <xdr:row>129</xdr:row>
      <xdr:rowOff>176893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81642</xdr:colOff>
      <xdr:row>81</xdr:row>
      <xdr:rowOff>57148</xdr:rowOff>
    </xdr:from>
    <xdr:to>
      <xdr:col>17</xdr:col>
      <xdr:colOff>748393</xdr:colOff>
      <xdr:row>96</xdr:row>
      <xdr:rowOff>13607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95249</xdr:colOff>
      <xdr:row>146</xdr:row>
      <xdr:rowOff>70756</xdr:rowOff>
    </xdr:from>
    <xdr:to>
      <xdr:col>18</xdr:col>
      <xdr:colOff>0</xdr:colOff>
      <xdr:row>161</xdr:row>
      <xdr:rowOff>13607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40820</xdr:colOff>
      <xdr:row>178</xdr:row>
      <xdr:rowOff>43540</xdr:rowOff>
    </xdr:from>
    <xdr:to>
      <xdr:col>17</xdr:col>
      <xdr:colOff>748392</xdr:colOff>
      <xdr:row>201</xdr:row>
      <xdr:rowOff>13607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38100</xdr:rowOff>
    </xdr:from>
    <xdr:to>
      <xdr:col>14</xdr:col>
      <xdr:colOff>219075</xdr:colOff>
      <xdr:row>15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15</xdr:row>
      <xdr:rowOff>114300</xdr:rowOff>
    </xdr:from>
    <xdr:to>
      <xdr:col>14</xdr:col>
      <xdr:colOff>219075</xdr:colOff>
      <xdr:row>32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33</xdr:row>
      <xdr:rowOff>9525</xdr:rowOff>
    </xdr:from>
    <xdr:to>
      <xdr:col>14</xdr:col>
      <xdr:colOff>228600</xdr:colOff>
      <xdr:row>51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52</xdr:row>
      <xdr:rowOff>161925</xdr:rowOff>
    </xdr:from>
    <xdr:to>
      <xdr:col>14</xdr:col>
      <xdr:colOff>238125</xdr:colOff>
      <xdr:row>70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95249</xdr:colOff>
      <xdr:row>79</xdr:row>
      <xdr:rowOff>54428</xdr:rowOff>
    </xdr:from>
    <xdr:to>
      <xdr:col>17</xdr:col>
      <xdr:colOff>775607</xdr:colOff>
      <xdr:row>92</xdr:row>
      <xdr:rowOff>122464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136072</xdr:colOff>
      <xdr:row>99</xdr:row>
      <xdr:rowOff>84365</xdr:rowOff>
    </xdr:from>
    <xdr:to>
      <xdr:col>17</xdr:col>
      <xdr:colOff>748393</xdr:colOff>
      <xdr:row>113</xdr:row>
      <xdr:rowOff>136072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40821</xdr:colOff>
      <xdr:row>120</xdr:row>
      <xdr:rowOff>70756</xdr:rowOff>
    </xdr:from>
    <xdr:to>
      <xdr:col>17</xdr:col>
      <xdr:colOff>734785</xdr:colOff>
      <xdr:row>132</xdr:row>
      <xdr:rowOff>108857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68036</xdr:colOff>
      <xdr:row>139</xdr:row>
      <xdr:rowOff>70757</xdr:rowOff>
    </xdr:from>
    <xdr:to>
      <xdr:col>18</xdr:col>
      <xdr:colOff>0</xdr:colOff>
      <xdr:row>160</xdr:row>
      <xdr:rowOff>163287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38099</xdr:rowOff>
    </xdr:from>
    <xdr:to>
      <xdr:col>14</xdr:col>
      <xdr:colOff>209550</xdr:colOff>
      <xdr:row>16</xdr:row>
      <xdr:rowOff>107155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59532</xdr:colOff>
      <xdr:row>16</xdr:row>
      <xdr:rowOff>228600</xdr:rowOff>
    </xdr:from>
    <xdr:to>
      <xdr:col>14</xdr:col>
      <xdr:colOff>221457</xdr:colOff>
      <xdr:row>36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36</xdr:row>
      <xdr:rowOff>333375</xdr:rowOff>
    </xdr:from>
    <xdr:to>
      <xdr:col>14</xdr:col>
      <xdr:colOff>209550</xdr:colOff>
      <xdr:row>57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45244</xdr:colOff>
      <xdr:row>57</xdr:row>
      <xdr:rowOff>335756</xdr:rowOff>
    </xdr:from>
    <xdr:to>
      <xdr:col>14</xdr:col>
      <xdr:colOff>207169</xdr:colOff>
      <xdr:row>78</xdr:row>
      <xdr:rowOff>107156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68035</xdr:colOff>
      <xdr:row>92</xdr:row>
      <xdr:rowOff>54430</xdr:rowOff>
    </xdr:from>
    <xdr:to>
      <xdr:col>17</xdr:col>
      <xdr:colOff>762000</xdr:colOff>
      <xdr:row>105</xdr:row>
      <xdr:rowOff>149679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108856</xdr:colOff>
      <xdr:row>121</xdr:row>
      <xdr:rowOff>54428</xdr:rowOff>
    </xdr:from>
    <xdr:to>
      <xdr:col>17</xdr:col>
      <xdr:colOff>748392</xdr:colOff>
      <xdr:row>135</xdr:row>
      <xdr:rowOff>176893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68036</xdr:colOff>
      <xdr:row>151</xdr:row>
      <xdr:rowOff>27215</xdr:rowOff>
    </xdr:from>
    <xdr:to>
      <xdr:col>17</xdr:col>
      <xdr:colOff>748393</xdr:colOff>
      <xdr:row>163</xdr:row>
      <xdr:rowOff>258535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54428</xdr:colOff>
      <xdr:row>178</xdr:row>
      <xdr:rowOff>43542</xdr:rowOff>
    </xdr:from>
    <xdr:to>
      <xdr:col>17</xdr:col>
      <xdr:colOff>775606</xdr:colOff>
      <xdr:row>200</xdr:row>
      <xdr:rowOff>108857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47625</xdr:rowOff>
    </xdr:from>
    <xdr:to>
      <xdr:col>14</xdr:col>
      <xdr:colOff>219075</xdr:colOff>
      <xdr:row>14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15</xdr:row>
      <xdr:rowOff>0</xdr:rowOff>
    </xdr:from>
    <xdr:to>
      <xdr:col>14</xdr:col>
      <xdr:colOff>219075</xdr:colOff>
      <xdr:row>34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35</xdr:row>
      <xdr:rowOff>85725</xdr:rowOff>
    </xdr:from>
    <xdr:to>
      <xdr:col>14</xdr:col>
      <xdr:colOff>228600</xdr:colOff>
      <xdr:row>55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55</xdr:row>
      <xdr:rowOff>171450</xdr:rowOff>
    </xdr:from>
    <xdr:to>
      <xdr:col>14</xdr:col>
      <xdr:colOff>228600</xdr:colOff>
      <xdr:row>75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81642</xdr:colOff>
      <xdr:row>89</xdr:row>
      <xdr:rowOff>57152</xdr:rowOff>
    </xdr:from>
    <xdr:to>
      <xdr:col>17</xdr:col>
      <xdr:colOff>789213</xdr:colOff>
      <xdr:row>100</xdr:row>
      <xdr:rowOff>204108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27214</xdr:colOff>
      <xdr:row>112</xdr:row>
      <xdr:rowOff>43543</xdr:rowOff>
    </xdr:from>
    <xdr:to>
      <xdr:col>17</xdr:col>
      <xdr:colOff>762000</xdr:colOff>
      <xdr:row>126</xdr:row>
      <xdr:rowOff>136071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54428</xdr:colOff>
      <xdr:row>138</xdr:row>
      <xdr:rowOff>68036</xdr:rowOff>
    </xdr:from>
    <xdr:to>
      <xdr:col>17</xdr:col>
      <xdr:colOff>748393</xdr:colOff>
      <xdr:row>148</xdr:row>
      <xdr:rowOff>258536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27213</xdr:colOff>
      <xdr:row>160</xdr:row>
      <xdr:rowOff>70756</xdr:rowOff>
    </xdr:from>
    <xdr:to>
      <xdr:col>17</xdr:col>
      <xdr:colOff>748392</xdr:colOff>
      <xdr:row>181</xdr:row>
      <xdr:rowOff>136072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gks.ru/bgd/regl/B19_14p/Main.htm" TargetMode="External"/><Relationship Id="rId3" Type="http://schemas.openxmlformats.org/officeDocument/2006/relationships/hyperlink" Target="https://gks.ru/bgd/regl/B09_14p/IssWWW.exe/Stg/d1/05-27.htm" TargetMode="External"/><Relationship Id="rId7" Type="http://schemas.openxmlformats.org/officeDocument/2006/relationships/hyperlink" Target="https://gks.ru/bgd/regl/B10_14p/IssWWW.exe/Stg/d03/22-16.htm" TargetMode="External"/><Relationship Id="rId2" Type="http://schemas.openxmlformats.org/officeDocument/2006/relationships/hyperlink" Target="https://gks.ru/bgd/regl/B10_14p/IssWWW.exe/Stg/d02/17-05.htm" TargetMode="External"/><Relationship Id="rId1" Type="http://schemas.openxmlformats.org/officeDocument/2006/relationships/hyperlink" Target="https://gks.ru/bgd/regl/B10_14p/IssWWW.exe/Stg/d03/22-15.htm" TargetMode="External"/><Relationship Id="rId6" Type="http://schemas.openxmlformats.org/officeDocument/2006/relationships/hyperlink" Target="https://gks.ru/bgd/regl/B12_14p/IssWWW.exe/Stg/d03/21-12.htm" TargetMode="External"/><Relationship Id="rId5" Type="http://schemas.openxmlformats.org/officeDocument/2006/relationships/hyperlink" Target="https://gks.ru/bgd/regl/B10_14p/IssWWW.exe/Stg/d03/23-11.htm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s://gks.ru/bgd/regl/B10_14p/IssWWW.exe/Stg/d02/21-02.htm" TargetMode="External"/><Relationship Id="rId9" Type="http://schemas.openxmlformats.org/officeDocument/2006/relationships/hyperlink" Target="https://gks.ru/bgd/regl/B19_17p/Main.ht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opLeftCell="G58" workbookViewId="0">
      <selection activeCell="K89" sqref="K89"/>
    </sheetView>
  </sheetViews>
  <sheetFormatPr defaultRowHeight="15" x14ac:dyDescent="0.25"/>
  <cols>
    <col min="1" max="1" width="9.140625" customWidth="1"/>
    <col min="2" max="2" width="37.5703125" customWidth="1"/>
  </cols>
  <sheetData>
    <row r="1" spans="1:18" ht="15.75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4">
        <v>2010</v>
      </c>
      <c r="I1" s="84">
        <v>2011</v>
      </c>
      <c r="J1" s="84">
        <v>2012</v>
      </c>
      <c r="K1" s="84">
        <v>2013</v>
      </c>
      <c r="L1" s="84">
        <v>2014</v>
      </c>
      <c r="M1" s="84">
        <v>2015</v>
      </c>
      <c r="N1" s="84">
        <v>2016</v>
      </c>
      <c r="O1" s="84">
        <v>2017</v>
      </c>
      <c r="P1" s="84">
        <v>2018</v>
      </c>
      <c r="Q1" s="84">
        <v>2019</v>
      </c>
      <c r="R1" s="84">
        <v>2020</v>
      </c>
    </row>
    <row r="2" spans="1:18" ht="15.75" x14ac:dyDescent="0.25">
      <c r="A2" s="84">
        <v>1</v>
      </c>
      <c r="B2" s="162" t="s">
        <v>1</v>
      </c>
      <c r="C2" s="90">
        <v>1512</v>
      </c>
      <c r="D2" s="90">
        <v>1511</v>
      </c>
      <c r="E2" s="89">
        <v>1514</v>
      </c>
      <c r="F2" s="89">
        <v>1519</v>
      </c>
      <c r="G2" s="89">
        <v>1525</v>
      </c>
      <c r="H2" s="90">
        <v>1532</v>
      </c>
      <c r="I2" s="90">
        <v>1536</v>
      </c>
      <c r="J2" s="90">
        <v>1541</v>
      </c>
      <c r="K2" s="90">
        <v>1544</v>
      </c>
      <c r="L2" s="90">
        <v>1548</v>
      </c>
      <c r="M2" s="90">
        <v>1550</v>
      </c>
      <c r="N2" s="90">
        <v>1553</v>
      </c>
      <c r="O2" s="90">
        <v>1550</v>
      </c>
      <c r="P2" s="163">
        <v>1548</v>
      </c>
      <c r="Q2" s="163">
        <v>1549</v>
      </c>
      <c r="R2" s="172">
        <v>1541</v>
      </c>
    </row>
    <row r="3" spans="1:18" ht="15.75" x14ac:dyDescent="0.25">
      <c r="A3" s="84">
        <v>2</v>
      </c>
      <c r="B3" s="162" t="s">
        <v>2</v>
      </c>
      <c r="C3" s="90">
        <v>1327</v>
      </c>
      <c r="D3" s="90">
        <v>1331</v>
      </c>
      <c r="E3" s="90">
        <v>1317</v>
      </c>
      <c r="F3" s="90">
        <v>1309</v>
      </c>
      <c r="G3" s="90">
        <v>1300</v>
      </c>
      <c r="H3" s="90">
        <v>1275</v>
      </c>
      <c r="I3" s="90">
        <v>1264</v>
      </c>
      <c r="J3" s="90">
        <v>1254</v>
      </c>
      <c r="K3" s="90">
        <v>1242</v>
      </c>
      <c r="L3" s="90">
        <v>1233</v>
      </c>
      <c r="M3" s="90">
        <v>1226</v>
      </c>
      <c r="N3" s="90">
        <v>1221</v>
      </c>
      <c r="O3" s="90">
        <v>1211</v>
      </c>
      <c r="P3" s="163">
        <v>1200</v>
      </c>
      <c r="Q3" s="163">
        <v>1193</v>
      </c>
      <c r="R3" s="98">
        <v>1183</v>
      </c>
    </row>
    <row r="4" spans="1:18" ht="15.75" x14ac:dyDescent="0.25">
      <c r="A4" s="84">
        <v>3</v>
      </c>
      <c r="B4" s="162" t="s">
        <v>3</v>
      </c>
      <c r="C4" s="90">
        <v>1486</v>
      </c>
      <c r="D4" s="90">
        <v>1473</v>
      </c>
      <c r="E4" s="90">
        <v>1459</v>
      </c>
      <c r="F4" s="90">
        <v>1449</v>
      </c>
      <c r="G4" s="90">
        <v>1440</v>
      </c>
      <c r="H4" s="90">
        <v>1441</v>
      </c>
      <c r="I4" s="90">
        <v>1432</v>
      </c>
      <c r="J4" s="90">
        <v>1422</v>
      </c>
      <c r="K4" s="90">
        <v>1413</v>
      </c>
      <c r="L4" s="90">
        <v>1406</v>
      </c>
      <c r="M4" s="90">
        <v>1397</v>
      </c>
      <c r="N4" s="90">
        <v>1390</v>
      </c>
      <c r="O4" s="90">
        <v>1378</v>
      </c>
      <c r="P4" s="163">
        <v>1366</v>
      </c>
      <c r="Q4" s="163">
        <v>1358</v>
      </c>
      <c r="R4" s="98">
        <v>1342</v>
      </c>
    </row>
    <row r="5" spans="1:18" ht="15.75" x14ac:dyDescent="0.25">
      <c r="A5" s="84">
        <v>4</v>
      </c>
      <c r="B5" s="162" t="s">
        <v>4</v>
      </c>
      <c r="C5" s="90">
        <v>2361</v>
      </c>
      <c r="D5" s="90">
        <v>2314</v>
      </c>
      <c r="E5" s="90">
        <v>2295</v>
      </c>
      <c r="F5" s="90">
        <v>2280</v>
      </c>
      <c r="G5" s="90">
        <v>2270</v>
      </c>
      <c r="H5" s="90">
        <v>2335</v>
      </c>
      <c r="I5" s="90">
        <v>2332</v>
      </c>
      <c r="J5" s="90">
        <v>2330</v>
      </c>
      <c r="K5" s="90">
        <v>2329</v>
      </c>
      <c r="L5" s="90">
        <v>2331</v>
      </c>
      <c r="M5" s="90">
        <v>2333</v>
      </c>
      <c r="N5" s="90">
        <v>2335</v>
      </c>
      <c r="O5" s="90">
        <v>2333</v>
      </c>
      <c r="P5" s="163">
        <v>2328</v>
      </c>
      <c r="Q5" s="163">
        <v>2324</v>
      </c>
      <c r="R5" s="98">
        <v>2306</v>
      </c>
    </row>
    <row r="6" spans="1:18" ht="15.75" x14ac:dyDescent="0.25">
      <c r="A6" s="84">
        <v>5</v>
      </c>
      <c r="B6" s="162" t="s">
        <v>5</v>
      </c>
      <c r="C6" s="90">
        <v>1102</v>
      </c>
      <c r="D6" s="90">
        <v>1100</v>
      </c>
      <c r="E6" s="90">
        <v>1088</v>
      </c>
      <c r="F6" s="90">
        <v>1080</v>
      </c>
      <c r="G6" s="90">
        <v>1073</v>
      </c>
      <c r="H6" s="90">
        <v>1060</v>
      </c>
      <c r="I6" s="90">
        <v>1054</v>
      </c>
      <c r="J6" s="90">
        <v>1049</v>
      </c>
      <c r="K6" s="90">
        <v>1043</v>
      </c>
      <c r="L6" s="90">
        <v>1037</v>
      </c>
      <c r="M6" s="90">
        <v>1030</v>
      </c>
      <c r="N6" s="90">
        <v>1023</v>
      </c>
      <c r="O6" s="90">
        <v>1015</v>
      </c>
      <c r="P6" s="163">
        <v>1004</v>
      </c>
      <c r="Q6" s="163">
        <v>997</v>
      </c>
      <c r="R6" s="98">
        <v>987</v>
      </c>
    </row>
    <row r="7" spans="1:18" ht="15.75" x14ac:dyDescent="0.25">
      <c r="A7" s="84">
        <v>6</v>
      </c>
      <c r="B7" s="162" t="s">
        <v>6</v>
      </c>
      <c r="C7" s="90">
        <v>1023</v>
      </c>
      <c r="D7" s="90">
        <v>1014</v>
      </c>
      <c r="E7" s="90">
        <v>1009</v>
      </c>
      <c r="F7" s="90">
        <v>1006</v>
      </c>
      <c r="G7" s="90">
        <v>1003</v>
      </c>
      <c r="H7" s="90">
        <v>1009</v>
      </c>
      <c r="I7" s="90">
        <v>1008</v>
      </c>
      <c r="J7" s="90">
        <v>1006</v>
      </c>
      <c r="K7" s="90">
        <v>1005</v>
      </c>
      <c r="L7" s="90">
        <v>1011</v>
      </c>
      <c r="M7" s="90">
        <v>1010</v>
      </c>
      <c r="N7" s="90">
        <v>1014</v>
      </c>
      <c r="O7" s="90">
        <v>1012</v>
      </c>
      <c r="P7" s="163">
        <v>1009</v>
      </c>
      <c r="Q7" s="163">
        <v>1003</v>
      </c>
      <c r="R7" s="98">
        <v>1001</v>
      </c>
    </row>
    <row r="8" spans="1:18" ht="15.75" x14ac:dyDescent="0.25">
      <c r="A8" s="84">
        <v>7</v>
      </c>
      <c r="B8" s="162" t="s">
        <v>7</v>
      </c>
      <c r="C8" s="90">
        <v>700</v>
      </c>
      <c r="D8" s="90">
        <v>709</v>
      </c>
      <c r="E8" s="90">
        <v>702</v>
      </c>
      <c r="F8" s="90">
        <v>697</v>
      </c>
      <c r="G8" s="90">
        <v>692</v>
      </c>
      <c r="H8" s="90">
        <v>666</v>
      </c>
      <c r="I8" s="90">
        <v>662</v>
      </c>
      <c r="J8" s="90">
        <v>659</v>
      </c>
      <c r="K8" s="90">
        <v>656</v>
      </c>
      <c r="L8" s="90">
        <v>654</v>
      </c>
      <c r="M8" s="90">
        <v>651</v>
      </c>
      <c r="N8" s="90">
        <v>648</v>
      </c>
      <c r="O8" s="90">
        <v>643</v>
      </c>
      <c r="P8" s="163">
        <v>637</v>
      </c>
      <c r="Q8" s="163">
        <v>633</v>
      </c>
      <c r="R8" s="98">
        <v>628</v>
      </c>
    </row>
    <row r="9" spans="1:18" ht="15.75" x14ac:dyDescent="0.25">
      <c r="A9" s="84">
        <v>8</v>
      </c>
      <c r="B9" s="162" t="s">
        <v>8</v>
      </c>
      <c r="C9" s="90">
        <v>1178</v>
      </c>
      <c r="D9" s="90">
        <v>1184</v>
      </c>
      <c r="E9" s="90">
        <v>1171</v>
      </c>
      <c r="F9" s="90">
        <v>1162</v>
      </c>
      <c r="G9" s="90">
        <v>1156</v>
      </c>
      <c r="H9" s="90">
        <v>1126</v>
      </c>
      <c r="I9" s="90">
        <v>1122</v>
      </c>
      <c r="J9" s="90">
        <v>1119</v>
      </c>
      <c r="K9" s="90">
        <v>1119</v>
      </c>
      <c r="L9" s="90">
        <v>1117</v>
      </c>
      <c r="M9" s="90">
        <v>1120</v>
      </c>
      <c r="N9" s="90">
        <v>1123</v>
      </c>
      <c r="O9" s="90">
        <v>1115</v>
      </c>
      <c r="P9" s="163">
        <v>1107</v>
      </c>
      <c r="Q9" s="163">
        <v>1104</v>
      </c>
      <c r="R9" s="98">
        <v>1097</v>
      </c>
    </row>
    <row r="10" spans="1:18" ht="15.75" x14ac:dyDescent="0.25">
      <c r="A10" s="84">
        <v>9</v>
      </c>
      <c r="B10" s="162" t="s">
        <v>9</v>
      </c>
      <c r="C10" s="90">
        <v>1194</v>
      </c>
      <c r="D10" s="90">
        <v>1181</v>
      </c>
      <c r="E10" s="90">
        <v>1174</v>
      </c>
      <c r="F10" s="90">
        <v>1169</v>
      </c>
      <c r="G10" s="90">
        <v>1163</v>
      </c>
      <c r="H10" s="90">
        <v>1172</v>
      </c>
      <c r="I10" s="90">
        <v>1166</v>
      </c>
      <c r="J10" s="90">
        <v>1162</v>
      </c>
      <c r="K10" s="90">
        <v>1160</v>
      </c>
      <c r="L10" s="90">
        <v>1158</v>
      </c>
      <c r="M10" s="90">
        <v>1156</v>
      </c>
      <c r="N10" s="90">
        <v>1156</v>
      </c>
      <c r="O10" s="90">
        <v>1150</v>
      </c>
      <c r="P10" s="163">
        <v>1144</v>
      </c>
      <c r="Q10" s="163">
        <v>1139</v>
      </c>
      <c r="R10" s="98">
        <v>1128</v>
      </c>
    </row>
    <row r="11" spans="1:18" ht="15.75" x14ac:dyDescent="0.25">
      <c r="A11" s="84">
        <v>10</v>
      </c>
      <c r="B11" s="162" t="s">
        <v>10</v>
      </c>
      <c r="C11" s="90">
        <v>6784</v>
      </c>
      <c r="D11" s="90">
        <v>6628</v>
      </c>
      <c r="E11" s="90">
        <v>6646</v>
      </c>
      <c r="F11" s="90">
        <v>6673</v>
      </c>
      <c r="G11" s="90">
        <v>6713</v>
      </c>
      <c r="H11" s="90">
        <v>7106</v>
      </c>
      <c r="I11" s="90">
        <v>7199</v>
      </c>
      <c r="J11" s="90">
        <v>7048</v>
      </c>
      <c r="K11" s="90">
        <v>7134</v>
      </c>
      <c r="L11" s="90">
        <v>7231</v>
      </c>
      <c r="M11" s="90">
        <v>7319</v>
      </c>
      <c r="N11" s="90">
        <v>7423</v>
      </c>
      <c r="O11" s="90">
        <v>7503</v>
      </c>
      <c r="P11" s="163">
        <v>7599</v>
      </c>
      <c r="Q11" s="163">
        <v>7691</v>
      </c>
      <c r="R11" s="98">
        <v>7709</v>
      </c>
    </row>
    <row r="12" spans="1:18" ht="15.75" x14ac:dyDescent="0.25">
      <c r="A12" s="84">
        <v>11</v>
      </c>
      <c r="B12" s="162" t="s">
        <v>11</v>
      </c>
      <c r="C12" s="90">
        <v>822</v>
      </c>
      <c r="D12" s="90">
        <v>834</v>
      </c>
      <c r="E12" s="90">
        <v>827</v>
      </c>
      <c r="F12" s="90">
        <v>822</v>
      </c>
      <c r="G12" s="90">
        <v>817</v>
      </c>
      <c r="H12" s="90">
        <v>786</v>
      </c>
      <c r="I12" s="90">
        <v>781</v>
      </c>
      <c r="J12" s="90">
        <v>776</v>
      </c>
      <c r="K12" s="90">
        <v>770</v>
      </c>
      <c r="L12" s="90">
        <v>765</v>
      </c>
      <c r="M12" s="90">
        <v>760</v>
      </c>
      <c r="N12" s="90">
        <v>755</v>
      </c>
      <c r="O12" s="90">
        <v>747</v>
      </c>
      <c r="P12" s="163">
        <v>740</v>
      </c>
      <c r="Q12" s="163">
        <v>734</v>
      </c>
      <c r="R12" s="98">
        <v>725</v>
      </c>
    </row>
    <row r="13" spans="1:18" ht="15.75" x14ac:dyDescent="0.25">
      <c r="A13" s="84">
        <v>12</v>
      </c>
      <c r="B13" s="162" t="s">
        <v>12</v>
      </c>
      <c r="C13" s="90">
        <v>1189</v>
      </c>
      <c r="D13" s="90">
        <v>1182</v>
      </c>
      <c r="E13" s="90">
        <v>1172</v>
      </c>
      <c r="F13" s="90">
        <v>1165</v>
      </c>
      <c r="G13" s="90">
        <v>1158</v>
      </c>
      <c r="H13" s="90">
        <v>1152</v>
      </c>
      <c r="I13" s="90">
        <v>1148</v>
      </c>
      <c r="J13" s="90">
        <v>1144</v>
      </c>
      <c r="K13" s="90">
        <v>1141</v>
      </c>
      <c r="L13" s="90">
        <v>1135</v>
      </c>
      <c r="M13" s="90">
        <v>1130</v>
      </c>
      <c r="N13" s="90">
        <v>1127</v>
      </c>
      <c r="O13" s="90">
        <v>1122</v>
      </c>
      <c r="P13" s="163">
        <v>1114</v>
      </c>
      <c r="Q13" s="163">
        <v>1109</v>
      </c>
      <c r="R13" s="98">
        <v>1098</v>
      </c>
    </row>
    <row r="14" spans="1:18" ht="15.75" x14ac:dyDescent="0.25">
      <c r="A14" s="84">
        <v>13</v>
      </c>
      <c r="B14" s="162" t="s">
        <v>13</v>
      </c>
      <c r="C14" s="90">
        <v>1025</v>
      </c>
      <c r="D14" s="90">
        <v>1006</v>
      </c>
      <c r="E14" s="90">
        <v>994</v>
      </c>
      <c r="F14" s="90">
        <v>983</v>
      </c>
      <c r="G14" s="90">
        <v>974</v>
      </c>
      <c r="H14" s="90">
        <v>983</v>
      </c>
      <c r="I14" s="90">
        <v>981</v>
      </c>
      <c r="J14" s="90">
        <v>975</v>
      </c>
      <c r="K14" s="90">
        <v>968</v>
      </c>
      <c r="L14" s="90">
        <v>965</v>
      </c>
      <c r="M14" s="90">
        <v>959</v>
      </c>
      <c r="N14" s="90">
        <v>953</v>
      </c>
      <c r="O14" s="90">
        <v>950</v>
      </c>
      <c r="P14" s="163">
        <v>942</v>
      </c>
      <c r="Q14" s="163">
        <v>935</v>
      </c>
      <c r="R14" s="98">
        <v>921</v>
      </c>
    </row>
    <row r="15" spans="1:18" ht="15.75" x14ac:dyDescent="0.25">
      <c r="A15" s="84">
        <v>14</v>
      </c>
      <c r="B15" s="162" t="s">
        <v>14</v>
      </c>
      <c r="C15" s="90">
        <v>1139</v>
      </c>
      <c r="D15" s="90">
        <v>1130</v>
      </c>
      <c r="E15" s="90">
        <v>1117</v>
      </c>
      <c r="F15" s="90">
        <v>1106</v>
      </c>
      <c r="G15" s="90">
        <v>1097</v>
      </c>
      <c r="H15" s="90">
        <v>1090</v>
      </c>
      <c r="I15" s="90">
        <v>1082</v>
      </c>
      <c r="J15" s="90">
        <v>1076</v>
      </c>
      <c r="K15" s="90">
        <v>1069</v>
      </c>
      <c r="L15" s="90">
        <v>1062</v>
      </c>
      <c r="M15" s="90">
        <v>1050</v>
      </c>
      <c r="N15" s="90">
        <v>1040</v>
      </c>
      <c r="O15" s="90">
        <v>1033</v>
      </c>
      <c r="P15" s="163">
        <v>1016</v>
      </c>
      <c r="Q15" s="163">
        <v>1007</v>
      </c>
      <c r="R15" s="98">
        <v>994</v>
      </c>
    </row>
    <row r="16" spans="1:18" ht="15.75" x14ac:dyDescent="0.25">
      <c r="A16" s="84">
        <v>15</v>
      </c>
      <c r="B16" s="162" t="s">
        <v>15</v>
      </c>
      <c r="C16" s="90">
        <v>1415</v>
      </c>
      <c r="D16" s="90">
        <v>1407</v>
      </c>
      <c r="E16" s="90">
        <v>1390</v>
      </c>
      <c r="F16" s="90">
        <v>1380</v>
      </c>
      <c r="G16" s="90">
        <v>1369</v>
      </c>
      <c r="H16" s="90">
        <v>1350</v>
      </c>
      <c r="I16" s="90">
        <v>1342</v>
      </c>
      <c r="J16" s="90">
        <v>1334</v>
      </c>
      <c r="K16" s="90">
        <v>1325</v>
      </c>
      <c r="L16" s="90">
        <v>1315</v>
      </c>
      <c r="M16" s="90">
        <v>1305</v>
      </c>
      <c r="N16" s="90">
        <v>1297</v>
      </c>
      <c r="O16" s="90">
        <v>1284</v>
      </c>
      <c r="P16" s="163">
        <v>1270</v>
      </c>
      <c r="Q16" s="163">
        <v>1260</v>
      </c>
      <c r="R16" s="98">
        <v>1246</v>
      </c>
    </row>
    <row r="17" spans="1:18" ht="15.75" x14ac:dyDescent="0.25">
      <c r="A17" s="84">
        <v>16</v>
      </c>
      <c r="B17" s="162" t="s">
        <v>16</v>
      </c>
      <c r="C17" s="90">
        <v>1615</v>
      </c>
      <c r="D17" s="90">
        <v>1600</v>
      </c>
      <c r="E17" s="90">
        <v>1580</v>
      </c>
      <c r="F17" s="90">
        <v>1566</v>
      </c>
      <c r="G17" s="90">
        <v>1553</v>
      </c>
      <c r="H17" s="90">
        <v>1550</v>
      </c>
      <c r="I17" s="90">
        <v>1545</v>
      </c>
      <c r="J17" s="90">
        <v>1532</v>
      </c>
      <c r="K17" s="90">
        <v>1522</v>
      </c>
      <c r="L17" s="90">
        <v>1514</v>
      </c>
      <c r="M17" s="90">
        <v>1506</v>
      </c>
      <c r="N17" s="90">
        <v>1499</v>
      </c>
      <c r="O17" s="90">
        <v>1492</v>
      </c>
      <c r="P17" s="163">
        <v>1479</v>
      </c>
      <c r="Q17" s="163">
        <v>1466</v>
      </c>
      <c r="R17" s="98">
        <v>1449</v>
      </c>
    </row>
    <row r="18" spans="1:18" ht="15.75" x14ac:dyDescent="0.25">
      <c r="A18" s="84">
        <v>17</v>
      </c>
      <c r="B18" s="162" t="s">
        <v>17</v>
      </c>
      <c r="C18" s="90">
        <v>1313</v>
      </c>
      <c r="D18" s="90">
        <v>1328</v>
      </c>
      <c r="E18" s="90">
        <v>1320</v>
      </c>
      <c r="F18" s="90">
        <v>1315</v>
      </c>
      <c r="G18" s="90">
        <v>1310</v>
      </c>
      <c r="H18" s="90">
        <v>1271</v>
      </c>
      <c r="I18" s="90">
        <v>1271</v>
      </c>
      <c r="J18" s="90">
        <v>1272</v>
      </c>
      <c r="K18" s="90">
        <v>1272</v>
      </c>
      <c r="L18" s="90">
        <v>1272</v>
      </c>
      <c r="M18" s="90">
        <v>1272</v>
      </c>
      <c r="N18" s="90">
        <v>1271</v>
      </c>
      <c r="O18" s="90">
        <v>1266</v>
      </c>
      <c r="P18" s="163">
        <v>1260</v>
      </c>
      <c r="Q18" s="163">
        <v>1254</v>
      </c>
      <c r="R18" s="98">
        <v>1241</v>
      </c>
    </row>
    <row r="19" spans="1:18" ht="15.75" x14ac:dyDescent="0.25">
      <c r="A19" s="84">
        <v>18</v>
      </c>
      <c r="B19" s="162" t="s">
        <v>18</v>
      </c>
      <c r="C19" s="90">
        <v>10924</v>
      </c>
      <c r="D19" s="90">
        <v>10425</v>
      </c>
      <c r="E19" s="90">
        <v>10443</v>
      </c>
      <c r="F19" s="90">
        <v>10470</v>
      </c>
      <c r="G19" s="90">
        <v>10509</v>
      </c>
      <c r="H19" s="90">
        <v>11541</v>
      </c>
      <c r="I19" s="90">
        <v>11613</v>
      </c>
      <c r="J19" s="90">
        <v>11980</v>
      </c>
      <c r="K19" s="90">
        <v>12108</v>
      </c>
      <c r="L19" s="90">
        <v>12197</v>
      </c>
      <c r="M19" s="90">
        <v>12330</v>
      </c>
      <c r="N19" s="90">
        <v>12381</v>
      </c>
      <c r="O19" s="90">
        <v>12507</v>
      </c>
      <c r="P19" s="163">
        <v>12615</v>
      </c>
      <c r="Q19" s="163">
        <v>12678</v>
      </c>
      <c r="R19" s="98">
        <v>12655</v>
      </c>
    </row>
    <row r="20" spans="1:18" ht="15.75" x14ac:dyDescent="0.25">
      <c r="A20" s="84">
        <v>19</v>
      </c>
      <c r="B20" s="162" t="s">
        <v>19</v>
      </c>
      <c r="C20" s="90">
        <v>676</v>
      </c>
      <c r="D20" s="90">
        <v>698</v>
      </c>
      <c r="E20" s="90">
        <v>693</v>
      </c>
      <c r="F20" s="90">
        <v>691</v>
      </c>
      <c r="G20" s="90">
        <v>687</v>
      </c>
      <c r="H20" s="90">
        <v>643</v>
      </c>
      <c r="I20" s="90">
        <v>640</v>
      </c>
      <c r="J20" s="90">
        <v>637</v>
      </c>
      <c r="K20" s="90">
        <v>634</v>
      </c>
      <c r="L20" s="90">
        <v>633</v>
      </c>
      <c r="M20" s="90">
        <v>630</v>
      </c>
      <c r="N20" s="90">
        <v>627</v>
      </c>
      <c r="O20" s="90">
        <v>622</v>
      </c>
      <c r="P20" s="163">
        <v>618</v>
      </c>
      <c r="Q20" s="163">
        <v>614</v>
      </c>
      <c r="R20" s="98">
        <v>609</v>
      </c>
    </row>
    <row r="21" spans="1:18" ht="15.75" x14ac:dyDescent="0.25">
      <c r="A21" s="84">
        <v>20</v>
      </c>
      <c r="B21" s="162" t="s">
        <v>20</v>
      </c>
      <c r="C21" s="90">
        <v>963</v>
      </c>
      <c r="D21" s="90">
        <v>985</v>
      </c>
      <c r="E21" s="90">
        <v>975</v>
      </c>
      <c r="F21" s="90">
        <v>968</v>
      </c>
      <c r="G21" s="90">
        <v>959</v>
      </c>
      <c r="H21" s="90">
        <v>899</v>
      </c>
      <c r="I21" s="90">
        <v>890</v>
      </c>
      <c r="J21" s="90">
        <v>880</v>
      </c>
      <c r="K21" s="90">
        <v>872</v>
      </c>
      <c r="L21" s="90">
        <v>864</v>
      </c>
      <c r="M21" s="90">
        <v>857</v>
      </c>
      <c r="N21" s="90">
        <v>850</v>
      </c>
      <c r="O21" s="90">
        <v>841</v>
      </c>
      <c r="P21" s="163">
        <v>830</v>
      </c>
      <c r="Q21" s="163">
        <v>821</v>
      </c>
      <c r="R21" s="98">
        <v>814</v>
      </c>
    </row>
    <row r="22" spans="1:18" ht="15.75" x14ac:dyDescent="0.25">
      <c r="A22" s="84">
        <v>21</v>
      </c>
      <c r="B22" s="162" t="s">
        <v>21</v>
      </c>
      <c r="C22" s="90">
        <v>1282</v>
      </c>
      <c r="D22" s="90">
        <v>1291</v>
      </c>
      <c r="E22" s="90">
        <v>1280</v>
      </c>
      <c r="F22" s="90">
        <v>1272</v>
      </c>
      <c r="G22" s="90">
        <v>1262</v>
      </c>
      <c r="H22" s="90">
        <v>1225</v>
      </c>
      <c r="I22" s="90">
        <v>1213</v>
      </c>
      <c r="J22" s="90">
        <v>1202</v>
      </c>
      <c r="K22" s="90">
        <v>1192</v>
      </c>
      <c r="L22" s="90">
        <v>1183</v>
      </c>
      <c r="M22" s="90">
        <v>1174</v>
      </c>
      <c r="N22" s="90">
        <v>1166</v>
      </c>
      <c r="O22" s="90">
        <v>1155</v>
      </c>
      <c r="P22" s="163">
        <v>1144</v>
      </c>
      <c r="Q22" s="163">
        <v>1136</v>
      </c>
      <c r="R22" s="98">
        <v>1127</v>
      </c>
    </row>
    <row r="23" spans="1:18" ht="15.75" x14ac:dyDescent="0.25">
      <c r="A23" s="84">
        <v>22</v>
      </c>
      <c r="B23" s="162" t="s">
        <v>22</v>
      </c>
      <c r="C23" s="90">
        <v>1235</v>
      </c>
      <c r="D23" s="90">
        <v>1235</v>
      </c>
      <c r="E23" s="90">
        <v>1228</v>
      </c>
      <c r="F23" s="90">
        <v>1223</v>
      </c>
      <c r="G23" s="90">
        <v>1218</v>
      </c>
      <c r="H23" s="90">
        <v>1201</v>
      </c>
      <c r="I23" s="90">
        <v>1198</v>
      </c>
      <c r="J23" s="90">
        <v>1196</v>
      </c>
      <c r="K23" s="90">
        <v>1193</v>
      </c>
      <c r="L23" s="90">
        <v>1191</v>
      </c>
      <c r="M23" s="90">
        <v>1188</v>
      </c>
      <c r="N23" s="90">
        <v>1184</v>
      </c>
      <c r="O23" s="90">
        <v>1177</v>
      </c>
      <c r="P23" s="163">
        <v>1168</v>
      </c>
      <c r="Q23" s="163">
        <v>1160</v>
      </c>
      <c r="R23" s="98">
        <v>1151</v>
      </c>
    </row>
    <row r="24" spans="1:18" ht="15.75" x14ac:dyDescent="0.25">
      <c r="A24" s="84">
        <v>23</v>
      </c>
      <c r="B24" s="162" t="s">
        <v>23</v>
      </c>
      <c r="C24" s="90">
        <v>936</v>
      </c>
      <c r="D24" s="90">
        <v>940</v>
      </c>
      <c r="E24" s="90">
        <v>937</v>
      </c>
      <c r="F24" s="90">
        <v>937</v>
      </c>
      <c r="G24" s="90">
        <v>937</v>
      </c>
      <c r="H24" s="90">
        <v>942</v>
      </c>
      <c r="I24" s="90">
        <v>947</v>
      </c>
      <c r="J24" s="90">
        <v>955</v>
      </c>
      <c r="K24" s="90">
        <v>963</v>
      </c>
      <c r="L24" s="90">
        <v>969</v>
      </c>
      <c r="M24" s="90">
        <v>976</v>
      </c>
      <c r="N24" s="90">
        <v>986</v>
      </c>
      <c r="O24" s="90">
        <v>995</v>
      </c>
      <c r="P24" s="163">
        <v>1002</v>
      </c>
      <c r="Q24" s="163">
        <v>1013</v>
      </c>
      <c r="R24" s="98">
        <v>1019</v>
      </c>
    </row>
    <row r="25" spans="1:18" ht="15.75" x14ac:dyDescent="0.25">
      <c r="A25" s="84">
        <v>24</v>
      </c>
      <c r="B25" s="162" t="s">
        <v>24</v>
      </c>
      <c r="C25" s="90">
        <v>1685</v>
      </c>
      <c r="D25" s="90">
        <v>1644</v>
      </c>
      <c r="E25" s="90">
        <v>1638</v>
      </c>
      <c r="F25" s="90">
        <v>1633</v>
      </c>
      <c r="G25" s="90">
        <v>1632</v>
      </c>
      <c r="H25" s="90">
        <v>1719</v>
      </c>
      <c r="I25" s="90">
        <v>1734</v>
      </c>
      <c r="J25" s="90">
        <v>1751</v>
      </c>
      <c r="K25" s="90">
        <v>1764</v>
      </c>
      <c r="L25" s="90">
        <v>1776</v>
      </c>
      <c r="M25" s="90">
        <v>1779</v>
      </c>
      <c r="N25" s="90">
        <v>1792</v>
      </c>
      <c r="O25" s="90">
        <v>1814</v>
      </c>
      <c r="P25" s="163">
        <v>1848</v>
      </c>
      <c r="Q25" s="163">
        <v>1876</v>
      </c>
      <c r="R25" s="98">
        <v>1893</v>
      </c>
    </row>
    <row r="26" spans="1:18" ht="15.75" x14ac:dyDescent="0.25">
      <c r="A26" s="84">
        <v>25</v>
      </c>
      <c r="B26" s="162" t="s">
        <v>25</v>
      </c>
      <c r="C26" s="90">
        <v>839</v>
      </c>
      <c r="D26" s="90">
        <v>864</v>
      </c>
      <c r="E26" s="90">
        <v>857</v>
      </c>
      <c r="F26" s="90">
        <v>851</v>
      </c>
      <c r="G26" s="90">
        <v>843</v>
      </c>
      <c r="H26" s="90">
        <v>794</v>
      </c>
      <c r="I26" s="90">
        <v>788</v>
      </c>
      <c r="J26" s="90">
        <v>780</v>
      </c>
      <c r="K26" s="90">
        <v>771</v>
      </c>
      <c r="L26" s="90">
        <v>766</v>
      </c>
      <c r="M26" s="90">
        <v>762</v>
      </c>
      <c r="N26" s="90">
        <v>757</v>
      </c>
      <c r="O26" s="90">
        <v>754</v>
      </c>
      <c r="P26" s="163">
        <v>748</v>
      </c>
      <c r="Q26" s="163">
        <v>741</v>
      </c>
      <c r="R26" s="98">
        <v>733</v>
      </c>
    </row>
    <row r="27" spans="1:18" ht="15.75" x14ac:dyDescent="0.25">
      <c r="A27" s="84">
        <v>26</v>
      </c>
      <c r="B27" s="162" t="s">
        <v>26</v>
      </c>
      <c r="C27" s="90">
        <v>666</v>
      </c>
      <c r="D27" s="90">
        <v>665</v>
      </c>
      <c r="E27" s="90">
        <v>657</v>
      </c>
      <c r="F27" s="90">
        <v>652</v>
      </c>
      <c r="G27" s="90">
        <v>646</v>
      </c>
      <c r="H27" s="90">
        <v>633</v>
      </c>
      <c r="I27" s="90">
        <v>630</v>
      </c>
      <c r="J27" s="90">
        <v>626</v>
      </c>
      <c r="K27" s="90">
        <v>623</v>
      </c>
      <c r="L27" s="90">
        <v>619</v>
      </c>
      <c r="M27" s="90">
        <v>616</v>
      </c>
      <c r="N27" s="90">
        <v>613</v>
      </c>
      <c r="O27" s="90">
        <v>606</v>
      </c>
      <c r="P27" s="163">
        <v>600</v>
      </c>
      <c r="Q27" s="163">
        <v>597</v>
      </c>
      <c r="R27" s="98">
        <v>592</v>
      </c>
    </row>
    <row r="28" spans="1:18" ht="15.75" x14ac:dyDescent="0.25">
      <c r="A28" s="84">
        <v>27</v>
      </c>
      <c r="B28" s="162" t="s">
        <v>27</v>
      </c>
      <c r="C28" s="90">
        <v>721</v>
      </c>
      <c r="D28" s="90">
        <v>725</v>
      </c>
      <c r="E28" s="90">
        <v>714</v>
      </c>
      <c r="F28" s="90">
        <v>706</v>
      </c>
      <c r="G28" s="90">
        <v>696</v>
      </c>
      <c r="H28" s="90">
        <v>671</v>
      </c>
      <c r="I28" s="90">
        <v>667</v>
      </c>
      <c r="J28" s="90">
        <v>662</v>
      </c>
      <c r="K28" s="90">
        <v>657</v>
      </c>
      <c r="L28" s="90">
        <v>651</v>
      </c>
      <c r="M28" s="90">
        <v>646</v>
      </c>
      <c r="N28" s="90">
        <v>642</v>
      </c>
      <c r="O28" s="90">
        <v>636</v>
      </c>
      <c r="P28" s="163">
        <v>630</v>
      </c>
      <c r="Q28" s="163">
        <v>626</v>
      </c>
      <c r="R28" s="98">
        <v>620</v>
      </c>
    </row>
    <row r="29" spans="1:18" ht="15.75" x14ac:dyDescent="0.25">
      <c r="A29" s="84">
        <v>28</v>
      </c>
      <c r="B29" s="162" t="s">
        <v>28</v>
      </c>
      <c r="C29" s="90">
        <v>4713</v>
      </c>
      <c r="D29" s="90">
        <v>4581</v>
      </c>
      <c r="E29" s="90">
        <v>4571</v>
      </c>
      <c r="F29" s="90">
        <v>4568</v>
      </c>
      <c r="G29" s="90">
        <v>4582</v>
      </c>
      <c r="H29" s="90">
        <v>4899</v>
      </c>
      <c r="I29" s="90">
        <v>4953</v>
      </c>
      <c r="J29" s="90">
        <v>5028</v>
      </c>
      <c r="K29" s="90">
        <v>5132</v>
      </c>
      <c r="L29" s="90">
        <v>5192</v>
      </c>
      <c r="M29" s="90">
        <v>5226</v>
      </c>
      <c r="N29" s="90">
        <v>5282</v>
      </c>
      <c r="O29" s="90">
        <v>5352</v>
      </c>
      <c r="P29" s="163">
        <v>5384</v>
      </c>
      <c r="Q29" s="163">
        <v>5398</v>
      </c>
      <c r="R29" s="98">
        <v>5384</v>
      </c>
    </row>
    <row r="30" spans="1:18" ht="15.75" x14ac:dyDescent="0.25">
      <c r="A30" s="84">
        <v>29</v>
      </c>
      <c r="B30" s="162" t="s">
        <v>29</v>
      </c>
      <c r="C30" s="90">
        <v>441</v>
      </c>
      <c r="D30" s="90">
        <v>443</v>
      </c>
      <c r="E30" s="90">
        <v>441</v>
      </c>
      <c r="F30" s="90">
        <v>441</v>
      </c>
      <c r="G30" s="90">
        <v>443</v>
      </c>
      <c r="H30" s="90">
        <v>440</v>
      </c>
      <c r="I30" s="90">
        <v>443</v>
      </c>
      <c r="J30" s="90">
        <v>445</v>
      </c>
      <c r="K30" s="90">
        <v>446</v>
      </c>
      <c r="L30" s="90">
        <v>449</v>
      </c>
      <c r="M30" s="90">
        <v>451</v>
      </c>
      <c r="N30" s="90">
        <v>454</v>
      </c>
      <c r="O30" s="90">
        <v>454</v>
      </c>
      <c r="P30" s="163">
        <v>455</v>
      </c>
      <c r="Q30" s="163">
        <v>463</v>
      </c>
      <c r="R30" s="98">
        <v>463</v>
      </c>
    </row>
    <row r="31" spans="1:18" ht="15.75" x14ac:dyDescent="0.25">
      <c r="A31" s="84">
        <v>30</v>
      </c>
      <c r="B31" s="162" t="s">
        <v>30</v>
      </c>
      <c r="C31" s="90">
        <v>294</v>
      </c>
      <c r="D31" s="90">
        <v>289</v>
      </c>
      <c r="E31" s="90">
        <v>287</v>
      </c>
      <c r="F31" s="90">
        <v>286</v>
      </c>
      <c r="G31" s="90">
        <v>284</v>
      </c>
      <c r="H31" s="90">
        <v>289</v>
      </c>
      <c r="I31" s="90">
        <v>287</v>
      </c>
      <c r="J31" s="90">
        <v>284</v>
      </c>
      <c r="K31" s="90">
        <v>282</v>
      </c>
      <c r="L31" s="90">
        <v>281</v>
      </c>
      <c r="M31" s="90">
        <v>279</v>
      </c>
      <c r="N31" s="90">
        <v>278</v>
      </c>
      <c r="O31" s="90">
        <v>275</v>
      </c>
      <c r="P31" s="163">
        <v>272</v>
      </c>
      <c r="Q31" s="163">
        <v>271</v>
      </c>
      <c r="R31" s="98">
        <v>270</v>
      </c>
    </row>
    <row r="32" spans="1:18" ht="15.75" x14ac:dyDescent="0.25">
      <c r="A32" s="84">
        <v>31</v>
      </c>
      <c r="B32" s="162" t="s">
        <v>31</v>
      </c>
      <c r="C32" s="113"/>
      <c r="D32" s="113"/>
      <c r="E32" s="113"/>
      <c r="F32" s="113"/>
      <c r="G32" s="113"/>
      <c r="H32" s="113"/>
      <c r="I32" s="113"/>
      <c r="J32" s="113"/>
      <c r="K32" s="113"/>
      <c r="L32" s="90">
        <v>1896</v>
      </c>
      <c r="M32" s="90">
        <v>1907</v>
      </c>
      <c r="N32" s="90">
        <v>1912</v>
      </c>
      <c r="O32" s="90">
        <v>1914</v>
      </c>
      <c r="P32" s="163">
        <v>1912</v>
      </c>
      <c r="Q32" s="163">
        <v>1912</v>
      </c>
      <c r="R32" s="98">
        <v>1902</v>
      </c>
    </row>
    <row r="33" spans="1:18" ht="15.75" x14ac:dyDescent="0.25">
      <c r="A33" s="84">
        <v>32</v>
      </c>
      <c r="B33" s="162" t="s">
        <v>32</v>
      </c>
      <c r="C33" s="90">
        <v>5127</v>
      </c>
      <c r="D33" s="90">
        <v>5096</v>
      </c>
      <c r="E33" s="90">
        <v>5101</v>
      </c>
      <c r="F33" s="90">
        <v>5122</v>
      </c>
      <c r="G33" s="90">
        <v>5142</v>
      </c>
      <c r="H33" s="90">
        <v>5230</v>
      </c>
      <c r="I33" s="90">
        <v>5284</v>
      </c>
      <c r="J33" s="90">
        <v>5330</v>
      </c>
      <c r="K33" s="90">
        <v>5404</v>
      </c>
      <c r="L33" s="90">
        <v>5454</v>
      </c>
      <c r="M33" s="90">
        <v>5514</v>
      </c>
      <c r="N33" s="90">
        <v>5571</v>
      </c>
      <c r="O33" s="90">
        <v>5603</v>
      </c>
      <c r="P33" s="163">
        <v>5648</v>
      </c>
      <c r="Q33" s="163">
        <v>5676</v>
      </c>
      <c r="R33" s="98">
        <v>5684</v>
      </c>
    </row>
    <row r="34" spans="1:18" ht="15.75" x14ac:dyDescent="0.25">
      <c r="A34" s="84">
        <v>33</v>
      </c>
      <c r="B34" s="162" t="s">
        <v>33</v>
      </c>
      <c r="C34" s="90">
        <v>1003</v>
      </c>
      <c r="D34" s="90">
        <v>994</v>
      </c>
      <c r="E34" s="90">
        <v>994</v>
      </c>
      <c r="F34" s="90">
        <v>1001</v>
      </c>
      <c r="G34" s="90">
        <v>1005</v>
      </c>
      <c r="H34" s="90">
        <v>1010</v>
      </c>
      <c r="I34" s="90">
        <v>1015</v>
      </c>
      <c r="J34" s="90">
        <v>1014</v>
      </c>
      <c r="K34" s="90">
        <v>1017</v>
      </c>
      <c r="L34" s="90">
        <v>1021</v>
      </c>
      <c r="M34" s="90">
        <v>1019</v>
      </c>
      <c r="N34" s="90">
        <v>1019</v>
      </c>
      <c r="O34" s="90">
        <v>1017</v>
      </c>
      <c r="P34" s="163">
        <v>1014</v>
      </c>
      <c r="Q34" s="163">
        <v>1006</v>
      </c>
      <c r="R34" s="98">
        <v>998</v>
      </c>
    </row>
    <row r="35" spans="1:18" ht="15.75" x14ac:dyDescent="0.25">
      <c r="A35" s="84">
        <v>34</v>
      </c>
      <c r="B35" s="162" t="s">
        <v>34</v>
      </c>
      <c r="C35" s="90">
        <v>2640</v>
      </c>
      <c r="D35" s="90">
        <v>2636</v>
      </c>
      <c r="E35" s="90">
        <v>2620</v>
      </c>
      <c r="F35" s="90">
        <v>2609</v>
      </c>
      <c r="G35" s="90">
        <v>2599</v>
      </c>
      <c r="H35" s="90">
        <v>2607</v>
      </c>
      <c r="I35" s="90">
        <v>2595</v>
      </c>
      <c r="J35" s="90">
        <v>2583</v>
      </c>
      <c r="K35" s="90">
        <v>2569</v>
      </c>
      <c r="L35" s="90">
        <v>2557</v>
      </c>
      <c r="M35" s="90">
        <v>2546</v>
      </c>
      <c r="N35" s="90">
        <v>2535</v>
      </c>
      <c r="O35" s="90">
        <v>2521</v>
      </c>
      <c r="P35" s="163">
        <v>2508</v>
      </c>
      <c r="Q35" s="163">
        <v>2491</v>
      </c>
      <c r="R35" s="98">
        <v>2475</v>
      </c>
    </row>
    <row r="36" spans="1:18" ht="15.75" x14ac:dyDescent="0.25">
      <c r="A36" s="84">
        <v>35</v>
      </c>
      <c r="B36" s="162" t="s">
        <v>35</v>
      </c>
      <c r="C36" s="90">
        <v>4332</v>
      </c>
      <c r="D36" s="90">
        <v>4304</v>
      </c>
      <c r="E36" s="90">
        <v>4276</v>
      </c>
      <c r="F36" s="90">
        <v>4255</v>
      </c>
      <c r="G36" s="90">
        <v>4242</v>
      </c>
      <c r="H36" s="90">
        <v>4275</v>
      </c>
      <c r="I36" s="90">
        <v>4260</v>
      </c>
      <c r="J36" s="90">
        <v>4254</v>
      </c>
      <c r="K36" s="90">
        <v>4246</v>
      </c>
      <c r="L36" s="90">
        <v>4242</v>
      </c>
      <c r="M36" s="90">
        <v>4236</v>
      </c>
      <c r="N36" s="90">
        <v>4231</v>
      </c>
      <c r="O36" s="90">
        <v>4221</v>
      </c>
      <c r="P36" s="163">
        <v>4203</v>
      </c>
      <c r="Q36" s="163">
        <v>4198</v>
      </c>
      <c r="R36" s="98">
        <v>4182</v>
      </c>
    </row>
    <row r="37" spans="1:18" ht="15.75" x14ac:dyDescent="0.25">
      <c r="A37" s="84">
        <v>36</v>
      </c>
      <c r="B37" s="162" t="s">
        <v>36</v>
      </c>
      <c r="C37" s="113"/>
      <c r="D37" s="113"/>
      <c r="E37" s="113"/>
      <c r="F37" s="113"/>
      <c r="G37" s="113"/>
      <c r="H37" s="113"/>
      <c r="I37" s="113"/>
      <c r="J37" s="113"/>
      <c r="K37" s="113"/>
      <c r="L37" s="90">
        <v>399</v>
      </c>
      <c r="M37" s="90">
        <v>416</v>
      </c>
      <c r="N37" s="90">
        <v>429</v>
      </c>
      <c r="O37" s="90">
        <v>437</v>
      </c>
      <c r="P37" s="163">
        <v>443</v>
      </c>
      <c r="Q37" s="163">
        <v>449</v>
      </c>
      <c r="R37" s="98">
        <v>510</v>
      </c>
    </row>
    <row r="38" spans="1:18" ht="15.75" x14ac:dyDescent="0.25">
      <c r="A38" s="84">
        <v>37</v>
      </c>
      <c r="B38" s="162" t="s">
        <v>37</v>
      </c>
      <c r="C38" s="90">
        <v>2693</v>
      </c>
      <c r="D38" s="90">
        <v>2641</v>
      </c>
      <c r="E38" s="90">
        <v>2659</v>
      </c>
      <c r="F38" s="90">
        <v>2688</v>
      </c>
      <c r="G38" s="90">
        <v>2712</v>
      </c>
      <c r="H38" s="90">
        <v>2914</v>
      </c>
      <c r="I38" s="90">
        <v>2931</v>
      </c>
      <c r="J38" s="90">
        <v>2946</v>
      </c>
      <c r="K38" s="90">
        <v>2964</v>
      </c>
      <c r="L38" s="90">
        <v>2990</v>
      </c>
      <c r="M38" s="90">
        <v>3015</v>
      </c>
      <c r="N38" s="90">
        <v>3042</v>
      </c>
      <c r="O38" s="90">
        <v>3064</v>
      </c>
      <c r="P38" s="163">
        <v>3086</v>
      </c>
      <c r="Q38" s="163">
        <v>3111</v>
      </c>
      <c r="R38" s="98">
        <v>3133</v>
      </c>
    </row>
    <row r="39" spans="1:18" ht="15.75" x14ac:dyDescent="0.25">
      <c r="A39" s="84">
        <v>38</v>
      </c>
      <c r="B39" s="162" t="s">
        <v>38</v>
      </c>
      <c r="C39" s="90">
        <v>417</v>
      </c>
      <c r="D39" s="90">
        <v>487</v>
      </c>
      <c r="E39" s="90">
        <v>493</v>
      </c>
      <c r="F39" s="90">
        <v>499</v>
      </c>
      <c r="G39" s="90">
        <v>508</v>
      </c>
      <c r="H39" s="90">
        <v>415</v>
      </c>
      <c r="I39" s="90">
        <v>430</v>
      </c>
      <c r="J39" s="90">
        <v>442</v>
      </c>
      <c r="K39" s="90">
        <v>453</v>
      </c>
      <c r="L39" s="90">
        <v>464</v>
      </c>
      <c r="M39" s="90">
        <v>473</v>
      </c>
      <c r="N39" s="90">
        <v>481</v>
      </c>
      <c r="O39" s="90">
        <v>488</v>
      </c>
      <c r="P39" s="163">
        <v>498</v>
      </c>
      <c r="Q39" s="163">
        <v>507</v>
      </c>
      <c r="R39" s="98">
        <v>516</v>
      </c>
    </row>
    <row r="40" spans="1:18" ht="15.75" x14ac:dyDescent="0.25">
      <c r="A40" s="84">
        <v>39</v>
      </c>
      <c r="B40" s="162" t="s">
        <v>42</v>
      </c>
      <c r="C40" s="90">
        <v>866</v>
      </c>
      <c r="D40" s="90">
        <v>894</v>
      </c>
      <c r="E40" s="90">
        <v>891</v>
      </c>
      <c r="F40" s="90">
        <v>891</v>
      </c>
      <c r="G40" s="90">
        <v>892</v>
      </c>
      <c r="H40" s="90">
        <v>860</v>
      </c>
      <c r="I40" s="90">
        <v>859</v>
      </c>
      <c r="J40" s="90">
        <v>859</v>
      </c>
      <c r="K40" s="90">
        <v>859</v>
      </c>
      <c r="L40" s="90">
        <v>861</v>
      </c>
      <c r="M40" s="90">
        <v>862</v>
      </c>
      <c r="N40" s="90">
        <v>865</v>
      </c>
      <c r="O40" s="90">
        <v>865</v>
      </c>
      <c r="P40" s="163">
        <v>866</v>
      </c>
      <c r="Q40" s="163">
        <v>868</v>
      </c>
      <c r="R40" s="98">
        <v>869</v>
      </c>
    </row>
    <row r="41" spans="1:18" ht="15.75" x14ac:dyDescent="0.25">
      <c r="A41" s="84">
        <v>40</v>
      </c>
      <c r="B41" s="162" t="s">
        <v>39</v>
      </c>
      <c r="C41" s="90">
        <v>455</v>
      </c>
      <c r="D41" s="90">
        <v>431</v>
      </c>
      <c r="E41" s="90">
        <v>429</v>
      </c>
      <c r="F41" s="90">
        <v>427</v>
      </c>
      <c r="G41" s="90">
        <v>427</v>
      </c>
      <c r="H41" s="90">
        <v>477</v>
      </c>
      <c r="I41" s="90">
        <v>475</v>
      </c>
      <c r="J41" s="90">
        <v>472</v>
      </c>
      <c r="K41" s="90">
        <v>470</v>
      </c>
      <c r="L41" s="90">
        <v>469</v>
      </c>
      <c r="M41" s="90">
        <v>468</v>
      </c>
      <c r="N41" s="90">
        <v>466</v>
      </c>
      <c r="O41" s="90">
        <v>466</v>
      </c>
      <c r="P41" s="163">
        <v>466</v>
      </c>
      <c r="Q41" s="163">
        <v>466</v>
      </c>
      <c r="R41" s="98">
        <v>465</v>
      </c>
    </row>
    <row r="42" spans="1:18" ht="15.75" customHeight="1" x14ac:dyDescent="0.25">
      <c r="A42" s="84">
        <v>41</v>
      </c>
      <c r="B42" s="162" t="s">
        <v>43</v>
      </c>
      <c r="C42" s="90">
        <v>707</v>
      </c>
      <c r="D42" s="90">
        <v>702</v>
      </c>
      <c r="E42" s="90">
        <v>701</v>
      </c>
      <c r="F42" s="90">
        <v>702</v>
      </c>
      <c r="G42" s="90">
        <v>702</v>
      </c>
      <c r="H42" s="90">
        <v>712</v>
      </c>
      <c r="I42" s="90">
        <v>709</v>
      </c>
      <c r="J42" s="90">
        <v>706</v>
      </c>
      <c r="K42" s="90">
        <v>704</v>
      </c>
      <c r="L42" s="90">
        <v>706</v>
      </c>
      <c r="M42" s="90">
        <v>704</v>
      </c>
      <c r="N42" s="90">
        <v>703</v>
      </c>
      <c r="O42" s="90">
        <v>702</v>
      </c>
      <c r="P42" s="163">
        <v>699</v>
      </c>
      <c r="Q42" s="163">
        <v>697</v>
      </c>
      <c r="R42" s="98">
        <v>693</v>
      </c>
    </row>
    <row r="43" spans="1:18" ht="15.75" x14ac:dyDescent="0.25">
      <c r="A43" s="84">
        <v>42</v>
      </c>
      <c r="B43" s="162" t="s">
        <v>40</v>
      </c>
      <c r="C43" s="90">
        <v>1152</v>
      </c>
      <c r="D43" s="90">
        <v>1163</v>
      </c>
      <c r="E43" s="90">
        <v>1184</v>
      </c>
      <c r="F43" s="90">
        <v>1209</v>
      </c>
      <c r="G43" s="90">
        <v>1239</v>
      </c>
      <c r="H43" s="90">
        <v>1275</v>
      </c>
      <c r="I43" s="90">
        <v>1302</v>
      </c>
      <c r="J43" s="90">
        <v>1325</v>
      </c>
      <c r="K43" s="90">
        <v>1346</v>
      </c>
      <c r="L43" s="90">
        <v>1370</v>
      </c>
      <c r="M43" s="90">
        <v>1394</v>
      </c>
      <c r="N43" s="90">
        <v>1415</v>
      </c>
      <c r="O43" s="90">
        <v>1437</v>
      </c>
      <c r="P43" s="163">
        <v>1457</v>
      </c>
      <c r="Q43" s="163">
        <v>1479</v>
      </c>
      <c r="R43" s="98">
        <v>1498</v>
      </c>
    </row>
    <row r="44" spans="1:18" ht="15.75" x14ac:dyDescent="0.25">
      <c r="A44" s="84">
        <v>43</v>
      </c>
      <c r="B44" s="162" t="s">
        <v>41</v>
      </c>
      <c r="C44" s="90">
        <v>2747</v>
      </c>
      <c r="D44" s="90">
        <v>2710</v>
      </c>
      <c r="E44" s="90">
        <v>2701</v>
      </c>
      <c r="F44" s="90">
        <v>2705</v>
      </c>
      <c r="G44" s="90">
        <v>2707</v>
      </c>
      <c r="H44" s="90">
        <v>2786</v>
      </c>
      <c r="I44" s="90">
        <v>2787</v>
      </c>
      <c r="J44" s="90">
        <v>2791</v>
      </c>
      <c r="K44" s="90">
        <v>2794</v>
      </c>
      <c r="L44" s="90">
        <v>2799</v>
      </c>
      <c r="M44" s="90">
        <v>2802</v>
      </c>
      <c r="N44" s="90">
        <v>2804</v>
      </c>
      <c r="O44" s="90">
        <v>2801</v>
      </c>
      <c r="P44" s="163">
        <v>2795</v>
      </c>
      <c r="Q44" s="163">
        <v>2803</v>
      </c>
      <c r="R44" s="98">
        <v>2793</v>
      </c>
    </row>
    <row r="45" spans="1:18" ht="15.75" x14ac:dyDescent="0.25">
      <c r="A45" s="84">
        <v>44</v>
      </c>
      <c r="B45" s="162" t="s">
        <v>44</v>
      </c>
      <c r="C45" s="90">
        <v>4066</v>
      </c>
      <c r="D45" s="90">
        <v>4063</v>
      </c>
      <c r="E45" s="90">
        <v>4051</v>
      </c>
      <c r="F45" s="90">
        <v>4053</v>
      </c>
      <c r="G45" s="90">
        <v>4057</v>
      </c>
      <c r="H45" s="90">
        <v>4072</v>
      </c>
      <c r="I45" s="90">
        <v>4064</v>
      </c>
      <c r="J45" s="90">
        <v>4061</v>
      </c>
      <c r="K45" s="90">
        <v>4070</v>
      </c>
      <c r="L45" s="90">
        <v>4072</v>
      </c>
      <c r="M45" s="90">
        <v>4071</v>
      </c>
      <c r="N45" s="90">
        <v>4067</v>
      </c>
      <c r="O45" s="90">
        <v>4063</v>
      </c>
      <c r="P45" s="163">
        <v>4051</v>
      </c>
      <c r="Q45" s="163">
        <v>4038</v>
      </c>
      <c r="R45" s="98">
        <v>4014</v>
      </c>
    </row>
    <row r="46" spans="1:18" ht="15.75" x14ac:dyDescent="0.25">
      <c r="A46" s="84">
        <v>45</v>
      </c>
      <c r="B46" s="162" t="s">
        <v>45</v>
      </c>
      <c r="C46" s="90">
        <v>713</v>
      </c>
      <c r="D46" s="90">
        <v>712</v>
      </c>
      <c r="E46" s="90">
        <v>707</v>
      </c>
      <c r="F46" s="90">
        <v>703</v>
      </c>
      <c r="G46" s="90">
        <v>700</v>
      </c>
      <c r="H46" s="90">
        <v>695</v>
      </c>
      <c r="I46" s="90">
        <v>692</v>
      </c>
      <c r="J46" s="90">
        <v>690</v>
      </c>
      <c r="K46" s="90">
        <v>688</v>
      </c>
      <c r="L46" s="90">
        <v>687</v>
      </c>
      <c r="M46" s="90">
        <v>686</v>
      </c>
      <c r="N46" s="90">
        <v>685</v>
      </c>
      <c r="O46" s="90">
        <v>682</v>
      </c>
      <c r="P46" s="163">
        <v>681</v>
      </c>
      <c r="Q46" s="163">
        <v>679</v>
      </c>
      <c r="R46" s="98">
        <v>675</v>
      </c>
    </row>
    <row r="47" spans="1:18" ht="15.75" x14ac:dyDescent="0.25">
      <c r="A47" s="84">
        <v>46</v>
      </c>
      <c r="B47" s="162" t="s">
        <v>46</v>
      </c>
      <c r="C47" s="90">
        <v>865</v>
      </c>
      <c r="D47" s="90">
        <v>857</v>
      </c>
      <c r="E47" s="90">
        <v>848</v>
      </c>
      <c r="F47" s="90">
        <v>840</v>
      </c>
      <c r="G47" s="90">
        <v>833</v>
      </c>
      <c r="H47" s="90">
        <v>834</v>
      </c>
      <c r="I47" s="90">
        <v>825</v>
      </c>
      <c r="J47" s="90">
        <v>819</v>
      </c>
      <c r="K47" s="90">
        <v>812</v>
      </c>
      <c r="L47" s="90">
        <v>809</v>
      </c>
      <c r="M47" s="90">
        <v>807</v>
      </c>
      <c r="N47" s="90">
        <v>808</v>
      </c>
      <c r="O47" s="90">
        <v>805</v>
      </c>
      <c r="P47" s="163">
        <v>795</v>
      </c>
      <c r="Q47" s="163">
        <v>790</v>
      </c>
      <c r="R47" s="98">
        <v>779</v>
      </c>
    </row>
    <row r="48" spans="1:18" ht="15.75" x14ac:dyDescent="0.25">
      <c r="A48" s="84">
        <v>47</v>
      </c>
      <c r="B48" s="162" t="s">
        <v>47</v>
      </c>
      <c r="C48" s="90">
        <v>3762</v>
      </c>
      <c r="D48" s="90">
        <v>3762</v>
      </c>
      <c r="E48" s="90">
        <v>3760</v>
      </c>
      <c r="F48" s="90">
        <v>3763</v>
      </c>
      <c r="G48" s="90">
        <v>3769</v>
      </c>
      <c r="H48" s="90">
        <v>3787</v>
      </c>
      <c r="I48" s="90">
        <v>3803</v>
      </c>
      <c r="J48" s="90">
        <v>3822</v>
      </c>
      <c r="K48" s="90">
        <v>3838</v>
      </c>
      <c r="L48" s="90">
        <v>3855</v>
      </c>
      <c r="M48" s="90">
        <v>3869</v>
      </c>
      <c r="N48" s="90">
        <v>3885</v>
      </c>
      <c r="O48" s="90">
        <v>3895</v>
      </c>
      <c r="P48" s="163">
        <v>3899</v>
      </c>
      <c r="Q48" s="163">
        <v>3903</v>
      </c>
      <c r="R48" s="98">
        <v>3894</v>
      </c>
    </row>
    <row r="49" spans="1:18" ht="15.75" x14ac:dyDescent="0.25">
      <c r="A49" s="84">
        <v>48</v>
      </c>
      <c r="B49" s="162" t="s">
        <v>48</v>
      </c>
      <c r="C49" s="90">
        <v>1546</v>
      </c>
      <c r="D49" s="90">
        <v>1544</v>
      </c>
      <c r="E49" s="90">
        <v>1538</v>
      </c>
      <c r="F49" s="90">
        <v>1533</v>
      </c>
      <c r="G49" s="90">
        <v>1529</v>
      </c>
      <c r="H49" s="90">
        <v>1520</v>
      </c>
      <c r="I49" s="90">
        <v>1518</v>
      </c>
      <c r="J49" s="90">
        <v>1518</v>
      </c>
      <c r="K49" s="90">
        <v>1517</v>
      </c>
      <c r="L49" s="90">
        <v>1518</v>
      </c>
      <c r="M49" s="90">
        <v>1517</v>
      </c>
      <c r="N49" s="90">
        <v>1517</v>
      </c>
      <c r="O49" s="90">
        <v>1513</v>
      </c>
      <c r="P49" s="163">
        <v>1507</v>
      </c>
      <c r="Q49" s="163">
        <v>1501</v>
      </c>
      <c r="R49" s="98">
        <v>1493</v>
      </c>
    </row>
    <row r="50" spans="1:18" ht="15.75" x14ac:dyDescent="0.25">
      <c r="A50" s="84">
        <v>49</v>
      </c>
      <c r="B50" s="162" t="s">
        <v>49</v>
      </c>
      <c r="C50" s="90">
        <v>1279</v>
      </c>
      <c r="D50" s="90">
        <v>1292</v>
      </c>
      <c r="E50" s="90">
        <v>1286</v>
      </c>
      <c r="F50" s="90">
        <v>1282</v>
      </c>
      <c r="G50" s="90">
        <v>1279</v>
      </c>
      <c r="H50" s="90">
        <v>1251</v>
      </c>
      <c r="I50" s="90">
        <v>1247</v>
      </c>
      <c r="J50" s="90">
        <v>1244</v>
      </c>
      <c r="K50" s="90">
        <v>1240</v>
      </c>
      <c r="L50" s="90">
        <v>1238</v>
      </c>
      <c r="M50" s="90">
        <v>1237</v>
      </c>
      <c r="N50" s="90">
        <v>1236</v>
      </c>
      <c r="O50" s="90">
        <v>1231</v>
      </c>
      <c r="P50" s="163">
        <v>1223</v>
      </c>
      <c r="Q50" s="163">
        <v>1218</v>
      </c>
      <c r="R50" s="98">
        <v>1208</v>
      </c>
    </row>
    <row r="51" spans="1:18" ht="15.75" x14ac:dyDescent="0.25">
      <c r="A51" s="84">
        <v>50</v>
      </c>
      <c r="B51" s="162" t="s">
        <v>50</v>
      </c>
      <c r="C51" s="90">
        <v>2719</v>
      </c>
      <c r="D51" s="90">
        <v>2748</v>
      </c>
      <c r="E51" s="90">
        <v>2731</v>
      </c>
      <c r="F51" s="90">
        <v>2718</v>
      </c>
      <c r="G51" s="90">
        <v>2708</v>
      </c>
      <c r="H51" s="90">
        <v>2634</v>
      </c>
      <c r="I51" s="90">
        <v>2631</v>
      </c>
      <c r="J51" s="90">
        <v>2634</v>
      </c>
      <c r="K51" s="90">
        <v>2636</v>
      </c>
      <c r="L51" s="90">
        <v>2637</v>
      </c>
      <c r="M51" s="90">
        <v>2634</v>
      </c>
      <c r="N51" s="90">
        <v>2632</v>
      </c>
      <c r="O51" s="90">
        <v>2623</v>
      </c>
      <c r="P51" s="163">
        <v>2611</v>
      </c>
      <c r="Q51" s="163">
        <v>2599</v>
      </c>
      <c r="R51" s="98">
        <v>2579</v>
      </c>
    </row>
    <row r="52" spans="1:18" ht="15.75" x14ac:dyDescent="0.25">
      <c r="A52" s="84">
        <v>51</v>
      </c>
      <c r="B52" s="162" t="s">
        <v>51</v>
      </c>
      <c r="C52" s="90">
        <v>1419</v>
      </c>
      <c r="D52" s="90">
        <v>1443</v>
      </c>
      <c r="E52" s="90">
        <v>1427</v>
      </c>
      <c r="F52" s="90">
        <v>1413</v>
      </c>
      <c r="G52" s="90">
        <v>1401</v>
      </c>
      <c r="H52" s="90">
        <v>1339</v>
      </c>
      <c r="I52" s="90">
        <v>1328</v>
      </c>
      <c r="J52" s="90">
        <v>1319</v>
      </c>
      <c r="K52" s="90">
        <v>1311</v>
      </c>
      <c r="L52" s="90">
        <v>1304</v>
      </c>
      <c r="M52" s="90">
        <v>1297</v>
      </c>
      <c r="N52" s="90">
        <v>1292</v>
      </c>
      <c r="O52" s="90">
        <v>1283</v>
      </c>
      <c r="P52" s="163">
        <v>1272</v>
      </c>
      <c r="Q52" s="163">
        <v>1263</v>
      </c>
      <c r="R52" s="98">
        <v>1250</v>
      </c>
    </row>
    <row r="53" spans="1:18" ht="15.75" x14ac:dyDescent="0.25">
      <c r="A53" s="84">
        <v>52</v>
      </c>
      <c r="B53" s="162" t="s">
        <v>52</v>
      </c>
      <c r="C53" s="90">
        <v>3414</v>
      </c>
      <c r="D53" s="90">
        <v>3411</v>
      </c>
      <c r="E53" s="90">
        <v>3381</v>
      </c>
      <c r="F53" s="90">
        <v>3360</v>
      </c>
      <c r="G53" s="90">
        <v>3341</v>
      </c>
      <c r="H53" s="90">
        <v>3308</v>
      </c>
      <c r="I53" s="90">
        <v>3297</v>
      </c>
      <c r="J53" s="90">
        <v>3290</v>
      </c>
      <c r="K53" s="90">
        <v>3281</v>
      </c>
      <c r="L53" s="90">
        <v>3270</v>
      </c>
      <c r="M53" s="90">
        <v>3260</v>
      </c>
      <c r="N53" s="90">
        <v>3248</v>
      </c>
      <c r="O53" s="90">
        <v>3235</v>
      </c>
      <c r="P53" s="163">
        <v>3215</v>
      </c>
      <c r="Q53" s="163">
        <v>3203</v>
      </c>
      <c r="R53" s="98">
        <v>3177</v>
      </c>
    </row>
    <row r="54" spans="1:18" ht="15.75" x14ac:dyDescent="0.25">
      <c r="A54" s="84">
        <v>53</v>
      </c>
      <c r="B54" s="162" t="s">
        <v>53</v>
      </c>
      <c r="C54" s="90">
        <v>2093</v>
      </c>
      <c r="D54" s="90">
        <v>2138</v>
      </c>
      <c r="E54" s="90">
        <v>2126</v>
      </c>
      <c r="F54" s="90">
        <v>2119</v>
      </c>
      <c r="G54" s="90">
        <v>2112</v>
      </c>
      <c r="H54" s="90">
        <v>2032</v>
      </c>
      <c r="I54" s="90">
        <v>2024</v>
      </c>
      <c r="J54" s="90">
        <v>2016</v>
      </c>
      <c r="K54" s="90">
        <v>2009</v>
      </c>
      <c r="L54" s="90">
        <v>2001</v>
      </c>
      <c r="M54" s="90">
        <v>1995</v>
      </c>
      <c r="N54" s="90">
        <v>1990</v>
      </c>
      <c r="O54" s="90">
        <v>1978</v>
      </c>
      <c r="P54" s="163">
        <v>1963</v>
      </c>
      <c r="Q54" s="163">
        <v>1957</v>
      </c>
      <c r="R54" s="98">
        <v>1943</v>
      </c>
    </row>
    <row r="55" spans="1:18" ht="15.75" x14ac:dyDescent="0.25">
      <c r="A55" s="84">
        <v>54</v>
      </c>
      <c r="B55" s="162" t="s">
        <v>54</v>
      </c>
      <c r="C55" s="90">
        <v>1420</v>
      </c>
      <c r="D55" s="90">
        <v>1408</v>
      </c>
      <c r="E55" s="90">
        <v>1396</v>
      </c>
      <c r="F55" s="90">
        <v>1388</v>
      </c>
      <c r="G55" s="90">
        <v>1380</v>
      </c>
      <c r="H55" s="90">
        <v>1384</v>
      </c>
      <c r="I55" s="90">
        <v>1377</v>
      </c>
      <c r="J55" s="90">
        <v>1369</v>
      </c>
      <c r="K55" s="90">
        <v>1361</v>
      </c>
      <c r="L55" s="90">
        <v>1356</v>
      </c>
      <c r="M55" s="90">
        <v>1349</v>
      </c>
      <c r="N55" s="90">
        <v>1342</v>
      </c>
      <c r="O55" s="90">
        <v>1332</v>
      </c>
      <c r="P55" s="163">
        <v>1318</v>
      </c>
      <c r="Q55" s="163">
        <v>1306</v>
      </c>
      <c r="R55" s="98">
        <v>1291</v>
      </c>
    </row>
    <row r="56" spans="1:18" ht="15.75" x14ac:dyDescent="0.25">
      <c r="A56" s="84">
        <v>55</v>
      </c>
      <c r="B56" s="162" t="s">
        <v>55</v>
      </c>
      <c r="C56" s="90">
        <v>3226</v>
      </c>
      <c r="D56" s="90">
        <v>3189</v>
      </c>
      <c r="E56" s="90">
        <v>3178</v>
      </c>
      <c r="F56" s="90">
        <v>3173</v>
      </c>
      <c r="G56" s="90">
        <v>3171</v>
      </c>
      <c r="H56" s="90">
        <v>3215</v>
      </c>
      <c r="I56" s="90">
        <v>3214</v>
      </c>
      <c r="J56" s="90">
        <v>3213</v>
      </c>
      <c r="K56" s="90">
        <v>3211</v>
      </c>
      <c r="L56" s="90">
        <v>3213</v>
      </c>
      <c r="M56" s="90">
        <v>3206</v>
      </c>
      <c r="N56" s="90">
        <v>3203</v>
      </c>
      <c r="O56" s="90">
        <v>3193</v>
      </c>
      <c r="P56" s="163">
        <v>3183</v>
      </c>
      <c r="Q56" s="163">
        <v>3179</v>
      </c>
      <c r="R56" s="98">
        <v>3154</v>
      </c>
    </row>
    <row r="57" spans="1:18" ht="15.75" x14ac:dyDescent="0.25">
      <c r="A57" s="84">
        <v>56</v>
      </c>
      <c r="B57" s="162" t="s">
        <v>56</v>
      </c>
      <c r="C57" s="90">
        <v>2591</v>
      </c>
      <c r="D57" s="90">
        <v>2608</v>
      </c>
      <c r="E57" s="90">
        <v>2595</v>
      </c>
      <c r="F57" s="90">
        <v>2584</v>
      </c>
      <c r="G57" s="90">
        <v>2573</v>
      </c>
      <c r="H57" s="90">
        <v>2519</v>
      </c>
      <c r="I57" s="90">
        <v>2509</v>
      </c>
      <c r="J57" s="90">
        <v>2503</v>
      </c>
      <c r="K57" s="90">
        <v>2497</v>
      </c>
      <c r="L57" s="90">
        <v>2493</v>
      </c>
      <c r="M57" s="90">
        <v>2488</v>
      </c>
      <c r="N57" s="90">
        <v>2479</v>
      </c>
      <c r="O57" s="90">
        <v>2463</v>
      </c>
      <c r="P57" s="163">
        <v>2441</v>
      </c>
      <c r="Q57" s="163">
        <v>2422</v>
      </c>
      <c r="R57" s="98">
        <v>2395</v>
      </c>
    </row>
    <row r="58" spans="1:18" ht="15.75" x14ac:dyDescent="0.25">
      <c r="A58" s="84">
        <v>57</v>
      </c>
      <c r="B58" s="162" t="s">
        <v>57</v>
      </c>
      <c r="C58" s="90">
        <v>1340</v>
      </c>
      <c r="D58" s="90">
        <v>1336</v>
      </c>
      <c r="E58" s="90">
        <v>1322</v>
      </c>
      <c r="F58" s="90">
        <v>1312</v>
      </c>
      <c r="G58" s="90">
        <v>1305</v>
      </c>
      <c r="H58" s="90">
        <v>1290</v>
      </c>
      <c r="I58" s="90">
        <v>1282</v>
      </c>
      <c r="J58" s="90">
        <v>1274</v>
      </c>
      <c r="K58" s="90">
        <v>1268</v>
      </c>
      <c r="L58" s="90">
        <v>1262</v>
      </c>
      <c r="M58" s="90">
        <v>1258</v>
      </c>
      <c r="N58" s="90">
        <v>1253</v>
      </c>
      <c r="O58" s="90">
        <v>1247</v>
      </c>
      <c r="P58" s="163">
        <v>1238</v>
      </c>
      <c r="Q58" s="163">
        <v>1230</v>
      </c>
      <c r="R58" s="98">
        <v>1218</v>
      </c>
    </row>
    <row r="59" spans="1:18" ht="15.75" x14ac:dyDescent="0.25">
      <c r="A59" s="84">
        <v>58</v>
      </c>
      <c r="B59" s="162" t="s">
        <v>58</v>
      </c>
      <c r="C59" s="90">
        <v>962</v>
      </c>
      <c r="D59" s="90">
        <v>980</v>
      </c>
      <c r="E59" s="90">
        <v>969</v>
      </c>
      <c r="F59" s="90">
        <v>960</v>
      </c>
      <c r="G59" s="90">
        <v>953</v>
      </c>
      <c r="H59" s="90">
        <v>909</v>
      </c>
      <c r="I59" s="90">
        <v>896</v>
      </c>
      <c r="J59" s="90">
        <v>886</v>
      </c>
      <c r="K59" s="90">
        <v>877</v>
      </c>
      <c r="L59" s="90">
        <v>870</v>
      </c>
      <c r="M59" s="90">
        <v>862</v>
      </c>
      <c r="N59" s="90">
        <v>854</v>
      </c>
      <c r="O59" s="90">
        <v>846</v>
      </c>
      <c r="P59" s="163">
        <v>835</v>
      </c>
      <c r="Q59" s="163">
        <v>827</v>
      </c>
      <c r="R59" s="98">
        <v>819</v>
      </c>
    </row>
    <row r="60" spans="1:18" ht="15.75" x14ac:dyDescent="0.25">
      <c r="A60" s="84">
        <v>59</v>
      </c>
      <c r="B60" s="162" t="s">
        <v>59</v>
      </c>
      <c r="C60" s="90">
        <v>4356</v>
      </c>
      <c r="D60" s="90">
        <v>4410</v>
      </c>
      <c r="E60" s="90">
        <v>4400</v>
      </c>
      <c r="F60" s="90">
        <v>4396</v>
      </c>
      <c r="G60" s="90">
        <v>4395</v>
      </c>
      <c r="H60" s="90">
        <v>4297</v>
      </c>
      <c r="I60" s="90">
        <v>4307</v>
      </c>
      <c r="J60" s="90">
        <v>4316</v>
      </c>
      <c r="K60" s="90">
        <v>4321</v>
      </c>
      <c r="L60" s="90">
        <v>4327</v>
      </c>
      <c r="M60" s="90">
        <v>4330</v>
      </c>
      <c r="N60" s="90">
        <v>4329</v>
      </c>
      <c r="O60" s="90">
        <v>4325</v>
      </c>
      <c r="P60" s="163">
        <v>4316</v>
      </c>
      <c r="Q60" s="163">
        <v>4311</v>
      </c>
      <c r="R60" s="98">
        <v>4290</v>
      </c>
    </row>
    <row r="61" spans="1:18" ht="15.75" x14ac:dyDescent="0.25">
      <c r="A61" s="84">
        <v>60</v>
      </c>
      <c r="B61" s="162" t="s">
        <v>60</v>
      </c>
      <c r="C61" s="90">
        <v>3294</v>
      </c>
      <c r="D61" s="90">
        <v>3323</v>
      </c>
      <c r="E61" s="90">
        <v>3345</v>
      </c>
      <c r="F61" s="90">
        <v>3374</v>
      </c>
      <c r="G61" s="90">
        <v>3399</v>
      </c>
      <c r="H61" s="90">
        <v>3405</v>
      </c>
      <c r="I61" s="90">
        <v>3460</v>
      </c>
      <c r="J61" s="90">
        <v>3511</v>
      </c>
      <c r="K61" s="90">
        <v>3546</v>
      </c>
      <c r="L61" s="90">
        <v>3581</v>
      </c>
      <c r="M61" s="90">
        <v>3615</v>
      </c>
      <c r="N61" s="90">
        <v>3660</v>
      </c>
      <c r="O61" s="90">
        <v>3692</v>
      </c>
      <c r="P61" s="163">
        <v>3723</v>
      </c>
      <c r="Q61" s="163">
        <v>3757</v>
      </c>
      <c r="R61" s="98">
        <v>3778</v>
      </c>
    </row>
    <row r="62" spans="1:18" ht="15.75" x14ac:dyDescent="0.25">
      <c r="A62" s="84">
        <v>61</v>
      </c>
      <c r="B62" s="84" t="s">
        <v>61</v>
      </c>
      <c r="C62" s="90">
        <v>3517</v>
      </c>
      <c r="D62" s="90">
        <v>3531</v>
      </c>
      <c r="E62" s="90">
        <v>3517</v>
      </c>
      <c r="F62" s="90">
        <v>3511</v>
      </c>
      <c r="G62" s="90">
        <v>3508</v>
      </c>
      <c r="H62" s="90">
        <v>3476</v>
      </c>
      <c r="I62" s="90">
        <v>3480</v>
      </c>
      <c r="J62" s="90">
        <v>3485</v>
      </c>
      <c r="K62" s="90">
        <v>3490</v>
      </c>
      <c r="L62" s="90">
        <v>3498</v>
      </c>
      <c r="M62" s="90">
        <v>3501</v>
      </c>
      <c r="N62" s="90">
        <v>3502</v>
      </c>
      <c r="O62" s="90">
        <v>3493</v>
      </c>
      <c r="P62" s="163">
        <v>3476</v>
      </c>
      <c r="Q62" s="163">
        <v>3466</v>
      </c>
      <c r="R62" s="98">
        <v>3443</v>
      </c>
    </row>
    <row r="63" spans="1:18" ht="15.75" x14ac:dyDescent="0.25">
      <c r="A63" s="84">
        <v>62</v>
      </c>
      <c r="B63" s="84" t="s">
        <v>62</v>
      </c>
      <c r="C63" s="90">
        <v>202</v>
      </c>
      <c r="D63" s="90">
        <v>204</v>
      </c>
      <c r="E63" s="90">
        <v>205</v>
      </c>
      <c r="F63" s="90">
        <v>207</v>
      </c>
      <c r="G63" s="90">
        <v>209</v>
      </c>
      <c r="H63" s="90">
        <v>207</v>
      </c>
      <c r="I63" s="90">
        <v>209</v>
      </c>
      <c r="J63" s="90">
        <v>210</v>
      </c>
      <c r="K63" s="90">
        <v>211</v>
      </c>
      <c r="L63" s="90">
        <v>214</v>
      </c>
      <c r="M63" s="90">
        <v>215</v>
      </c>
      <c r="N63" s="90">
        <v>217</v>
      </c>
      <c r="O63" s="90">
        <v>218</v>
      </c>
      <c r="P63" s="163">
        <v>219</v>
      </c>
      <c r="Q63" s="163">
        <v>220</v>
      </c>
      <c r="R63" s="98">
        <v>221</v>
      </c>
    </row>
    <row r="64" spans="1:18" ht="15.75" x14ac:dyDescent="0.25">
      <c r="A64" s="84">
        <v>63</v>
      </c>
      <c r="B64" s="84" t="s">
        <v>63</v>
      </c>
      <c r="C64" s="90">
        <v>967</v>
      </c>
      <c r="D64" s="90">
        <v>964</v>
      </c>
      <c r="E64" s="90">
        <v>960</v>
      </c>
      <c r="F64" s="90">
        <v>960</v>
      </c>
      <c r="G64" s="90">
        <v>961</v>
      </c>
      <c r="H64" s="90">
        <v>972</v>
      </c>
      <c r="I64" s="90">
        <v>971</v>
      </c>
      <c r="J64" s="90">
        <v>972</v>
      </c>
      <c r="K64" s="90">
        <v>974</v>
      </c>
      <c r="L64" s="90">
        <v>978</v>
      </c>
      <c r="M64" s="90">
        <v>982</v>
      </c>
      <c r="N64" s="90">
        <v>984</v>
      </c>
      <c r="O64" s="90">
        <v>985</v>
      </c>
      <c r="P64" s="163">
        <v>983</v>
      </c>
      <c r="Q64" s="163">
        <v>986</v>
      </c>
      <c r="R64" s="98">
        <v>985</v>
      </c>
    </row>
    <row r="65" spans="1:18" ht="15.75" x14ac:dyDescent="0.25">
      <c r="A65" s="84">
        <v>64</v>
      </c>
      <c r="B65" s="162" t="s">
        <v>64</v>
      </c>
      <c r="C65" s="90">
        <v>303</v>
      </c>
      <c r="D65" s="90">
        <v>309</v>
      </c>
      <c r="E65" s="90">
        <v>309</v>
      </c>
      <c r="F65" s="90">
        <v>312</v>
      </c>
      <c r="G65" s="90">
        <v>314</v>
      </c>
      <c r="H65" s="90">
        <v>308</v>
      </c>
      <c r="I65" s="90">
        <v>309</v>
      </c>
      <c r="J65" s="90">
        <v>310</v>
      </c>
      <c r="K65" s="90">
        <v>312</v>
      </c>
      <c r="L65" s="90">
        <v>314</v>
      </c>
      <c r="M65" s="90">
        <v>316</v>
      </c>
      <c r="N65" s="90">
        <v>318</v>
      </c>
      <c r="O65" s="90">
        <v>322</v>
      </c>
      <c r="P65" s="163">
        <v>324</v>
      </c>
      <c r="Q65" s="163">
        <v>327</v>
      </c>
      <c r="R65" s="98">
        <v>330</v>
      </c>
    </row>
    <row r="66" spans="1:18" ht="15.75" x14ac:dyDescent="0.25">
      <c r="A66" s="84">
        <v>65</v>
      </c>
      <c r="B66" s="162" t="s">
        <v>65</v>
      </c>
      <c r="C66" s="90">
        <v>534</v>
      </c>
      <c r="D66" s="90">
        <v>538</v>
      </c>
      <c r="E66" s="90">
        <v>537</v>
      </c>
      <c r="F66" s="90">
        <v>537</v>
      </c>
      <c r="G66" s="90">
        <v>538</v>
      </c>
      <c r="H66" s="90">
        <v>532</v>
      </c>
      <c r="I66" s="90">
        <v>532</v>
      </c>
      <c r="J66" s="90">
        <v>533</v>
      </c>
      <c r="K66" s="90">
        <v>534</v>
      </c>
      <c r="L66" s="90">
        <v>536</v>
      </c>
      <c r="M66" s="90">
        <v>537</v>
      </c>
      <c r="N66" s="90">
        <v>537</v>
      </c>
      <c r="O66" s="90">
        <v>538</v>
      </c>
      <c r="P66" s="163">
        <v>537</v>
      </c>
      <c r="Q66" s="163">
        <v>534</v>
      </c>
      <c r="R66" s="98">
        <v>532</v>
      </c>
    </row>
    <row r="67" spans="1:18" ht="15.75" x14ac:dyDescent="0.25">
      <c r="A67" s="84">
        <v>66</v>
      </c>
      <c r="B67" s="84" t="s">
        <v>66</v>
      </c>
      <c r="C67" s="90">
        <v>2503</v>
      </c>
      <c r="D67" s="90">
        <v>2543</v>
      </c>
      <c r="E67" s="90">
        <v>2523</v>
      </c>
      <c r="F67" s="90">
        <v>2508</v>
      </c>
      <c r="G67" s="90">
        <v>2497</v>
      </c>
      <c r="H67" s="90">
        <v>2417</v>
      </c>
      <c r="I67" s="90">
        <v>2407</v>
      </c>
      <c r="J67" s="90">
        <v>2399</v>
      </c>
      <c r="K67" s="90">
        <v>2391</v>
      </c>
      <c r="L67" s="90">
        <v>2385</v>
      </c>
      <c r="M67" s="90">
        <v>2377</v>
      </c>
      <c r="N67" s="90">
        <v>2366</v>
      </c>
      <c r="O67" s="90">
        <v>2350</v>
      </c>
      <c r="P67" s="163">
        <v>2333</v>
      </c>
      <c r="Q67" s="163">
        <v>2317</v>
      </c>
      <c r="R67" s="98">
        <v>2296</v>
      </c>
    </row>
    <row r="68" spans="1:18" ht="15.75" x14ac:dyDescent="0.25">
      <c r="A68" s="84">
        <v>67</v>
      </c>
      <c r="B68" s="84" t="s">
        <v>73</v>
      </c>
      <c r="C68" s="90">
        <v>1124</v>
      </c>
      <c r="D68" s="90">
        <v>1128</v>
      </c>
      <c r="E68" s="90">
        <v>1122</v>
      </c>
      <c r="F68" s="90">
        <v>1119</v>
      </c>
      <c r="G68" s="90">
        <v>1117</v>
      </c>
      <c r="H68" s="90">
        <v>1106</v>
      </c>
      <c r="I68" s="90">
        <v>1100</v>
      </c>
      <c r="J68" s="90">
        <v>1095</v>
      </c>
      <c r="K68" s="90">
        <v>1090</v>
      </c>
      <c r="L68" s="90">
        <v>1087</v>
      </c>
      <c r="M68" s="90">
        <v>1083</v>
      </c>
      <c r="N68" s="90">
        <v>1079</v>
      </c>
      <c r="O68" s="90">
        <v>1073</v>
      </c>
      <c r="P68" s="163">
        <v>1066</v>
      </c>
      <c r="Q68" s="163">
        <v>1060</v>
      </c>
      <c r="R68" s="98">
        <v>1053</v>
      </c>
    </row>
    <row r="69" spans="1:18" ht="15.75" x14ac:dyDescent="0.25">
      <c r="A69" s="84">
        <v>68</v>
      </c>
      <c r="B69" s="162" t="s">
        <v>67</v>
      </c>
      <c r="C69" s="90">
        <v>2869</v>
      </c>
      <c r="D69" s="90">
        <v>2906</v>
      </c>
      <c r="E69" s="90">
        <v>2894</v>
      </c>
      <c r="F69" s="90">
        <v>2890</v>
      </c>
      <c r="G69" s="90">
        <v>2890</v>
      </c>
      <c r="H69" s="90">
        <v>2829</v>
      </c>
      <c r="I69" s="90">
        <v>2838</v>
      </c>
      <c r="J69" s="90">
        <v>2847</v>
      </c>
      <c r="K69" s="90">
        <v>2853</v>
      </c>
      <c r="L69" s="90">
        <v>2859</v>
      </c>
      <c r="M69" s="90">
        <v>2866</v>
      </c>
      <c r="N69" s="90">
        <v>2875</v>
      </c>
      <c r="O69" s="90">
        <v>2876</v>
      </c>
      <c r="P69" s="163">
        <v>2874</v>
      </c>
      <c r="Q69" s="163">
        <v>2866</v>
      </c>
      <c r="R69" s="98">
        <v>2856</v>
      </c>
    </row>
    <row r="70" spans="1:18" ht="15.75" x14ac:dyDescent="0.25">
      <c r="A70" s="84">
        <v>69</v>
      </c>
      <c r="B70" s="162" t="s">
        <v>68</v>
      </c>
      <c r="C70" s="90">
        <v>2492</v>
      </c>
      <c r="D70" s="90">
        <v>2527</v>
      </c>
      <c r="E70" s="90">
        <v>2514</v>
      </c>
      <c r="F70" s="90">
        <v>2508</v>
      </c>
      <c r="G70" s="90">
        <v>2505</v>
      </c>
      <c r="H70" s="90">
        <v>2428</v>
      </c>
      <c r="I70" s="90">
        <v>2424</v>
      </c>
      <c r="J70" s="90">
        <v>2422</v>
      </c>
      <c r="K70" s="90">
        <v>2418</v>
      </c>
      <c r="L70" s="90">
        <v>2415</v>
      </c>
      <c r="M70" s="90">
        <v>2413</v>
      </c>
      <c r="N70" s="90">
        <v>2409</v>
      </c>
      <c r="O70" s="90">
        <v>2404</v>
      </c>
      <c r="P70" s="163">
        <v>2398</v>
      </c>
      <c r="Q70" s="163">
        <v>2391</v>
      </c>
      <c r="R70" s="98">
        <v>2375</v>
      </c>
    </row>
    <row r="71" spans="1:18" ht="15.75" x14ac:dyDescent="0.25">
      <c r="A71" s="84">
        <v>70</v>
      </c>
      <c r="B71" s="162" t="s">
        <v>69</v>
      </c>
      <c r="C71" s="90">
        <v>2806</v>
      </c>
      <c r="D71" s="90">
        <v>2839</v>
      </c>
      <c r="E71" s="90">
        <v>2826</v>
      </c>
      <c r="F71" s="90">
        <v>2823</v>
      </c>
      <c r="G71" s="90">
        <v>2822</v>
      </c>
      <c r="H71" s="90">
        <v>2761</v>
      </c>
      <c r="I71" s="90">
        <v>2751</v>
      </c>
      <c r="J71" s="90">
        <v>2742</v>
      </c>
      <c r="K71" s="90">
        <v>2734</v>
      </c>
      <c r="L71" s="90">
        <v>2725</v>
      </c>
      <c r="M71" s="90">
        <v>2718</v>
      </c>
      <c r="N71" s="90">
        <v>2709</v>
      </c>
      <c r="O71" s="90">
        <v>2695</v>
      </c>
      <c r="P71" s="163">
        <v>2674</v>
      </c>
      <c r="Q71" s="163">
        <v>2658</v>
      </c>
      <c r="R71" s="98">
        <v>2633</v>
      </c>
    </row>
    <row r="72" spans="1:18" ht="15.75" x14ac:dyDescent="0.25">
      <c r="A72" s="84">
        <v>71</v>
      </c>
      <c r="B72" s="162" t="s">
        <v>70</v>
      </c>
      <c r="C72" s="90">
        <v>2655</v>
      </c>
      <c r="D72" s="90">
        <v>2650</v>
      </c>
      <c r="E72" s="90">
        <v>2641</v>
      </c>
      <c r="F72" s="90">
        <v>2636</v>
      </c>
      <c r="G72" s="90">
        <v>2640</v>
      </c>
      <c r="H72" s="90">
        <v>2666</v>
      </c>
      <c r="I72" s="90">
        <v>2687</v>
      </c>
      <c r="J72" s="90">
        <v>2710</v>
      </c>
      <c r="K72" s="90">
        <v>2731</v>
      </c>
      <c r="L72" s="90">
        <v>2747</v>
      </c>
      <c r="M72" s="90">
        <v>2762</v>
      </c>
      <c r="N72" s="90">
        <v>2780</v>
      </c>
      <c r="O72" s="90">
        <v>2789</v>
      </c>
      <c r="P72" s="163">
        <v>2793</v>
      </c>
      <c r="Q72" s="163">
        <v>2798</v>
      </c>
      <c r="R72" s="98">
        <v>2786</v>
      </c>
    </row>
    <row r="73" spans="1:18" ht="15.75" x14ac:dyDescent="0.25">
      <c r="A73" s="84">
        <v>72</v>
      </c>
      <c r="B73" s="162" t="s">
        <v>71</v>
      </c>
      <c r="C73" s="90">
        <v>2016</v>
      </c>
      <c r="D73" s="90">
        <v>2035</v>
      </c>
      <c r="E73" s="90">
        <v>2026</v>
      </c>
      <c r="F73" s="90">
        <v>2018</v>
      </c>
      <c r="G73" s="90">
        <v>2014</v>
      </c>
      <c r="H73" s="90">
        <v>1977</v>
      </c>
      <c r="I73" s="90">
        <v>1975</v>
      </c>
      <c r="J73" s="90">
        <v>1974</v>
      </c>
      <c r="K73" s="90">
        <v>1974</v>
      </c>
      <c r="L73" s="90">
        <v>1978</v>
      </c>
      <c r="M73" s="90">
        <v>1978</v>
      </c>
      <c r="N73" s="90">
        <v>1973</v>
      </c>
      <c r="O73" s="90">
        <v>1960</v>
      </c>
      <c r="P73" s="163">
        <v>1944</v>
      </c>
      <c r="Q73" s="163">
        <v>1927</v>
      </c>
      <c r="R73" s="98">
        <v>1904</v>
      </c>
    </row>
    <row r="74" spans="1:18" ht="15.75" x14ac:dyDescent="0.25">
      <c r="A74" s="84">
        <v>73</v>
      </c>
      <c r="B74" s="162" t="s">
        <v>72</v>
      </c>
      <c r="C74" s="90">
        <v>1024</v>
      </c>
      <c r="D74" s="90">
        <v>1034</v>
      </c>
      <c r="E74" s="90">
        <v>1033</v>
      </c>
      <c r="F74" s="90">
        <v>1035</v>
      </c>
      <c r="G74" s="90">
        <v>1038</v>
      </c>
      <c r="H74" s="90">
        <v>1049</v>
      </c>
      <c r="I74" s="90">
        <v>1058</v>
      </c>
      <c r="J74" s="90">
        <v>1064</v>
      </c>
      <c r="K74" s="90">
        <v>1070</v>
      </c>
      <c r="L74" s="90">
        <v>1074</v>
      </c>
      <c r="M74" s="90">
        <v>1077</v>
      </c>
      <c r="N74" s="90">
        <v>1079</v>
      </c>
      <c r="O74" s="90">
        <v>1078</v>
      </c>
      <c r="P74" s="163">
        <v>1077</v>
      </c>
      <c r="Q74" s="163">
        <v>1080</v>
      </c>
      <c r="R74" s="98">
        <v>1070</v>
      </c>
    </row>
    <row r="75" spans="1:18" ht="15.75" x14ac:dyDescent="0.25">
      <c r="A75" s="84">
        <v>74</v>
      </c>
      <c r="B75" s="84" t="s">
        <v>74</v>
      </c>
      <c r="C75" s="90">
        <v>954</v>
      </c>
      <c r="D75" s="90">
        <v>950</v>
      </c>
      <c r="E75" s="90">
        <v>950</v>
      </c>
      <c r="F75" s="90">
        <v>951</v>
      </c>
      <c r="G75" s="90">
        <v>950</v>
      </c>
      <c r="H75" s="90">
        <v>958</v>
      </c>
      <c r="I75" s="90">
        <v>956</v>
      </c>
      <c r="J75" s="90">
        <v>956</v>
      </c>
      <c r="K75" s="90">
        <v>955</v>
      </c>
      <c r="L75" s="90">
        <v>957</v>
      </c>
      <c r="M75" s="90">
        <v>960</v>
      </c>
      <c r="N75" s="90">
        <v>963</v>
      </c>
      <c r="O75" s="90">
        <v>964</v>
      </c>
      <c r="P75" s="163">
        <v>967</v>
      </c>
      <c r="Q75" s="163">
        <v>972</v>
      </c>
      <c r="R75" s="98">
        <v>982</v>
      </c>
    </row>
    <row r="76" spans="1:18" ht="15.75" x14ac:dyDescent="0.25">
      <c r="A76" s="84">
        <v>75</v>
      </c>
      <c r="B76" s="162" t="s">
        <v>75</v>
      </c>
      <c r="C76" s="90">
        <v>337</v>
      </c>
      <c r="D76" s="90">
        <v>349</v>
      </c>
      <c r="E76" s="90">
        <v>347</v>
      </c>
      <c r="F76" s="90">
        <v>346</v>
      </c>
      <c r="G76" s="90">
        <v>344</v>
      </c>
      <c r="H76" s="90">
        <v>322</v>
      </c>
      <c r="I76" s="90">
        <v>320</v>
      </c>
      <c r="J76" s="90">
        <v>320</v>
      </c>
      <c r="K76" s="90">
        <v>320</v>
      </c>
      <c r="L76" s="90">
        <v>317</v>
      </c>
      <c r="M76" s="90">
        <v>316</v>
      </c>
      <c r="N76" s="90">
        <v>315</v>
      </c>
      <c r="O76" s="90">
        <v>316</v>
      </c>
      <c r="P76" s="163">
        <v>315</v>
      </c>
      <c r="Q76" s="163">
        <v>313</v>
      </c>
      <c r="R76" s="98">
        <v>311</v>
      </c>
    </row>
    <row r="77" spans="1:18" ht="15.75" x14ac:dyDescent="0.25">
      <c r="A77" s="84">
        <v>76</v>
      </c>
      <c r="B77" s="162" t="s">
        <v>76</v>
      </c>
      <c r="C77" s="90">
        <v>2007</v>
      </c>
      <c r="D77" s="90">
        <v>2019</v>
      </c>
      <c r="E77" s="90">
        <v>2006</v>
      </c>
      <c r="F77" s="90">
        <v>1996</v>
      </c>
      <c r="G77" s="90">
        <v>1988</v>
      </c>
      <c r="H77" s="90">
        <v>1953</v>
      </c>
      <c r="I77" s="90">
        <v>1951</v>
      </c>
      <c r="J77" s="90">
        <v>1947</v>
      </c>
      <c r="K77" s="90">
        <v>1938</v>
      </c>
      <c r="L77" s="90">
        <v>1933</v>
      </c>
      <c r="M77" s="90">
        <v>1929</v>
      </c>
      <c r="N77" s="90">
        <v>1923</v>
      </c>
      <c r="O77" s="90">
        <v>1913</v>
      </c>
      <c r="P77" s="163">
        <v>1902</v>
      </c>
      <c r="Q77" s="163">
        <v>1896</v>
      </c>
      <c r="R77" s="98">
        <v>1878</v>
      </c>
    </row>
    <row r="78" spans="1:18" ht="15.75" x14ac:dyDescent="0.25">
      <c r="A78" s="84">
        <v>77</v>
      </c>
      <c r="B78" s="162" t="s">
        <v>77</v>
      </c>
      <c r="C78" s="90">
        <v>1376</v>
      </c>
      <c r="D78" s="90">
        <v>1412</v>
      </c>
      <c r="E78" s="90">
        <v>1405</v>
      </c>
      <c r="F78" s="90">
        <v>1404</v>
      </c>
      <c r="G78" s="90">
        <v>1402</v>
      </c>
      <c r="H78" s="90">
        <v>1343</v>
      </c>
      <c r="I78" s="90">
        <v>1342</v>
      </c>
      <c r="J78" s="90">
        <v>1342</v>
      </c>
      <c r="K78" s="90">
        <v>1340</v>
      </c>
      <c r="L78" s="90">
        <v>1338</v>
      </c>
      <c r="M78" s="90">
        <v>1334</v>
      </c>
      <c r="N78" s="90">
        <v>1333</v>
      </c>
      <c r="O78" s="90">
        <v>1328</v>
      </c>
      <c r="P78" s="163">
        <v>1321</v>
      </c>
      <c r="Q78" s="163">
        <v>1316</v>
      </c>
      <c r="R78" s="98">
        <v>1301</v>
      </c>
    </row>
    <row r="79" spans="1:18" ht="15.75" x14ac:dyDescent="0.25">
      <c r="A79" s="84">
        <v>78</v>
      </c>
      <c r="B79" s="162" t="s">
        <v>78</v>
      </c>
      <c r="C79" s="90">
        <v>861</v>
      </c>
      <c r="D79" s="90">
        <v>881</v>
      </c>
      <c r="E79" s="90">
        <v>875</v>
      </c>
      <c r="F79" s="90">
        <v>870</v>
      </c>
      <c r="G79" s="90">
        <v>864</v>
      </c>
      <c r="H79" s="90">
        <v>829</v>
      </c>
      <c r="I79" s="90">
        <v>821</v>
      </c>
      <c r="J79" s="90">
        <v>817</v>
      </c>
      <c r="K79" s="90">
        <v>811</v>
      </c>
      <c r="L79" s="90">
        <v>810</v>
      </c>
      <c r="M79" s="90">
        <v>806</v>
      </c>
      <c r="N79" s="90">
        <v>802</v>
      </c>
      <c r="O79" s="90">
        <v>798</v>
      </c>
      <c r="P79" s="163">
        <v>794</v>
      </c>
      <c r="Q79" s="163">
        <v>790</v>
      </c>
      <c r="R79" s="98">
        <v>782</v>
      </c>
    </row>
    <row r="80" spans="1:18" ht="15.75" x14ac:dyDescent="0.25">
      <c r="A80" s="84">
        <v>79</v>
      </c>
      <c r="B80" s="162" t="s">
        <v>79</v>
      </c>
      <c r="C80" s="90">
        <v>170</v>
      </c>
      <c r="D80" s="90">
        <v>172</v>
      </c>
      <c r="E80" s="90">
        <v>169</v>
      </c>
      <c r="F80" s="90">
        <v>166</v>
      </c>
      <c r="G80" s="90">
        <v>163</v>
      </c>
      <c r="H80" s="90">
        <v>156</v>
      </c>
      <c r="I80" s="90">
        <v>155</v>
      </c>
      <c r="J80" s="90">
        <v>152</v>
      </c>
      <c r="K80" s="90">
        <v>150</v>
      </c>
      <c r="L80" s="90">
        <v>148</v>
      </c>
      <c r="M80" s="90">
        <v>147</v>
      </c>
      <c r="N80" s="90">
        <v>146</v>
      </c>
      <c r="O80" s="90">
        <v>144</v>
      </c>
      <c r="P80" s="163">
        <v>141</v>
      </c>
      <c r="Q80" s="163">
        <v>140</v>
      </c>
      <c r="R80" s="98">
        <v>139</v>
      </c>
    </row>
    <row r="81" spans="1:18" ht="15.75" x14ac:dyDescent="0.25">
      <c r="A81" s="84">
        <v>80</v>
      </c>
      <c r="B81" s="162" t="s">
        <v>80</v>
      </c>
      <c r="C81" s="90">
        <v>521</v>
      </c>
      <c r="D81" s="90">
        <v>526</v>
      </c>
      <c r="E81" s="90">
        <v>521</v>
      </c>
      <c r="F81" s="90">
        <v>518</v>
      </c>
      <c r="G81" s="90">
        <v>514</v>
      </c>
      <c r="H81" s="90">
        <v>497</v>
      </c>
      <c r="I81" s="90">
        <v>495</v>
      </c>
      <c r="J81" s="90">
        <v>494</v>
      </c>
      <c r="K81" s="90">
        <v>491</v>
      </c>
      <c r="L81" s="90">
        <v>488</v>
      </c>
      <c r="M81" s="90">
        <v>487</v>
      </c>
      <c r="N81" s="90">
        <v>487</v>
      </c>
      <c r="O81" s="90">
        <v>490</v>
      </c>
      <c r="P81" s="163">
        <v>490</v>
      </c>
      <c r="Q81" s="163">
        <v>488</v>
      </c>
      <c r="R81" s="98">
        <v>486</v>
      </c>
    </row>
    <row r="82" spans="1:18" ht="15.75" x14ac:dyDescent="0.25">
      <c r="A82" s="84">
        <v>81</v>
      </c>
      <c r="B82" s="162" t="s">
        <v>81</v>
      </c>
      <c r="C82" s="90">
        <v>182</v>
      </c>
      <c r="D82" s="90">
        <v>187</v>
      </c>
      <c r="E82" s="90">
        <v>186</v>
      </c>
      <c r="F82" s="90">
        <v>186</v>
      </c>
      <c r="G82" s="90">
        <v>185</v>
      </c>
      <c r="H82" s="90">
        <v>176</v>
      </c>
      <c r="I82" s="90">
        <v>175</v>
      </c>
      <c r="J82" s="90">
        <v>173</v>
      </c>
      <c r="K82" s="90">
        <v>171</v>
      </c>
      <c r="L82" s="90">
        <v>169</v>
      </c>
      <c r="M82" s="90">
        <v>166</v>
      </c>
      <c r="N82" s="90">
        <v>164</v>
      </c>
      <c r="O82" s="90">
        <v>162</v>
      </c>
      <c r="P82" s="163">
        <v>160</v>
      </c>
      <c r="Q82" s="163">
        <v>158</v>
      </c>
      <c r="R82" s="98">
        <v>157</v>
      </c>
    </row>
    <row r="83" spans="1:18" ht="15.75" x14ac:dyDescent="0.25">
      <c r="A83" s="84">
        <v>82</v>
      </c>
      <c r="B83" s="162" t="s">
        <v>82</v>
      </c>
      <c r="C83" s="90">
        <v>52</v>
      </c>
      <c r="D83" s="90">
        <v>51</v>
      </c>
      <c r="E83" s="90">
        <v>50</v>
      </c>
      <c r="F83" s="90">
        <v>50</v>
      </c>
      <c r="G83" s="90">
        <v>50</v>
      </c>
      <c r="H83" s="90">
        <v>51</v>
      </c>
      <c r="I83" s="90">
        <v>51</v>
      </c>
      <c r="J83" s="90">
        <v>51</v>
      </c>
      <c r="K83" s="90">
        <v>51</v>
      </c>
      <c r="L83" s="90">
        <v>51</v>
      </c>
      <c r="M83" s="90">
        <v>50</v>
      </c>
      <c r="N83" s="90">
        <v>50</v>
      </c>
      <c r="O83" s="90">
        <v>50</v>
      </c>
      <c r="P83" s="163">
        <v>50</v>
      </c>
      <c r="Q83" s="163">
        <v>50</v>
      </c>
      <c r="R83" s="98">
        <v>50</v>
      </c>
    </row>
    <row r="84" spans="1:18" x14ac:dyDescent="0.25">
      <c r="J84">
        <f>SUM(J2:J83)</f>
        <v>143347</v>
      </c>
      <c r="K84">
        <f>SUM(K2:K83)</f>
        <v>143667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Q85"/>
  <sheetViews>
    <sheetView workbookViewId="0">
      <selection activeCell="Q2" sqref="Q2:Q83"/>
    </sheetView>
  </sheetViews>
  <sheetFormatPr defaultRowHeight="15" x14ac:dyDescent="0.25"/>
  <cols>
    <col min="1" max="1" width="35.85546875" customWidth="1"/>
    <col min="2" max="4" width="9.28515625" bestFit="1" customWidth="1"/>
    <col min="5" max="7" width="9.5703125" hidden="1" customWidth="1"/>
    <col min="8" max="14" width="9.28515625" hidden="1" customWidth="1"/>
    <col min="15" max="16" width="9.28515625" bestFit="1" customWidth="1"/>
  </cols>
  <sheetData>
    <row r="1" spans="1:17" x14ac:dyDescent="0.25">
      <c r="B1">
        <v>2005</v>
      </c>
      <c r="C1">
        <v>2006</v>
      </c>
      <c r="D1">
        <v>2007</v>
      </c>
      <c r="E1">
        <v>2008</v>
      </c>
      <c r="F1">
        <v>2009</v>
      </c>
      <c r="G1" s="6">
        <v>2010</v>
      </c>
      <c r="H1" s="6">
        <v>2011</v>
      </c>
      <c r="I1" s="6">
        <v>2012</v>
      </c>
      <c r="J1" s="6">
        <v>2013</v>
      </c>
      <c r="K1" s="6">
        <v>2014</v>
      </c>
      <c r="L1" s="6">
        <v>2015</v>
      </c>
      <c r="M1" s="6">
        <v>2016</v>
      </c>
      <c r="N1" s="7">
        <v>2017</v>
      </c>
      <c r="O1" s="6">
        <v>2018</v>
      </c>
      <c r="P1" s="6">
        <v>2019</v>
      </c>
      <c r="Q1" s="6">
        <v>2020</v>
      </c>
    </row>
    <row r="2" spans="1:17" x14ac:dyDescent="0.25">
      <c r="A2" t="s">
        <v>1</v>
      </c>
      <c r="B2" s="9">
        <v>15341.6</v>
      </c>
      <c r="C2" s="9">
        <v>22261.599999999999</v>
      </c>
      <c r="D2" s="9">
        <v>31155.1</v>
      </c>
      <c r="E2" s="9">
        <v>39658.300000000003</v>
      </c>
      <c r="F2" s="9">
        <v>43013.599999999999</v>
      </c>
      <c r="G2" s="9">
        <v>55909.8</v>
      </c>
      <c r="H2" s="9">
        <v>75870</v>
      </c>
      <c r="I2" s="9">
        <v>95961</v>
      </c>
      <c r="J2" s="9">
        <v>114791</v>
      </c>
      <c r="K2" s="9">
        <v>130508</v>
      </c>
      <c r="L2" s="9">
        <v>139518</v>
      </c>
      <c r="M2" s="9">
        <v>162546</v>
      </c>
      <c r="N2" s="9">
        <v>177438</v>
      </c>
      <c r="O2" s="9">
        <v>191897</v>
      </c>
      <c r="P2" s="9">
        <v>241282</v>
      </c>
      <c r="Q2" s="9">
        <v>234973</v>
      </c>
    </row>
    <row r="3" spans="1:17" x14ac:dyDescent="0.25">
      <c r="A3" t="s">
        <v>2</v>
      </c>
      <c r="B3" s="9">
        <v>7051.6</v>
      </c>
      <c r="C3" s="9">
        <v>9538</v>
      </c>
      <c r="D3" s="9">
        <v>14211.1</v>
      </c>
      <c r="E3" s="9">
        <v>18329.3</v>
      </c>
      <c r="F3" s="9">
        <v>19982.2</v>
      </c>
      <c r="G3" s="9">
        <v>25714.3</v>
      </c>
      <c r="H3" s="9">
        <v>36329</v>
      </c>
      <c r="I3" s="9">
        <v>45290</v>
      </c>
      <c r="J3" s="9">
        <v>58415</v>
      </c>
      <c r="K3" s="9">
        <v>69797</v>
      </c>
      <c r="L3" s="9">
        <v>69768</v>
      </c>
      <c r="M3" s="9">
        <v>81812</v>
      </c>
      <c r="N3" s="9">
        <v>92449</v>
      </c>
      <c r="O3" s="9">
        <v>105130</v>
      </c>
      <c r="P3" s="9">
        <v>114128</v>
      </c>
      <c r="Q3" s="9">
        <v>122603</v>
      </c>
    </row>
    <row r="4" spans="1:17" x14ac:dyDescent="0.25">
      <c r="A4" t="s">
        <v>3</v>
      </c>
      <c r="B4" s="9">
        <v>11527.5</v>
      </c>
      <c r="C4" s="9">
        <v>16405.599999999999</v>
      </c>
      <c r="D4" s="9">
        <v>24979.5</v>
      </c>
      <c r="E4" s="9">
        <v>34926.300000000003</v>
      </c>
      <c r="F4" s="9">
        <v>37080.1</v>
      </c>
      <c r="G4" s="9">
        <v>50762.3</v>
      </c>
      <c r="H4" s="9">
        <v>69816</v>
      </c>
      <c r="I4" s="9">
        <v>93197</v>
      </c>
      <c r="J4" s="9">
        <v>97654</v>
      </c>
      <c r="K4" s="9">
        <v>113790</v>
      </c>
      <c r="L4" s="9">
        <v>118974</v>
      </c>
      <c r="M4" s="9">
        <v>140564</v>
      </c>
      <c r="N4" s="9">
        <v>162467</v>
      </c>
      <c r="O4" s="9">
        <v>179258</v>
      </c>
      <c r="P4" s="9">
        <v>192945</v>
      </c>
      <c r="Q4" s="9">
        <v>206574</v>
      </c>
    </row>
    <row r="5" spans="1:17" x14ac:dyDescent="0.25">
      <c r="A5" t="s">
        <v>4</v>
      </c>
      <c r="B5" s="9">
        <v>20364.7</v>
      </c>
      <c r="C5" s="9">
        <v>28840.7</v>
      </c>
      <c r="D5" s="9">
        <v>43839.6</v>
      </c>
      <c r="E5" s="9">
        <v>59058.7</v>
      </c>
      <c r="F5" s="9">
        <v>65792.800000000003</v>
      </c>
      <c r="G5" s="9">
        <v>91572.1</v>
      </c>
      <c r="H5" s="9">
        <v>126556</v>
      </c>
      <c r="I5" s="9">
        <v>155833</v>
      </c>
      <c r="J5" s="9">
        <v>189497</v>
      </c>
      <c r="K5" s="9">
        <v>221184</v>
      </c>
      <c r="L5" s="9">
        <v>224736</v>
      </c>
      <c r="M5" s="9">
        <v>271216</v>
      </c>
      <c r="N5" s="9">
        <v>310065</v>
      </c>
      <c r="O5" s="9">
        <v>337121</v>
      </c>
      <c r="P5" s="9">
        <v>368532</v>
      </c>
      <c r="Q5" s="9">
        <v>399363</v>
      </c>
    </row>
    <row r="6" spans="1:17" x14ac:dyDescent="0.25">
      <c r="A6" t="s">
        <v>5</v>
      </c>
      <c r="B6" s="9">
        <v>6755</v>
      </c>
      <c r="C6" s="9">
        <v>10115.5</v>
      </c>
      <c r="D6" s="9">
        <v>14681.2</v>
      </c>
      <c r="E6" s="9">
        <v>20885.8</v>
      </c>
      <c r="F6" s="9">
        <v>22575.8</v>
      </c>
      <c r="G6" s="9">
        <v>29296.1</v>
      </c>
      <c r="H6" s="9">
        <v>40769</v>
      </c>
      <c r="I6" s="9">
        <v>49963</v>
      </c>
      <c r="J6" s="9">
        <v>61336</v>
      </c>
      <c r="K6" s="9">
        <v>74126</v>
      </c>
      <c r="L6" s="9">
        <v>75591</v>
      </c>
      <c r="M6" s="9">
        <v>88354</v>
      </c>
      <c r="N6" s="9">
        <v>99253</v>
      </c>
      <c r="O6" s="9">
        <v>108399</v>
      </c>
      <c r="P6" s="9">
        <v>119972</v>
      </c>
      <c r="Q6" s="9">
        <v>130999</v>
      </c>
    </row>
    <row r="7" spans="1:17" x14ac:dyDescent="0.25">
      <c r="A7" t="s">
        <v>6</v>
      </c>
      <c r="B7" s="9">
        <v>7741.9</v>
      </c>
      <c r="C7" s="9">
        <v>11289.1</v>
      </c>
      <c r="D7" s="9">
        <v>17257.599999999999</v>
      </c>
      <c r="E7" s="9">
        <v>25726.799999999999</v>
      </c>
      <c r="F7" s="9">
        <v>27970.3</v>
      </c>
      <c r="G7" s="9">
        <v>36846.800000000003</v>
      </c>
      <c r="H7" s="9">
        <v>49356</v>
      </c>
      <c r="I7" s="9">
        <v>61903</v>
      </c>
      <c r="J7" s="9">
        <v>77141</v>
      </c>
      <c r="K7" s="9">
        <v>92706</v>
      </c>
      <c r="L7" s="9">
        <v>107792</v>
      </c>
      <c r="M7" s="9">
        <v>118034</v>
      </c>
      <c r="N7" s="9">
        <v>136041</v>
      </c>
      <c r="O7" s="9">
        <v>144624</v>
      </c>
      <c r="P7" s="9">
        <v>158434</v>
      </c>
      <c r="Q7" s="9">
        <v>171554</v>
      </c>
    </row>
    <row r="8" spans="1:17" x14ac:dyDescent="0.25">
      <c r="A8" t="s">
        <v>7</v>
      </c>
      <c r="B8" s="9">
        <v>4655.6000000000004</v>
      </c>
      <c r="C8" s="9">
        <v>6574.6</v>
      </c>
      <c r="D8" s="9">
        <v>9864.2999999999993</v>
      </c>
      <c r="E8" s="9">
        <v>14956</v>
      </c>
      <c r="F8" s="9">
        <v>17010.2</v>
      </c>
      <c r="G8" s="9">
        <v>21716.5</v>
      </c>
      <c r="H8" s="9">
        <v>30373</v>
      </c>
      <c r="I8" s="9">
        <v>36061</v>
      </c>
      <c r="J8" s="9">
        <v>41837</v>
      </c>
      <c r="K8" s="9">
        <v>48798</v>
      </c>
      <c r="L8" s="9">
        <v>47404</v>
      </c>
      <c r="M8" s="9">
        <v>59424</v>
      </c>
      <c r="N8" s="9">
        <v>72575</v>
      </c>
      <c r="O8" s="9">
        <v>83999</v>
      </c>
      <c r="P8" s="9">
        <v>91371</v>
      </c>
      <c r="Q8" s="9">
        <v>97157</v>
      </c>
    </row>
    <row r="9" spans="1:17" x14ac:dyDescent="0.25">
      <c r="A9" t="s">
        <v>8</v>
      </c>
      <c r="B9" s="9">
        <v>7597.1</v>
      </c>
      <c r="C9" s="9">
        <v>11484.4</v>
      </c>
      <c r="D9" s="9">
        <v>15377.2</v>
      </c>
      <c r="E9" s="9">
        <v>20088.599999999999</v>
      </c>
      <c r="F9" s="9">
        <v>23585.3</v>
      </c>
      <c r="G9" s="9">
        <v>29654.5</v>
      </c>
      <c r="H9" s="9">
        <v>41617</v>
      </c>
      <c r="I9" s="9">
        <v>48717</v>
      </c>
      <c r="J9" s="9">
        <v>62679</v>
      </c>
      <c r="K9" s="9">
        <v>71719</v>
      </c>
      <c r="L9" s="9">
        <v>89340</v>
      </c>
      <c r="M9" s="9">
        <v>88062</v>
      </c>
      <c r="N9" s="9">
        <v>98130</v>
      </c>
      <c r="O9" s="9">
        <v>110563</v>
      </c>
      <c r="P9" s="9">
        <v>128299</v>
      </c>
      <c r="Q9" s="9">
        <v>137499</v>
      </c>
    </row>
    <row r="10" spans="1:17" x14ac:dyDescent="0.25">
      <c r="A10" t="s">
        <v>9</v>
      </c>
      <c r="B10" s="9">
        <v>10723</v>
      </c>
      <c r="C10" s="9">
        <v>14602.1</v>
      </c>
      <c r="D10" s="9">
        <v>21819.4</v>
      </c>
      <c r="E10" s="9">
        <v>30173.4</v>
      </c>
      <c r="F10" s="9">
        <v>31686</v>
      </c>
      <c r="G10" s="9">
        <v>40946.1</v>
      </c>
      <c r="H10" s="9">
        <v>60311</v>
      </c>
      <c r="I10" s="9">
        <v>64863</v>
      </c>
      <c r="J10" s="9">
        <v>77680</v>
      </c>
      <c r="K10" s="9">
        <v>87652</v>
      </c>
      <c r="L10" s="9">
        <v>93535</v>
      </c>
      <c r="M10" s="9">
        <v>113101</v>
      </c>
      <c r="N10" s="9">
        <v>127039</v>
      </c>
      <c r="O10" s="9">
        <v>134673</v>
      </c>
      <c r="P10" s="9">
        <v>143379</v>
      </c>
      <c r="Q10" s="9">
        <v>153518</v>
      </c>
    </row>
    <row r="11" spans="1:17" x14ac:dyDescent="0.25">
      <c r="A11" t="s">
        <v>10</v>
      </c>
      <c r="B11" s="9">
        <v>69015.7</v>
      </c>
      <c r="C11" s="9">
        <v>97948.6</v>
      </c>
      <c r="D11" s="9">
        <v>153065.9</v>
      </c>
      <c r="E11" s="9">
        <v>256633.1</v>
      </c>
      <c r="F11" s="9">
        <v>269897.2</v>
      </c>
      <c r="G11" s="9">
        <v>344207.9</v>
      </c>
      <c r="H11" s="9">
        <v>443816</v>
      </c>
      <c r="I11" s="9">
        <v>529408</v>
      </c>
      <c r="J11" s="9">
        <v>680254</v>
      </c>
      <c r="K11" s="9">
        <v>882016</v>
      </c>
      <c r="L11" s="9">
        <v>877771</v>
      </c>
      <c r="M11" s="9">
        <v>1025037</v>
      </c>
      <c r="N11" s="9">
        <v>1196272</v>
      </c>
      <c r="O11" s="9">
        <v>1332680</v>
      </c>
      <c r="P11" s="9">
        <v>1542091</v>
      </c>
      <c r="Q11" s="9">
        <v>1659869</v>
      </c>
    </row>
    <row r="12" spans="1:17" x14ac:dyDescent="0.25">
      <c r="A12" t="s">
        <v>11</v>
      </c>
      <c r="B12" s="9">
        <v>5228</v>
      </c>
      <c r="C12" s="9">
        <v>7425.3</v>
      </c>
      <c r="D12" s="9">
        <v>10955.2</v>
      </c>
      <c r="E12" s="9">
        <v>14854.1</v>
      </c>
      <c r="F12" s="9">
        <v>16181.8</v>
      </c>
      <c r="G12" s="9">
        <v>21645.3</v>
      </c>
      <c r="H12" s="9">
        <v>30126</v>
      </c>
      <c r="I12" s="9">
        <v>34667</v>
      </c>
      <c r="J12" s="9">
        <v>42060</v>
      </c>
      <c r="K12" s="9">
        <v>49453</v>
      </c>
      <c r="L12" s="9">
        <v>51869</v>
      </c>
      <c r="M12" s="9">
        <v>63953</v>
      </c>
      <c r="N12" s="9">
        <v>71598</v>
      </c>
      <c r="O12" s="9">
        <v>80763</v>
      </c>
      <c r="P12" s="9">
        <v>88705</v>
      </c>
      <c r="Q12" s="9">
        <v>96178</v>
      </c>
    </row>
    <row r="13" spans="1:17" x14ac:dyDescent="0.25">
      <c r="A13" t="s">
        <v>12</v>
      </c>
      <c r="B13" s="9">
        <v>9304.4</v>
      </c>
      <c r="C13" s="9">
        <v>12888.7</v>
      </c>
      <c r="D13" s="9">
        <v>18413.599999999999</v>
      </c>
      <c r="E13" s="9">
        <v>24929.200000000001</v>
      </c>
      <c r="F13" s="9">
        <v>26595.1</v>
      </c>
      <c r="G13" s="9">
        <v>35670.6</v>
      </c>
      <c r="H13" s="9">
        <v>50948</v>
      </c>
      <c r="I13" s="9">
        <v>60557</v>
      </c>
      <c r="J13" s="9">
        <v>75553</v>
      </c>
      <c r="K13" s="9">
        <v>89173</v>
      </c>
      <c r="L13" s="9">
        <v>93506</v>
      </c>
      <c r="M13" s="9">
        <v>111220</v>
      </c>
      <c r="N13" s="9">
        <v>129750</v>
      </c>
      <c r="O13" s="9">
        <v>142291</v>
      </c>
      <c r="P13" s="9">
        <v>154446</v>
      </c>
      <c r="Q13" s="9">
        <v>172336</v>
      </c>
    </row>
    <row r="14" spans="1:17" x14ac:dyDescent="0.25">
      <c r="A14" t="s">
        <v>13</v>
      </c>
      <c r="B14" s="9">
        <v>7073.2</v>
      </c>
      <c r="C14" s="9">
        <v>9963.9</v>
      </c>
      <c r="D14" s="9">
        <v>14617.1</v>
      </c>
      <c r="E14" s="9">
        <v>20489.099999999999</v>
      </c>
      <c r="F14" s="9">
        <v>22952.2</v>
      </c>
      <c r="G14" s="9">
        <v>29973.8</v>
      </c>
      <c r="H14" s="9">
        <v>39545</v>
      </c>
      <c r="I14" s="9">
        <v>46927</v>
      </c>
      <c r="J14" s="9">
        <v>56372</v>
      </c>
      <c r="K14" s="9">
        <v>64574</v>
      </c>
      <c r="L14" s="9">
        <v>62117</v>
      </c>
      <c r="M14" s="9">
        <v>74121</v>
      </c>
      <c r="N14" s="9">
        <v>83901</v>
      </c>
      <c r="O14" s="9">
        <v>94300</v>
      </c>
      <c r="P14" s="9">
        <v>104035</v>
      </c>
      <c r="Q14" s="9">
        <v>115113</v>
      </c>
    </row>
    <row r="15" spans="1:17" x14ac:dyDescent="0.25">
      <c r="A15" t="s">
        <v>14</v>
      </c>
      <c r="B15" s="9">
        <v>6413</v>
      </c>
      <c r="C15" s="9">
        <v>8649.7999999999993</v>
      </c>
      <c r="D15" s="9">
        <v>12157</v>
      </c>
      <c r="E15" s="9">
        <v>16106.1</v>
      </c>
      <c r="F15" s="9">
        <v>18064.099999999999</v>
      </c>
      <c r="G15" s="9">
        <v>23768.799999999999</v>
      </c>
      <c r="H15" s="9">
        <v>32675</v>
      </c>
      <c r="I15" s="9">
        <v>39987</v>
      </c>
      <c r="J15" s="9">
        <v>49610</v>
      </c>
      <c r="K15" s="9">
        <v>59451</v>
      </c>
      <c r="L15" s="9">
        <v>61445</v>
      </c>
      <c r="M15" s="9">
        <v>76965</v>
      </c>
      <c r="N15" s="9">
        <v>81524</v>
      </c>
      <c r="O15" s="9">
        <v>90436</v>
      </c>
      <c r="P15" s="9">
        <v>101510</v>
      </c>
      <c r="Q15" s="9">
        <v>108199</v>
      </c>
    </row>
    <row r="16" spans="1:17" x14ac:dyDescent="0.25">
      <c r="A16" t="s">
        <v>15</v>
      </c>
      <c r="B16" s="9">
        <v>7879</v>
      </c>
      <c r="C16" s="9">
        <v>11155.7</v>
      </c>
      <c r="D16" s="9">
        <v>17661</v>
      </c>
      <c r="E16" s="9">
        <v>26247</v>
      </c>
      <c r="F16" s="9">
        <v>30196.799999999999</v>
      </c>
      <c r="G16" s="9">
        <v>39055.1</v>
      </c>
      <c r="H16" s="9">
        <v>53421</v>
      </c>
      <c r="I16" s="9">
        <v>64534</v>
      </c>
      <c r="J16" s="9">
        <v>80407</v>
      </c>
      <c r="K16" s="9">
        <v>96468</v>
      </c>
      <c r="L16" s="9">
        <v>98919</v>
      </c>
      <c r="M16" s="9">
        <v>117403</v>
      </c>
      <c r="N16" s="9">
        <v>131137</v>
      </c>
      <c r="O16" s="9">
        <v>142935</v>
      </c>
      <c r="P16" s="9">
        <v>157765</v>
      </c>
      <c r="Q16" s="9">
        <v>177952</v>
      </c>
    </row>
    <row r="17" spans="1:17" x14ac:dyDescent="0.25">
      <c r="A17" t="s">
        <v>16</v>
      </c>
      <c r="B17" s="9">
        <v>12961.7</v>
      </c>
      <c r="C17" s="9">
        <v>18496.8</v>
      </c>
      <c r="D17" s="9">
        <v>25850.799999999999</v>
      </c>
      <c r="E17" s="9">
        <v>36673.300000000003</v>
      </c>
      <c r="F17" s="9">
        <v>40430.1</v>
      </c>
      <c r="G17" s="9">
        <v>51684.3</v>
      </c>
      <c r="H17" s="9">
        <v>68637</v>
      </c>
      <c r="I17" s="9">
        <v>84051</v>
      </c>
      <c r="J17" s="9">
        <v>103626</v>
      </c>
      <c r="K17" s="9">
        <v>120526</v>
      </c>
      <c r="L17" s="9">
        <v>125271</v>
      </c>
      <c r="M17" s="9">
        <v>150710</v>
      </c>
      <c r="N17" s="9">
        <v>178500</v>
      </c>
      <c r="O17" s="9">
        <v>192236</v>
      </c>
      <c r="P17" s="9">
        <v>217012</v>
      </c>
      <c r="Q17" s="9">
        <v>234696</v>
      </c>
    </row>
    <row r="18" spans="1:17" x14ac:dyDescent="0.25">
      <c r="A18" t="s">
        <v>17</v>
      </c>
      <c r="B18" s="9">
        <v>15807.3</v>
      </c>
      <c r="C18" s="9">
        <v>22470.1</v>
      </c>
      <c r="D18" s="9">
        <v>32188</v>
      </c>
      <c r="E18" s="9">
        <v>45271.199999999997</v>
      </c>
      <c r="F18" s="9">
        <v>44154.1</v>
      </c>
      <c r="G18" s="9">
        <v>54334.6</v>
      </c>
      <c r="H18" s="9">
        <v>69496</v>
      </c>
      <c r="I18" s="9">
        <v>87673</v>
      </c>
      <c r="J18" s="9">
        <v>114949</v>
      </c>
      <c r="K18" s="9">
        <v>142077</v>
      </c>
      <c r="L18" s="9">
        <v>134493</v>
      </c>
      <c r="M18" s="9">
        <v>147474</v>
      </c>
      <c r="N18" s="9">
        <v>167736</v>
      </c>
      <c r="O18" s="9">
        <v>187714</v>
      </c>
      <c r="P18" s="9">
        <v>201286</v>
      </c>
      <c r="Q18" s="9">
        <v>221456</v>
      </c>
    </row>
    <row r="19" spans="1:17" x14ac:dyDescent="0.25">
      <c r="A19" t="s">
        <v>18</v>
      </c>
      <c r="B19" s="9">
        <v>544</v>
      </c>
      <c r="C19" s="9">
        <v>815745.7</v>
      </c>
      <c r="D19" s="9">
        <v>1461045</v>
      </c>
      <c r="E19" s="9">
        <v>2700079.1</v>
      </c>
      <c r="F19" s="9">
        <v>2707900.1</v>
      </c>
      <c r="G19" s="9">
        <v>3693662.2</v>
      </c>
      <c r="H19" s="9">
        <v>4945555</v>
      </c>
      <c r="I19" s="9">
        <v>6933380</v>
      </c>
      <c r="J19" s="9">
        <v>7549695</v>
      </c>
      <c r="K19" s="9">
        <v>7959289</v>
      </c>
      <c r="L19" s="9">
        <v>8277348</v>
      </c>
      <c r="M19" s="9">
        <v>9207672</v>
      </c>
      <c r="N19" s="9">
        <v>9718344</v>
      </c>
      <c r="O19" s="9">
        <v>12126968</v>
      </c>
      <c r="P19" s="9">
        <v>15117438</v>
      </c>
      <c r="Q19" s="9">
        <v>16920552</v>
      </c>
    </row>
    <row r="20" spans="1:17" x14ac:dyDescent="0.25">
      <c r="A20" t="s">
        <v>19</v>
      </c>
      <c r="B20" s="9">
        <v>4770.5</v>
      </c>
      <c r="C20" s="9">
        <v>6852.5</v>
      </c>
      <c r="D20" s="9">
        <v>10685.5</v>
      </c>
      <c r="E20" s="9">
        <v>13756.3</v>
      </c>
      <c r="F20" s="9">
        <v>14919.3</v>
      </c>
      <c r="G20" s="9">
        <v>17687.900000000001</v>
      </c>
      <c r="H20" s="9">
        <v>24758</v>
      </c>
      <c r="I20" s="9">
        <v>29050</v>
      </c>
      <c r="J20" s="9">
        <v>42688</v>
      </c>
      <c r="K20" s="9">
        <v>52160</v>
      </c>
      <c r="L20" s="9">
        <v>51378</v>
      </c>
      <c r="M20" s="9">
        <v>58979</v>
      </c>
      <c r="N20" s="9">
        <v>66369</v>
      </c>
      <c r="O20" s="9">
        <v>74302</v>
      </c>
      <c r="P20" s="9">
        <v>82633</v>
      </c>
      <c r="Q20" s="9">
        <v>90404</v>
      </c>
    </row>
    <row r="21" spans="1:17" x14ac:dyDescent="0.25">
      <c r="A21" t="s">
        <v>20</v>
      </c>
      <c r="B21" s="9">
        <v>13185.5</v>
      </c>
      <c r="C21" s="9">
        <v>17640.900000000001</v>
      </c>
      <c r="D21" s="9">
        <v>23361.4</v>
      </c>
      <c r="E21" s="9">
        <v>31175.9</v>
      </c>
      <c r="F21" s="9">
        <v>33393.699999999997</v>
      </c>
      <c r="G21" s="9">
        <v>42693.4</v>
      </c>
      <c r="H21" s="9">
        <v>57621</v>
      </c>
      <c r="I21" s="9">
        <v>67783</v>
      </c>
      <c r="J21" s="9">
        <v>82145</v>
      </c>
      <c r="K21" s="9">
        <v>93643</v>
      </c>
      <c r="L21" s="9">
        <v>85324</v>
      </c>
      <c r="M21" s="9">
        <v>97452</v>
      </c>
      <c r="N21" s="9">
        <v>111300</v>
      </c>
      <c r="O21" s="9">
        <v>119154</v>
      </c>
      <c r="P21" s="9">
        <v>127793</v>
      </c>
      <c r="Q21" s="9">
        <v>134210</v>
      </c>
    </row>
    <row r="22" spans="1:17" x14ac:dyDescent="0.25">
      <c r="A22" t="s">
        <v>21</v>
      </c>
      <c r="B22" s="9">
        <v>10825.7</v>
      </c>
      <c r="C22" s="9">
        <v>15601.2</v>
      </c>
      <c r="D22" s="9">
        <v>22076.3</v>
      </c>
      <c r="E22" s="9">
        <v>29682.2</v>
      </c>
      <c r="F22" s="9">
        <v>38053</v>
      </c>
      <c r="G22" s="9">
        <v>53867</v>
      </c>
      <c r="H22" s="9">
        <v>75542</v>
      </c>
      <c r="I22" s="9">
        <v>84754</v>
      </c>
      <c r="J22" s="9">
        <v>95637</v>
      </c>
      <c r="K22" s="9">
        <v>125302</v>
      </c>
      <c r="L22" s="9">
        <v>108391</v>
      </c>
      <c r="M22" s="9">
        <v>128169</v>
      </c>
      <c r="N22" s="9">
        <v>142712</v>
      </c>
      <c r="O22" s="9">
        <v>159171</v>
      </c>
      <c r="P22" s="9">
        <v>177102</v>
      </c>
      <c r="Q22" s="9">
        <v>196003</v>
      </c>
    </row>
    <row r="23" spans="1:17" x14ac:dyDescent="0.25">
      <c r="A23" t="s">
        <v>22</v>
      </c>
      <c r="B23" s="9">
        <v>17727.7</v>
      </c>
      <c r="C23" s="9">
        <v>24739.9</v>
      </c>
      <c r="D23" s="9">
        <v>35746.400000000001</v>
      </c>
      <c r="E23" s="9">
        <v>41872</v>
      </c>
      <c r="F23" s="9">
        <v>40090.6</v>
      </c>
      <c r="G23" s="9">
        <v>53140.7</v>
      </c>
      <c r="H23" s="9">
        <v>61047</v>
      </c>
      <c r="I23" s="9">
        <v>72220</v>
      </c>
      <c r="J23" s="9">
        <v>81224</v>
      </c>
      <c r="K23" s="9">
        <v>97006</v>
      </c>
      <c r="L23" s="9">
        <v>105719</v>
      </c>
      <c r="M23" s="9">
        <v>112789</v>
      </c>
      <c r="N23" s="9">
        <v>131259</v>
      </c>
      <c r="O23" s="9">
        <v>134896</v>
      </c>
      <c r="P23" s="9">
        <v>162563</v>
      </c>
      <c r="Q23" s="9">
        <v>204518</v>
      </c>
    </row>
    <row r="24" spans="1:17" x14ac:dyDescent="0.25">
      <c r="A24" t="s">
        <v>23</v>
      </c>
      <c r="B24" s="9">
        <v>8441.9</v>
      </c>
      <c r="C24" s="9">
        <v>12691.6</v>
      </c>
      <c r="D24" s="9">
        <v>20075.5</v>
      </c>
      <c r="E24" s="9">
        <v>28969.5</v>
      </c>
      <c r="F24" s="9">
        <v>28817.200000000001</v>
      </c>
      <c r="G24" s="9">
        <v>36391.800000000003</v>
      </c>
      <c r="H24" s="9">
        <v>52835</v>
      </c>
      <c r="I24" s="9">
        <v>63759</v>
      </c>
      <c r="J24" s="9">
        <v>82354</v>
      </c>
      <c r="K24" s="9">
        <v>93075</v>
      </c>
      <c r="L24" s="9">
        <v>94027</v>
      </c>
      <c r="M24" s="9">
        <v>112191</v>
      </c>
      <c r="N24" s="9">
        <v>130680</v>
      </c>
      <c r="O24" s="9">
        <v>150230</v>
      </c>
      <c r="P24" s="9">
        <v>181869</v>
      </c>
      <c r="Q24" s="9">
        <v>189569</v>
      </c>
    </row>
    <row r="25" spans="1:17" x14ac:dyDescent="0.25">
      <c r="A25" t="s">
        <v>24</v>
      </c>
      <c r="B25" s="9">
        <v>10575.1</v>
      </c>
      <c r="C25" s="9">
        <v>15309.8</v>
      </c>
      <c r="D25" s="9">
        <v>22111.5</v>
      </c>
      <c r="E25" s="9">
        <v>30912.5</v>
      </c>
      <c r="F25" s="9">
        <v>33260.800000000003</v>
      </c>
      <c r="G25" s="9">
        <v>44676.800000000003</v>
      </c>
      <c r="H25" s="9">
        <v>56254</v>
      </c>
      <c r="I25" s="9">
        <v>65735</v>
      </c>
      <c r="J25" s="9">
        <v>87397</v>
      </c>
      <c r="K25" s="9">
        <v>107941</v>
      </c>
      <c r="L25" s="9">
        <v>97045</v>
      </c>
      <c r="M25" s="9">
        <v>126882</v>
      </c>
      <c r="N25" s="9">
        <v>155534</v>
      </c>
      <c r="O25" s="9">
        <v>161340</v>
      </c>
      <c r="P25" s="9">
        <v>190484</v>
      </c>
      <c r="Q25" s="9">
        <v>207789</v>
      </c>
    </row>
    <row r="26" spans="1:17" x14ac:dyDescent="0.25">
      <c r="A26" t="s">
        <v>25</v>
      </c>
      <c r="B26" s="9">
        <v>11719.9</v>
      </c>
      <c r="C26" s="9">
        <v>16349.8</v>
      </c>
      <c r="D26" s="9">
        <v>22689.9</v>
      </c>
      <c r="E26" s="9">
        <v>31685.4</v>
      </c>
      <c r="F26" s="9">
        <v>33334.400000000001</v>
      </c>
      <c r="G26" s="9">
        <v>41218.400000000001</v>
      </c>
      <c r="H26" s="9">
        <v>55034</v>
      </c>
      <c r="I26" s="9">
        <v>61262</v>
      </c>
      <c r="J26" s="9">
        <v>94765</v>
      </c>
      <c r="K26" s="9">
        <v>114026</v>
      </c>
      <c r="L26" s="9">
        <v>111612</v>
      </c>
      <c r="M26" s="9">
        <v>127098</v>
      </c>
      <c r="N26" s="9">
        <v>141182</v>
      </c>
      <c r="O26" s="9">
        <v>155955</v>
      </c>
      <c r="P26" s="9">
        <v>159282</v>
      </c>
      <c r="Q26" s="9">
        <v>172084</v>
      </c>
    </row>
    <row r="27" spans="1:17" x14ac:dyDescent="0.25">
      <c r="A27" t="s">
        <v>26</v>
      </c>
      <c r="B27" s="9">
        <v>3983.4</v>
      </c>
      <c r="C27" s="9">
        <v>5634.8</v>
      </c>
      <c r="D27" s="9">
        <v>8028.4</v>
      </c>
      <c r="E27" s="9">
        <v>10615.1</v>
      </c>
      <c r="F27" s="9">
        <v>12315.8</v>
      </c>
      <c r="G27" s="9">
        <v>15217.9</v>
      </c>
      <c r="H27" s="9">
        <v>20480</v>
      </c>
      <c r="I27" s="9">
        <v>24527</v>
      </c>
      <c r="J27" s="9">
        <v>33851</v>
      </c>
      <c r="K27" s="9">
        <v>40766</v>
      </c>
      <c r="L27" s="9">
        <v>42756</v>
      </c>
      <c r="M27" s="9">
        <v>49076</v>
      </c>
      <c r="N27" s="9">
        <v>55109</v>
      </c>
      <c r="O27" s="9">
        <v>59817</v>
      </c>
      <c r="P27" s="9">
        <v>64639</v>
      </c>
      <c r="Q27" s="9">
        <v>70688</v>
      </c>
    </row>
    <row r="28" spans="1:17" x14ac:dyDescent="0.25">
      <c r="A28" t="s">
        <v>27</v>
      </c>
      <c r="B28" s="9">
        <v>3527.8</v>
      </c>
      <c r="C28" s="9">
        <v>5031.2</v>
      </c>
      <c r="D28" s="9">
        <v>7346.1</v>
      </c>
      <c r="E28" s="9">
        <v>10302.9</v>
      </c>
      <c r="F28" s="9">
        <v>10858.7</v>
      </c>
      <c r="G28" s="9">
        <v>14122.4</v>
      </c>
      <c r="H28" s="9">
        <v>19120</v>
      </c>
      <c r="I28" s="9">
        <v>22643</v>
      </c>
      <c r="J28" s="9">
        <v>32140</v>
      </c>
      <c r="K28" s="9">
        <v>42375</v>
      </c>
      <c r="L28" s="9">
        <v>43924</v>
      </c>
      <c r="M28" s="9">
        <v>49821</v>
      </c>
      <c r="N28" s="9">
        <v>53493</v>
      </c>
      <c r="O28" s="9">
        <v>58797</v>
      </c>
      <c r="P28" s="9">
        <v>65608</v>
      </c>
      <c r="Q28" s="9">
        <v>71438</v>
      </c>
    </row>
    <row r="29" spans="1:17" x14ac:dyDescent="0.25">
      <c r="A29" t="s">
        <v>28</v>
      </c>
      <c r="B29" s="9">
        <v>89443.8</v>
      </c>
      <c r="C29" s="9">
        <v>157287.79999999999</v>
      </c>
      <c r="D29" s="9">
        <v>264717.3</v>
      </c>
      <c r="E29" s="9">
        <v>427231.3</v>
      </c>
      <c r="F29" s="9">
        <v>456011.8</v>
      </c>
      <c r="G29" s="9">
        <v>559442.5</v>
      </c>
      <c r="H29" s="9">
        <v>729537</v>
      </c>
      <c r="I29" s="9">
        <v>910274</v>
      </c>
      <c r="J29" s="9">
        <v>1055861</v>
      </c>
      <c r="K29" s="9">
        <v>1262070</v>
      </c>
      <c r="L29" s="9">
        <v>1348352</v>
      </c>
      <c r="M29" s="9">
        <v>1560955</v>
      </c>
      <c r="N29" s="9">
        <v>1718642</v>
      </c>
      <c r="O29" s="9">
        <v>1929294</v>
      </c>
      <c r="P29" s="9">
        <v>2185823</v>
      </c>
      <c r="Q29" s="9">
        <v>2384692</v>
      </c>
    </row>
    <row r="30" spans="1:17" x14ac:dyDescent="0.25">
      <c r="A30" t="s">
        <v>29</v>
      </c>
      <c r="B30" s="9">
        <v>1601.9</v>
      </c>
      <c r="C30" s="9">
        <v>2052</v>
      </c>
      <c r="D30" s="9">
        <v>3003</v>
      </c>
      <c r="E30" s="9">
        <v>3980.6</v>
      </c>
      <c r="F30" s="9">
        <v>4702.8</v>
      </c>
      <c r="G30" s="9">
        <v>5973.5</v>
      </c>
      <c r="H30" s="9">
        <v>8002</v>
      </c>
      <c r="I30" s="9">
        <v>10259</v>
      </c>
      <c r="J30" s="9">
        <v>12422</v>
      </c>
      <c r="K30" s="9">
        <v>15454</v>
      </c>
      <c r="L30" s="9">
        <v>15214</v>
      </c>
      <c r="M30" s="9">
        <v>18087</v>
      </c>
      <c r="N30" s="9">
        <v>20007</v>
      </c>
      <c r="O30" s="9">
        <v>21338</v>
      </c>
      <c r="P30" s="9">
        <v>23213</v>
      </c>
      <c r="Q30" s="9">
        <v>26171</v>
      </c>
    </row>
    <row r="31" spans="1:17" x14ac:dyDescent="0.25">
      <c r="A31" t="s">
        <v>30</v>
      </c>
      <c r="B31" s="9">
        <v>556.4</v>
      </c>
      <c r="C31" s="9">
        <v>753.3</v>
      </c>
      <c r="D31" s="9">
        <v>1140.2</v>
      </c>
      <c r="E31" s="9">
        <v>1585.8</v>
      </c>
      <c r="F31" s="9">
        <v>1971</v>
      </c>
      <c r="G31" s="9">
        <v>2904</v>
      </c>
      <c r="H31" s="9">
        <v>4203</v>
      </c>
      <c r="I31" s="9">
        <v>5072</v>
      </c>
      <c r="J31" s="9">
        <v>5831</v>
      </c>
      <c r="K31" s="9">
        <v>6907</v>
      </c>
      <c r="L31" s="9">
        <v>6229</v>
      </c>
      <c r="M31" s="9">
        <v>7549</v>
      </c>
      <c r="N31" s="9">
        <v>8554</v>
      </c>
      <c r="O31" s="9">
        <v>9495</v>
      </c>
      <c r="P31" s="9">
        <v>10405</v>
      </c>
      <c r="Q31" s="9">
        <v>11572</v>
      </c>
    </row>
    <row r="32" spans="1:17" x14ac:dyDescent="0.25">
      <c r="A32" t="s">
        <v>31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9">
        <v>17836</v>
      </c>
      <c r="M32" s="9">
        <v>45098</v>
      </c>
      <c r="N32" s="9">
        <v>63903</v>
      </c>
      <c r="O32" s="9">
        <v>80957</v>
      </c>
      <c r="P32" s="9">
        <v>94100</v>
      </c>
      <c r="Q32" s="9">
        <v>118675</v>
      </c>
    </row>
    <row r="33" spans="1:17" x14ac:dyDescent="0.25">
      <c r="A33" t="s">
        <v>32</v>
      </c>
      <c r="B33" s="9">
        <v>41016.6</v>
      </c>
      <c r="C33" s="9">
        <v>59136.5</v>
      </c>
      <c r="D33" s="9">
        <v>90395.7</v>
      </c>
      <c r="E33" s="9">
        <v>128098</v>
      </c>
      <c r="F33" s="9">
        <v>132452.6</v>
      </c>
      <c r="G33" s="9">
        <v>186592.2</v>
      </c>
      <c r="H33" s="9">
        <v>240907</v>
      </c>
      <c r="I33" s="9">
        <v>305239</v>
      </c>
      <c r="J33" s="9">
        <v>364761</v>
      </c>
      <c r="K33" s="9">
        <v>449339</v>
      </c>
      <c r="L33" s="9">
        <v>465540</v>
      </c>
      <c r="M33" s="9">
        <v>537463</v>
      </c>
      <c r="N33" s="9">
        <v>602155</v>
      </c>
      <c r="O33" s="9">
        <v>674931</v>
      </c>
      <c r="P33" s="9">
        <v>748370</v>
      </c>
      <c r="Q33" s="9">
        <v>802768</v>
      </c>
    </row>
    <row r="34" spans="1:17" x14ac:dyDescent="0.25">
      <c r="A34" t="s">
        <v>33</v>
      </c>
      <c r="B34" s="9">
        <v>7276.8</v>
      </c>
      <c r="C34" s="9">
        <v>9820.5</v>
      </c>
      <c r="D34" s="9">
        <v>13987.2</v>
      </c>
      <c r="E34" s="9">
        <v>17623.8</v>
      </c>
      <c r="F34" s="9">
        <v>20109.3</v>
      </c>
      <c r="G34" s="9">
        <v>26471.1</v>
      </c>
      <c r="H34" s="9">
        <v>34701</v>
      </c>
      <c r="I34" s="9">
        <v>41209</v>
      </c>
      <c r="J34" s="9">
        <v>49035</v>
      </c>
      <c r="K34" s="9">
        <v>62456</v>
      </c>
      <c r="L34" s="9">
        <v>57319</v>
      </c>
      <c r="M34" s="9">
        <v>66485</v>
      </c>
      <c r="N34" s="9">
        <v>70633</v>
      </c>
      <c r="O34" s="9">
        <v>75615</v>
      </c>
      <c r="P34" s="9">
        <v>82763</v>
      </c>
      <c r="Q34" s="9">
        <v>90504</v>
      </c>
    </row>
    <row r="35" spans="1:17" x14ac:dyDescent="0.25">
      <c r="A35" t="s">
        <v>34</v>
      </c>
      <c r="B35" s="9">
        <v>17540.5</v>
      </c>
      <c r="C35" s="9">
        <v>24696.1</v>
      </c>
      <c r="D35" s="9">
        <v>34943.699999999997</v>
      </c>
      <c r="E35" s="9">
        <v>46939.6</v>
      </c>
      <c r="F35" s="9">
        <v>55767</v>
      </c>
      <c r="G35" s="9">
        <v>69670.2</v>
      </c>
      <c r="H35" s="9">
        <v>91880</v>
      </c>
      <c r="I35" s="9">
        <v>111094</v>
      </c>
      <c r="J35" s="9">
        <v>131534</v>
      </c>
      <c r="K35" s="9">
        <v>155220</v>
      </c>
      <c r="L35" s="9">
        <v>162564</v>
      </c>
      <c r="M35" s="9">
        <v>201189</v>
      </c>
      <c r="N35" s="9">
        <v>213193</v>
      </c>
      <c r="O35" s="9">
        <v>229262</v>
      </c>
      <c r="P35" s="9">
        <v>252025</v>
      </c>
      <c r="Q35" s="9">
        <v>270620</v>
      </c>
    </row>
    <row r="36" spans="1:17" x14ac:dyDescent="0.25">
      <c r="A36" t="s">
        <v>35</v>
      </c>
      <c r="B36" s="9">
        <v>27648.7</v>
      </c>
      <c r="C36" s="9">
        <v>38290.699999999997</v>
      </c>
      <c r="D36" s="9">
        <v>57969.599999999999</v>
      </c>
      <c r="E36" s="9">
        <v>105355.1</v>
      </c>
      <c r="F36" s="9">
        <v>99109.3</v>
      </c>
      <c r="G36" s="9">
        <v>122050.5</v>
      </c>
      <c r="H36" s="9">
        <v>170365</v>
      </c>
      <c r="I36" s="9">
        <v>220803</v>
      </c>
      <c r="J36" s="9">
        <v>258880</v>
      </c>
      <c r="K36" s="9">
        <v>305272</v>
      </c>
      <c r="L36" s="9">
        <v>319208</v>
      </c>
      <c r="M36" s="9">
        <v>386524</v>
      </c>
      <c r="N36" s="9">
        <v>430494</v>
      </c>
      <c r="O36" s="9">
        <v>478443</v>
      </c>
      <c r="P36" s="9">
        <v>515245</v>
      </c>
      <c r="Q36" s="9">
        <v>558374</v>
      </c>
    </row>
    <row r="37" spans="1:17" x14ac:dyDescent="0.25">
      <c r="A37" t="s">
        <v>36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>
        <v>6897</v>
      </c>
      <c r="M37" s="9">
        <v>12677</v>
      </c>
      <c r="N37" s="9">
        <v>19744</v>
      </c>
      <c r="O37" s="9">
        <v>25704</v>
      </c>
      <c r="P37" s="9">
        <v>28400</v>
      </c>
      <c r="Q37" s="9">
        <v>33712</v>
      </c>
    </row>
    <row r="38" spans="1:17" x14ac:dyDescent="0.25">
      <c r="A38" t="s">
        <v>37</v>
      </c>
      <c r="B38" s="9">
        <v>1947.8</v>
      </c>
      <c r="C38" s="9">
        <v>2515.5</v>
      </c>
      <c r="D38" s="9">
        <v>4228.7</v>
      </c>
      <c r="E38" s="9">
        <v>7167.7</v>
      </c>
      <c r="F38" s="9">
        <v>9701.1</v>
      </c>
      <c r="G38" s="9">
        <v>12748.1</v>
      </c>
      <c r="H38" s="9">
        <v>19257</v>
      </c>
      <c r="I38" s="9">
        <v>26146</v>
      </c>
      <c r="J38" s="9">
        <v>28548</v>
      </c>
      <c r="K38" s="9">
        <v>42545</v>
      </c>
      <c r="L38" s="9">
        <v>38967</v>
      </c>
      <c r="M38" s="9">
        <v>48200</v>
      </c>
      <c r="N38" s="9">
        <v>53023</v>
      </c>
      <c r="O38" s="9">
        <v>58641</v>
      </c>
      <c r="P38" s="9">
        <v>62674</v>
      </c>
      <c r="Q38" s="9">
        <v>77328</v>
      </c>
    </row>
    <row r="39" spans="1:17" x14ac:dyDescent="0.25">
      <c r="A39" t="s">
        <v>38</v>
      </c>
      <c r="B39" s="9">
        <v>268</v>
      </c>
      <c r="C39" s="9">
        <v>592.5</v>
      </c>
      <c r="D39" s="9">
        <v>542.9</v>
      </c>
      <c r="E39" s="9">
        <v>925.3</v>
      </c>
      <c r="F39" s="9">
        <v>968.1</v>
      </c>
      <c r="G39" s="9">
        <v>2054.1999999999998</v>
      </c>
      <c r="H39" s="9">
        <v>2224</v>
      </c>
      <c r="I39" s="9">
        <v>2912</v>
      </c>
      <c r="J39" s="9">
        <v>3461</v>
      </c>
      <c r="K39" s="9">
        <v>4427</v>
      </c>
      <c r="L39" s="9">
        <v>3690</v>
      </c>
      <c r="M39" s="9">
        <v>4591</v>
      </c>
      <c r="N39" s="9">
        <v>4517</v>
      </c>
      <c r="O39" s="9">
        <v>4681</v>
      </c>
      <c r="P39" s="9">
        <v>5240</v>
      </c>
      <c r="Q39" s="9">
        <v>5937</v>
      </c>
    </row>
    <row r="40" spans="1:17" x14ac:dyDescent="0.25">
      <c r="A40" t="s">
        <v>42</v>
      </c>
      <c r="B40" s="9">
        <v>2348.5</v>
      </c>
      <c r="C40" s="9">
        <v>3152.8</v>
      </c>
      <c r="D40" s="9">
        <v>4781.8</v>
      </c>
      <c r="E40" s="9">
        <v>8181</v>
      </c>
      <c r="F40" s="9">
        <v>8693</v>
      </c>
      <c r="G40" s="9">
        <v>9713.7999999999993</v>
      </c>
      <c r="H40" s="9">
        <v>13818</v>
      </c>
      <c r="I40" s="9">
        <v>17372</v>
      </c>
      <c r="J40" s="9">
        <v>21498</v>
      </c>
      <c r="K40" s="9">
        <v>24341</v>
      </c>
      <c r="L40" s="9">
        <v>23731</v>
      </c>
      <c r="M40" s="9">
        <v>27484</v>
      </c>
      <c r="N40" s="9">
        <v>31331</v>
      </c>
      <c r="O40" s="9">
        <v>34835</v>
      </c>
      <c r="P40" s="9">
        <v>36560</v>
      </c>
      <c r="Q40" s="9">
        <v>41198</v>
      </c>
    </row>
    <row r="41" spans="1:17" x14ac:dyDescent="0.25">
      <c r="A41" t="s">
        <v>39</v>
      </c>
      <c r="B41" s="9">
        <v>997.6</v>
      </c>
      <c r="C41" s="9">
        <v>1415.4</v>
      </c>
      <c r="D41" s="9">
        <v>2126</v>
      </c>
      <c r="E41" s="9">
        <v>2572.6</v>
      </c>
      <c r="F41" s="9">
        <v>3016.2</v>
      </c>
      <c r="G41" s="9">
        <v>4015.2</v>
      </c>
      <c r="H41" s="9">
        <v>6459</v>
      </c>
      <c r="I41" s="9">
        <v>7941</v>
      </c>
      <c r="J41" s="9">
        <v>9178</v>
      </c>
      <c r="K41" s="9">
        <v>10945</v>
      </c>
      <c r="L41" s="9">
        <v>10261</v>
      </c>
      <c r="M41" s="9">
        <v>12694</v>
      </c>
      <c r="N41" s="9">
        <v>14712</v>
      </c>
      <c r="O41" s="9">
        <v>16327</v>
      </c>
      <c r="P41" s="9">
        <v>16498</v>
      </c>
      <c r="Q41" s="9">
        <v>17275</v>
      </c>
    </row>
    <row r="42" spans="1:17" x14ac:dyDescent="0.25">
      <c r="A42" t="s">
        <v>43</v>
      </c>
      <c r="B42" s="9">
        <v>4599.8999999999996</v>
      </c>
      <c r="C42" s="9">
        <v>4980.3</v>
      </c>
      <c r="D42" s="9">
        <v>5886.8</v>
      </c>
      <c r="E42" s="9">
        <v>7897.8</v>
      </c>
      <c r="F42" s="9">
        <v>8751.7999999999993</v>
      </c>
      <c r="G42" s="9">
        <v>11559.6</v>
      </c>
      <c r="H42" s="9">
        <v>15740</v>
      </c>
      <c r="I42" s="9">
        <v>20278</v>
      </c>
      <c r="J42" s="9">
        <v>24191</v>
      </c>
      <c r="K42" s="9">
        <v>26218</v>
      </c>
      <c r="L42" s="9">
        <v>25933</v>
      </c>
      <c r="M42" s="9">
        <v>30852</v>
      </c>
      <c r="N42" s="9">
        <v>34065</v>
      </c>
      <c r="O42" s="9">
        <v>38360</v>
      </c>
      <c r="P42" s="9">
        <v>40586</v>
      </c>
      <c r="Q42" s="9">
        <v>45401</v>
      </c>
    </row>
    <row r="43" spans="1:17" x14ac:dyDescent="0.25">
      <c r="A43" t="s">
        <v>40</v>
      </c>
      <c r="B43" s="9">
        <v>2159.3000000000002</v>
      </c>
      <c r="C43" s="9">
        <v>512.5</v>
      </c>
      <c r="D43" s="9">
        <v>360.4</v>
      </c>
      <c r="E43" s="9">
        <v>587.4</v>
      </c>
      <c r="F43" s="9">
        <v>2392.1</v>
      </c>
      <c r="G43" s="9">
        <v>2858</v>
      </c>
      <c r="H43" s="9">
        <v>3779</v>
      </c>
      <c r="I43" s="9">
        <v>4942</v>
      </c>
      <c r="J43" s="9">
        <v>8334</v>
      </c>
      <c r="K43" s="9">
        <v>8358</v>
      </c>
      <c r="L43" s="9">
        <v>8990</v>
      </c>
      <c r="M43" s="9">
        <v>21164</v>
      </c>
      <c r="N43" s="9">
        <v>17437</v>
      </c>
      <c r="O43" s="9">
        <v>17166</v>
      </c>
      <c r="P43" s="9">
        <v>24315</v>
      </c>
      <c r="Q43" s="9">
        <v>25900</v>
      </c>
    </row>
    <row r="44" spans="1:17" x14ac:dyDescent="0.25">
      <c r="A44" t="s">
        <v>41</v>
      </c>
      <c r="B44" s="9">
        <v>18361.3</v>
      </c>
      <c r="C44" s="9">
        <v>24263.200000000001</v>
      </c>
      <c r="D44" s="9">
        <v>34457.599999999999</v>
      </c>
      <c r="E44" s="9">
        <v>48633.9</v>
      </c>
      <c r="F44" s="9">
        <v>52701.9</v>
      </c>
      <c r="G44" s="9">
        <v>69613.5</v>
      </c>
      <c r="H44" s="9">
        <v>91134</v>
      </c>
      <c r="I44" s="9">
        <v>111002</v>
      </c>
      <c r="J44" s="9">
        <v>135985</v>
      </c>
      <c r="K44" s="9">
        <v>163626</v>
      </c>
      <c r="L44" s="9">
        <v>163970</v>
      </c>
      <c r="M44" s="9">
        <v>189993</v>
      </c>
      <c r="N44" s="9">
        <v>221945</v>
      </c>
      <c r="O44" s="9">
        <v>242338</v>
      </c>
      <c r="P44" s="9">
        <v>272348</v>
      </c>
      <c r="Q44" s="9">
        <v>292888</v>
      </c>
    </row>
    <row r="45" spans="1:17" x14ac:dyDescent="0.25">
      <c r="A45" t="s">
        <v>44</v>
      </c>
      <c r="B45" s="9">
        <v>31683.1</v>
      </c>
      <c r="C45" s="9">
        <v>45225.4</v>
      </c>
      <c r="D45" s="9">
        <v>65526</v>
      </c>
      <c r="E45" s="9">
        <v>94694.8</v>
      </c>
      <c r="F45" s="9">
        <v>119723.4</v>
      </c>
      <c r="G45" s="9">
        <v>171276.6</v>
      </c>
      <c r="H45" s="9">
        <v>238563</v>
      </c>
      <c r="I45" s="9">
        <v>267035</v>
      </c>
      <c r="J45" s="9">
        <v>290271</v>
      </c>
      <c r="K45" s="9">
        <v>322246</v>
      </c>
      <c r="L45" s="9">
        <v>353580</v>
      </c>
      <c r="M45" s="9">
        <v>365325</v>
      </c>
      <c r="N45" s="9">
        <v>375081</v>
      </c>
      <c r="O45" s="9">
        <v>423438</v>
      </c>
      <c r="P45" s="9">
        <v>459893</v>
      </c>
      <c r="Q45" s="9">
        <v>476020</v>
      </c>
    </row>
    <row r="46" spans="1:17" x14ac:dyDescent="0.25">
      <c r="A46" t="s">
        <v>45</v>
      </c>
      <c r="B46" s="9">
        <v>2921</v>
      </c>
      <c r="C46" s="9">
        <v>4075.3</v>
      </c>
      <c r="D46" s="9">
        <v>6109.3</v>
      </c>
      <c r="E46" s="9">
        <v>8503.5</v>
      </c>
      <c r="F46" s="9">
        <v>9492.5</v>
      </c>
      <c r="G46" s="9">
        <v>13252.9</v>
      </c>
      <c r="H46" s="9">
        <v>18475</v>
      </c>
      <c r="I46" s="9">
        <v>22306</v>
      </c>
      <c r="J46" s="9">
        <v>27562</v>
      </c>
      <c r="K46" s="9">
        <v>33925</v>
      </c>
      <c r="L46" s="9">
        <v>38015</v>
      </c>
      <c r="M46" s="9">
        <v>44536</v>
      </c>
      <c r="N46" s="9">
        <v>52487</v>
      </c>
      <c r="O46" s="9">
        <v>54771</v>
      </c>
      <c r="P46" s="9">
        <v>60574</v>
      </c>
      <c r="Q46" s="9">
        <v>69408</v>
      </c>
    </row>
    <row r="47" spans="1:17" x14ac:dyDescent="0.25">
      <c r="A47" t="s">
        <v>46</v>
      </c>
      <c r="B47" s="9">
        <v>4555.3999999999996</v>
      </c>
      <c r="C47" s="9">
        <v>6599.8</v>
      </c>
      <c r="D47" s="9">
        <v>9940.1</v>
      </c>
      <c r="E47" s="9">
        <v>13064.5</v>
      </c>
      <c r="F47" s="9">
        <v>14298.9</v>
      </c>
      <c r="G47" s="9">
        <v>20205.900000000001</v>
      </c>
      <c r="H47" s="9">
        <v>28067</v>
      </c>
      <c r="I47" s="9">
        <v>31670</v>
      </c>
      <c r="J47" s="9">
        <v>36372</v>
      </c>
      <c r="K47" s="9">
        <v>42444</v>
      </c>
      <c r="L47" s="9">
        <v>46759</v>
      </c>
      <c r="M47" s="9">
        <v>54483</v>
      </c>
      <c r="N47" s="9">
        <v>61134</v>
      </c>
      <c r="O47" s="9">
        <v>66188</v>
      </c>
      <c r="P47" s="9">
        <v>73065</v>
      </c>
      <c r="Q47" s="9">
        <v>79100</v>
      </c>
    </row>
    <row r="48" spans="1:17" x14ac:dyDescent="0.25">
      <c r="A48" t="s">
        <v>47</v>
      </c>
      <c r="B48" s="9">
        <v>43956.4</v>
      </c>
      <c r="C48" s="9">
        <v>81737.600000000006</v>
      </c>
      <c r="D48" s="9">
        <v>107042.4</v>
      </c>
      <c r="E48" s="9">
        <v>153013.9</v>
      </c>
      <c r="F48" s="9">
        <v>158748.79999999999</v>
      </c>
      <c r="G48" s="9">
        <v>187275.3</v>
      </c>
      <c r="H48" s="9">
        <v>262918</v>
      </c>
      <c r="I48" s="9">
        <v>346242</v>
      </c>
      <c r="J48" s="9">
        <v>390067</v>
      </c>
      <c r="K48" s="9">
        <v>465414</v>
      </c>
      <c r="L48" s="9">
        <v>523793</v>
      </c>
      <c r="M48" s="9">
        <v>587669</v>
      </c>
      <c r="N48" s="9">
        <v>667842</v>
      </c>
      <c r="O48" s="9">
        <v>702175</v>
      </c>
      <c r="P48" s="9">
        <v>820207</v>
      </c>
      <c r="Q48" s="9">
        <v>947162</v>
      </c>
    </row>
    <row r="49" spans="1:17" x14ac:dyDescent="0.25">
      <c r="A49" t="s">
        <v>48</v>
      </c>
      <c r="B49" s="9">
        <v>10311.1</v>
      </c>
      <c r="C49" s="9">
        <v>15013.4</v>
      </c>
      <c r="D49" s="9">
        <v>21410.2</v>
      </c>
      <c r="E49" s="9">
        <v>29799.4</v>
      </c>
      <c r="F49" s="9">
        <v>30652.7</v>
      </c>
      <c r="G49" s="9">
        <v>42302.1</v>
      </c>
      <c r="H49" s="9">
        <v>55657</v>
      </c>
      <c r="I49" s="9">
        <v>65233</v>
      </c>
      <c r="J49" s="9">
        <v>81877</v>
      </c>
      <c r="K49" s="9">
        <v>97805</v>
      </c>
      <c r="L49" s="9">
        <v>107898</v>
      </c>
      <c r="M49" s="9">
        <v>120223</v>
      </c>
      <c r="N49" s="9">
        <v>149340</v>
      </c>
      <c r="O49" s="9">
        <v>161898</v>
      </c>
      <c r="P49" s="9">
        <v>175061</v>
      </c>
      <c r="Q49" s="9">
        <v>173725</v>
      </c>
    </row>
    <row r="50" spans="1:17" x14ac:dyDescent="0.25">
      <c r="A50" t="s">
        <v>49</v>
      </c>
      <c r="B50" s="9">
        <v>6793.3</v>
      </c>
      <c r="C50" s="9">
        <v>9435.7000000000007</v>
      </c>
      <c r="D50" s="9">
        <v>14675.3</v>
      </c>
      <c r="E50" s="9">
        <v>20837.400000000001</v>
      </c>
      <c r="F50" s="9">
        <v>21921.4</v>
      </c>
      <c r="G50" s="9">
        <v>30190.2</v>
      </c>
      <c r="H50" s="9">
        <v>42705</v>
      </c>
      <c r="I50" s="9">
        <v>49984</v>
      </c>
      <c r="J50" s="9">
        <v>63514</v>
      </c>
      <c r="K50" s="9">
        <v>77696</v>
      </c>
      <c r="L50" s="9">
        <v>77768</v>
      </c>
      <c r="M50" s="9">
        <v>94189</v>
      </c>
      <c r="N50" s="9">
        <v>110157</v>
      </c>
      <c r="O50" s="9">
        <v>122940</v>
      </c>
      <c r="P50" s="9">
        <v>134392</v>
      </c>
      <c r="Q50" s="9">
        <v>143630</v>
      </c>
    </row>
    <row r="51" spans="1:17" x14ac:dyDescent="0.25">
      <c r="A51" t="s">
        <v>50</v>
      </c>
      <c r="B51" s="9">
        <v>29798.9</v>
      </c>
      <c r="C51" s="9">
        <v>38026.300000000003</v>
      </c>
      <c r="D51" s="9">
        <v>55159.199999999997</v>
      </c>
      <c r="E51" s="9">
        <v>83098.5</v>
      </c>
      <c r="F51" s="9">
        <v>107544.3</v>
      </c>
      <c r="G51" s="9">
        <v>112180.6</v>
      </c>
      <c r="H51" s="9">
        <v>141887</v>
      </c>
      <c r="I51" s="9">
        <v>181110</v>
      </c>
      <c r="J51" s="9">
        <v>207310</v>
      </c>
      <c r="K51" s="9">
        <v>239866</v>
      </c>
      <c r="L51" s="9">
        <v>233707</v>
      </c>
      <c r="M51" s="9">
        <v>268775</v>
      </c>
      <c r="N51" s="9">
        <v>290446</v>
      </c>
      <c r="O51" s="9">
        <v>308524</v>
      </c>
      <c r="P51" s="9">
        <v>330526</v>
      </c>
      <c r="Q51" s="9">
        <v>362413</v>
      </c>
    </row>
    <row r="52" spans="1:17" x14ac:dyDescent="0.25">
      <c r="A52" t="s">
        <v>51</v>
      </c>
      <c r="B52" s="9">
        <v>9440.6</v>
      </c>
      <c r="C52" s="9">
        <v>12542.3</v>
      </c>
      <c r="D52" s="9">
        <v>18385</v>
      </c>
      <c r="E52" s="9">
        <v>23323.4</v>
      </c>
      <c r="F52" s="9">
        <v>28617.200000000001</v>
      </c>
      <c r="G52" s="9">
        <v>36996.699999999997</v>
      </c>
      <c r="H52" s="9">
        <v>53879</v>
      </c>
      <c r="I52" s="9">
        <v>60185</v>
      </c>
      <c r="J52" s="9">
        <v>70473</v>
      </c>
      <c r="K52" s="9">
        <v>81528</v>
      </c>
      <c r="L52" s="9">
        <v>81784</v>
      </c>
      <c r="M52" s="9">
        <v>98164</v>
      </c>
      <c r="N52" s="9">
        <v>112691</v>
      </c>
      <c r="O52" s="9">
        <v>128459</v>
      </c>
      <c r="P52" s="9">
        <v>139410</v>
      </c>
      <c r="Q52" s="9">
        <v>154765</v>
      </c>
    </row>
    <row r="53" spans="1:17" x14ac:dyDescent="0.25">
      <c r="A53" t="s">
        <v>52</v>
      </c>
      <c r="B53" s="9">
        <v>36643.300000000003</v>
      </c>
      <c r="C53" s="9">
        <v>49822</v>
      </c>
      <c r="D53" s="9">
        <v>74728.600000000006</v>
      </c>
      <c r="E53" s="9">
        <v>106696.8</v>
      </c>
      <c r="F53" s="9">
        <v>103655</v>
      </c>
      <c r="G53" s="9">
        <v>141128.20000000001</v>
      </c>
      <c r="H53" s="9">
        <v>199417</v>
      </c>
      <c r="I53" s="9">
        <v>224681</v>
      </c>
      <c r="J53" s="9">
        <v>281078</v>
      </c>
      <c r="K53" s="9">
        <v>306709</v>
      </c>
      <c r="L53" s="9">
        <v>315764</v>
      </c>
      <c r="M53" s="9">
        <v>394520</v>
      </c>
      <c r="N53" s="9">
        <v>435418</v>
      </c>
      <c r="O53" s="9">
        <v>491309</v>
      </c>
      <c r="P53" s="9">
        <v>545755</v>
      </c>
      <c r="Q53" s="9">
        <v>599065</v>
      </c>
    </row>
    <row r="54" spans="1:17" x14ac:dyDescent="0.25">
      <c r="A54" t="s">
        <v>53</v>
      </c>
      <c r="B54" s="9">
        <v>14321.7</v>
      </c>
      <c r="C54" s="9">
        <v>20398</v>
      </c>
      <c r="D54" s="9">
        <v>27235.8</v>
      </c>
      <c r="E54" s="9">
        <v>39951.1</v>
      </c>
      <c r="F54" s="9">
        <v>45706.8</v>
      </c>
      <c r="G54" s="9">
        <v>55834.5</v>
      </c>
      <c r="H54" s="9">
        <v>72327</v>
      </c>
      <c r="I54" s="9">
        <v>87640</v>
      </c>
      <c r="J54" s="9">
        <v>107688</v>
      </c>
      <c r="K54" s="9">
        <v>125168</v>
      </c>
      <c r="L54" s="9">
        <v>125268</v>
      </c>
      <c r="M54" s="9">
        <v>144812</v>
      </c>
      <c r="N54" s="9">
        <v>155678</v>
      </c>
      <c r="O54" s="9">
        <v>171539</v>
      </c>
      <c r="P54" s="9">
        <v>191174</v>
      </c>
      <c r="Q54" s="9">
        <v>207464</v>
      </c>
    </row>
    <row r="55" spans="1:17" x14ac:dyDescent="0.25">
      <c r="A55" t="s">
        <v>54</v>
      </c>
      <c r="B55" s="9">
        <v>8653.2000000000007</v>
      </c>
      <c r="C55" s="9">
        <v>11817.5</v>
      </c>
      <c r="D55" s="9">
        <v>16895.599999999999</v>
      </c>
      <c r="E55" s="9">
        <v>21868.1</v>
      </c>
      <c r="F55" s="9">
        <v>25854.799999999999</v>
      </c>
      <c r="G55" s="9">
        <v>32805.5</v>
      </c>
      <c r="H55" s="9">
        <v>45514</v>
      </c>
      <c r="I55" s="9">
        <v>55330</v>
      </c>
      <c r="J55" s="9">
        <v>67232</v>
      </c>
      <c r="K55" s="9">
        <v>81625</v>
      </c>
      <c r="L55" s="9">
        <v>80813</v>
      </c>
      <c r="M55" s="9">
        <v>97643</v>
      </c>
      <c r="N55" s="9">
        <v>110581</v>
      </c>
      <c r="O55" s="9">
        <v>125467</v>
      </c>
      <c r="P55" s="9">
        <v>139612</v>
      </c>
      <c r="Q55" s="9">
        <v>150999</v>
      </c>
    </row>
    <row r="56" spans="1:17" x14ac:dyDescent="0.25">
      <c r="A56" t="s">
        <v>55</v>
      </c>
      <c r="B56" s="9">
        <v>40999.1</v>
      </c>
      <c r="C56" s="9">
        <v>64407.4</v>
      </c>
      <c r="D56" s="9">
        <v>89914.4</v>
      </c>
      <c r="E56" s="9">
        <v>143302.70000000001</v>
      </c>
      <c r="F56" s="9">
        <v>138757.1</v>
      </c>
      <c r="G56" s="9">
        <v>171339</v>
      </c>
      <c r="H56" s="9">
        <v>219754</v>
      </c>
      <c r="I56" s="9">
        <v>276473</v>
      </c>
      <c r="J56" s="9">
        <v>315628</v>
      </c>
      <c r="K56" s="9">
        <v>371638</v>
      </c>
      <c r="L56" s="9">
        <v>400949</v>
      </c>
      <c r="M56" s="9">
        <v>451885</v>
      </c>
      <c r="N56" s="9">
        <v>491924</v>
      </c>
      <c r="O56" s="9">
        <v>511474</v>
      </c>
      <c r="P56" s="9">
        <v>530785</v>
      </c>
      <c r="Q56" s="9">
        <v>554603</v>
      </c>
    </row>
    <row r="57" spans="1:17" x14ac:dyDescent="0.25">
      <c r="A57" t="s">
        <v>56</v>
      </c>
      <c r="B57" s="9">
        <v>19703</v>
      </c>
      <c r="C57" s="9">
        <v>28256.2</v>
      </c>
      <c r="D57" s="9">
        <v>40352.9</v>
      </c>
      <c r="E57" s="9">
        <v>55896.6</v>
      </c>
      <c r="F57" s="9">
        <v>55830.1</v>
      </c>
      <c r="G57" s="9">
        <v>71629.5</v>
      </c>
      <c r="H57" s="9">
        <v>97314</v>
      </c>
      <c r="I57" s="9">
        <v>115896</v>
      </c>
      <c r="J57" s="9">
        <v>148902</v>
      </c>
      <c r="K57" s="9">
        <v>173531</v>
      </c>
      <c r="L57" s="9">
        <v>180130</v>
      </c>
      <c r="M57" s="9">
        <v>209802</v>
      </c>
      <c r="N57" s="9">
        <v>216764</v>
      </c>
      <c r="O57" s="9">
        <v>228139</v>
      </c>
      <c r="P57" s="9">
        <v>258933</v>
      </c>
      <c r="Q57" s="9">
        <v>281174</v>
      </c>
    </row>
    <row r="58" spans="1:17" x14ac:dyDescent="0.25">
      <c r="A58" t="s">
        <v>57</v>
      </c>
      <c r="B58" s="9">
        <v>8224</v>
      </c>
      <c r="C58" s="9">
        <v>10631.8</v>
      </c>
      <c r="D58" s="9">
        <v>14826.9</v>
      </c>
      <c r="E58" s="9">
        <v>20179.099999999999</v>
      </c>
      <c r="F58" s="9">
        <v>23130.3</v>
      </c>
      <c r="G58" s="9">
        <v>32505.7</v>
      </c>
      <c r="H58" s="9">
        <v>50230</v>
      </c>
      <c r="I58" s="9">
        <v>60475</v>
      </c>
      <c r="J58" s="9">
        <v>65301</v>
      </c>
      <c r="K58" s="9">
        <v>79047</v>
      </c>
      <c r="L58" s="9">
        <v>82959</v>
      </c>
      <c r="M58" s="9">
        <v>97827</v>
      </c>
      <c r="N58" s="9">
        <v>106828</v>
      </c>
      <c r="O58" s="9">
        <v>125873</v>
      </c>
      <c r="P58" s="9">
        <v>134297</v>
      </c>
      <c r="Q58" s="9">
        <v>142288</v>
      </c>
    </row>
    <row r="59" spans="1:17" x14ac:dyDescent="0.25">
      <c r="A59" t="s">
        <v>58</v>
      </c>
      <c r="B59" s="9">
        <v>3951.5</v>
      </c>
      <c r="C59" s="9">
        <v>5341.2</v>
      </c>
      <c r="D59" s="9">
        <v>7853.5</v>
      </c>
      <c r="E59" s="9">
        <v>10490.5</v>
      </c>
      <c r="F59" s="9">
        <v>11389.8</v>
      </c>
      <c r="G59" s="9">
        <v>14897.3</v>
      </c>
      <c r="H59" s="9">
        <v>20114</v>
      </c>
      <c r="I59" s="9">
        <v>24001</v>
      </c>
      <c r="J59" s="9">
        <v>31127</v>
      </c>
      <c r="K59" s="9">
        <v>36507</v>
      </c>
      <c r="L59" s="9">
        <v>36863</v>
      </c>
      <c r="M59" s="9">
        <v>44906</v>
      </c>
      <c r="N59" s="9">
        <v>48411</v>
      </c>
      <c r="O59" s="9">
        <v>55261</v>
      </c>
      <c r="P59" s="9">
        <v>58940</v>
      </c>
      <c r="Q59" s="9">
        <v>63602</v>
      </c>
    </row>
    <row r="60" spans="1:17" x14ac:dyDescent="0.25">
      <c r="A60" t="s">
        <v>59</v>
      </c>
      <c r="B60" s="9">
        <v>52170.8</v>
      </c>
      <c r="C60" s="9">
        <v>74014.100000000006</v>
      </c>
      <c r="D60" s="9">
        <v>116108.1</v>
      </c>
      <c r="E60" s="9">
        <v>172207.6</v>
      </c>
      <c r="F60" s="9">
        <v>168684.5</v>
      </c>
      <c r="G60" s="9">
        <v>204649.60000000001</v>
      </c>
      <c r="H60" s="9">
        <v>287522</v>
      </c>
      <c r="I60" s="9">
        <v>348213</v>
      </c>
      <c r="J60" s="9">
        <v>406324</v>
      </c>
      <c r="K60" s="9">
        <v>480762</v>
      </c>
      <c r="L60" s="9">
        <v>489017</v>
      </c>
      <c r="M60" s="9">
        <v>559969</v>
      </c>
      <c r="N60" s="9">
        <v>631255</v>
      </c>
      <c r="O60" s="9">
        <v>705589</v>
      </c>
      <c r="P60" s="9">
        <v>768654</v>
      </c>
      <c r="Q60" s="9">
        <v>831826</v>
      </c>
    </row>
    <row r="61" spans="1:17" x14ac:dyDescent="0.25">
      <c r="A61" t="s">
        <v>60</v>
      </c>
      <c r="B61" s="9">
        <v>73186.5</v>
      </c>
      <c r="C61" s="9">
        <v>101374.5</v>
      </c>
      <c r="D61" s="9">
        <v>137195.79999999999</v>
      </c>
      <c r="E61" s="9">
        <v>178203.3</v>
      </c>
      <c r="F61" s="9">
        <v>233346.5</v>
      </c>
      <c r="G61" s="9">
        <v>278970.3</v>
      </c>
      <c r="H61" s="9">
        <v>359058</v>
      </c>
      <c r="I61" s="9">
        <v>441123</v>
      </c>
      <c r="J61" s="9">
        <v>537527</v>
      </c>
      <c r="K61" s="9">
        <v>613110</v>
      </c>
      <c r="L61" s="9">
        <v>616990</v>
      </c>
      <c r="M61" s="9">
        <v>640785</v>
      </c>
      <c r="N61" s="9">
        <v>747480</v>
      </c>
      <c r="O61" s="9">
        <v>882770</v>
      </c>
      <c r="P61" s="9">
        <v>1014260</v>
      </c>
      <c r="Q61" s="9">
        <v>1178928</v>
      </c>
    </row>
    <row r="62" spans="1:17" x14ac:dyDescent="0.25">
      <c r="A62" t="s">
        <v>61</v>
      </c>
      <c r="B62" s="9">
        <v>29626.9</v>
      </c>
      <c r="C62" s="9">
        <v>41804.400000000001</v>
      </c>
      <c r="D62" s="9">
        <v>61107.1</v>
      </c>
      <c r="E62" s="9">
        <v>84796</v>
      </c>
      <c r="F62" s="9">
        <v>97551.7</v>
      </c>
      <c r="G62" s="9">
        <v>116305.4</v>
      </c>
      <c r="H62" s="9">
        <v>154426</v>
      </c>
      <c r="I62" s="9">
        <v>181121</v>
      </c>
      <c r="J62" s="9">
        <v>218214</v>
      </c>
      <c r="K62" s="9">
        <v>258418</v>
      </c>
      <c r="L62" s="9">
        <v>265135</v>
      </c>
      <c r="M62">
        <v>323156</v>
      </c>
      <c r="N62" s="9">
        <v>359319</v>
      </c>
      <c r="O62" s="9">
        <v>406612</v>
      </c>
      <c r="P62" s="9">
        <v>471261</v>
      </c>
      <c r="Q62" s="9">
        <v>506337</v>
      </c>
    </row>
    <row r="63" spans="1:17" x14ac:dyDescent="0.25">
      <c r="A63" t="s">
        <v>62</v>
      </c>
      <c r="B63" s="9">
        <v>597.29999999999995</v>
      </c>
      <c r="C63" s="9">
        <v>832.1</v>
      </c>
      <c r="D63" s="9">
        <v>1313.3</v>
      </c>
      <c r="E63" s="9">
        <v>1834</v>
      </c>
      <c r="F63" s="9">
        <v>1889.7</v>
      </c>
      <c r="G63" s="9">
        <v>2828.4</v>
      </c>
      <c r="H63" s="9">
        <v>4123</v>
      </c>
      <c r="I63" s="9">
        <v>4623</v>
      </c>
      <c r="J63" s="9">
        <v>6110</v>
      </c>
      <c r="K63" s="9">
        <v>6525</v>
      </c>
      <c r="L63" s="9">
        <v>7072</v>
      </c>
      <c r="M63">
        <v>7676</v>
      </c>
      <c r="N63" s="9">
        <v>7880</v>
      </c>
      <c r="O63" s="9">
        <v>9147</v>
      </c>
      <c r="P63" s="9">
        <v>9854</v>
      </c>
      <c r="Q63" s="9">
        <v>10883</v>
      </c>
    </row>
    <row r="64" spans="1:17" x14ac:dyDescent="0.25">
      <c r="A64" t="s">
        <v>63</v>
      </c>
      <c r="B64" s="9">
        <v>4799.7</v>
      </c>
      <c r="C64" s="9">
        <v>5987.6</v>
      </c>
      <c r="D64" s="9">
        <v>8084.3</v>
      </c>
      <c r="E64" s="9">
        <v>11797.9</v>
      </c>
      <c r="F64" s="9">
        <v>12258.3</v>
      </c>
      <c r="G64" s="9">
        <v>17320.7</v>
      </c>
      <c r="H64" s="9">
        <v>27620</v>
      </c>
      <c r="I64" s="9">
        <v>30051</v>
      </c>
      <c r="J64" s="9">
        <v>33356</v>
      </c>
      <c r="K64" s="9">
        <v>41416</v>
      </c>
      <c r="L64" s="9">
        <v>38509</v>
      </c>
      <c r="M64">
        <v>43621</v>
      </c>
      <c r="N64" s="9">
        <v>46249</v>
      </c>
      <c r="O64" s="9">
        <v>53834</v>
      </c>
      <c r="P64" s="9">
        <v>56566</v>
      </c>
      <c r="Q64" s="9">
        <v>64290</v>
      </c>
    </row>
    <row r="65" spans="1:17" x14ac:dyDescent="0.25">
      <c r="A65" t="s">
        <v>64</v>
      </c>
      <c r="B65" s="9">
        <v>613</v>
      </c>
      <c r="C65" s="9">
        <v>796.4</v>
      </c>
      <c r="D65" s="9">
        <v>1179.9000000000001</v>
      </c>
      <c r="E65" s="9">
        <v>1441.2</v>
      </c>
      <c r="F65" s="9">
        <v>1755.1</v>
      </c>
      <c r="G65" s="9">
        <v>3109.1</v>
      </c>
      <c r="H65" s="9">
        <v>3463</v>
      </c>
      <c r="I65" s="9">
        <v>4312</v>
      </c>
      <c r="J65" s="9">
        <v>5044</v>
      </c>
      <c r="K65" s="9">
        <v>6837</v>
      </c>
      <c r="L65" s="9">
        <v>5875</v>
      </c>
      <c r="M65" s="9">
        <v>6677</v>
      </c>
      <c r="N65" s="9">
        <v>7891</v>
      </c>
      <c r="O65" s="9">
        <v>8827</v>
      </c>
      <c r="P65" s="9">
        <v>10034</v>
      </c>
      <c r="Q65" s="9">
        <v>10612</v>
      </c>
    </row>
    <row r="66" spans="1:17" x14ac:dyDescent="0.25">
      <c r="A66" t="s">
        <v>65</v>
      </c>
      <c r="B66" s="9">
        <v>2595</v>
      </c>
      <c r="C66" s="9">
        <v>3454</v>
      </c>
      <c r="D66" s="9">
        <v>5114.6000000000004</v>
      </c>
      <c r="E66" s="9">
        <v>6318.2</v>
      </c>
      <c r="F66" s="9">
        <v>7337.4</v>
      </c>
      <c r="G66" s="9">
        <v>9804.4</v>
      </c>
      <c r="H66" s="9">
        <v>13386</v>
      </c>
      <c r="I66" s="9">
        <v>16703</v>
      </c>
      <c r="J66" s="9">
        <v>19909</v>
      </c>
      <c r="K66" s="9">
        <v>24781</v>
      </c>
      <c r="L66" s="9">
        <v>21843</v>
      </c>
      <c r="M66" s="9">
        <v>26413</v>
      </c>
      <c r="N66" s="9">
        <v>30934</v>
      </c>
      <c r="O66" s="9">
        <v>34107</v>
      </c>
      <c r="P66" s="9">
        <v>39079</v>
      </c>
      <c r="Q66" s="9">
        <v>43199</v>
      </c>
    </row>
    <row r="67" spans="1:17" x14ac:dyDescent="0.25">
      <c r="A67" t="s">
        <v>66</v>
      </c>
      <c r="B67" s="9">
        <v>13215.3</v>
      </c>
      <c r="C67" s="9">
        <v>18144.3</v>
      </c>
      <c r="D67" s="9">
        <v>25752.9</v>
      </c>
      <c r="E67" s="9">
        <v>35107.300000000003</v>
      </c>
      <c r="F67" s="9">
        <v>39694</v>
      </c>
      <c r="G67" s="9">
        <v>52791.3</v>
      </c>
      <c r="H67" s="9">
        <v>77717</v>
      </c>
      <c r="I67" s="9">
        <v>90822</v>
      </c>
      <c r="J67" s="9">
        <v>102377</v>
      </c>
      <c r="K67" s="9">
        <v>121844</v>
      </c>
      <c r="L67" s="9">
        <v>117944</v>
      </c>
      <c r="M67">
        <v>145175</v>
      </c>
      <c r="N67" s="9">
        <v>170158</v>
      </c>
      <c r="O67" s="9">
        <v>194128</v>
      </c>
      <c r="P67" s="9">
        <v>210555</v>
      </c>
      <c r="Q67" s="9">
        <v>231506</v>
      </c>
    </row>
    <row r="68" spans="1:17" x14ac:dyDescent="0.25">
      <c r="A68" t="s">
        <v>73</v>
      </c>
      <c r="B68" s="52">
        <v>6324.7</v>
      </c>
      <c r="C68" s="52">
        <v>8020.1</v>
      </c>
      <c r="D68" s="9">
        <v>14731.2</v>
      </c>
      <c r="E68" s="52">
        <v>15826.2</v>
      </c>
      <c r="F68" s="9">
        <v>14596.7</v>
      </c>
      <c r="G68" s="9">
        <v>19926.599999999999</v>
      </c>
      <c r="H68" s="9">
        <v>26847</v>
      </c>
      <c r="I68" s="9">
        <v>33136</v>
      </c>
      <c r="J68" s="9">
        <v>40255</v>
      </c>
      <c r="K68" s="9">
        <v>48962</v>
      </c>
      <c r="L68" s="9">
        <v>46994</v>
      </c>
      <c r="M68">
        <v>57574</v>
      </c>
      <c r="N68" s="9">
        <v>61084</v>
      </c>
      <c r="O68" s="9">
        <v>71200</v>
      </c>
      <c r="P68" s="9">
        <v>78765</v>
      </c>
      <c r="Q68" s="9">
        <v>88790</v>
      </c>
    </row>
    <row r="69" spans="1:17" x14ac:dyDescent="0.25">
      <c r="A69" t="s">
        <v>67</v>
      </c>
      <c r="B69" s="9">
        <v>28357.7</v>
      </c>
      <c r="C69" s="9">
        <v>36287.599999999999</v>
      </c>
      <c r="D69" s="9">
        <v>55012.4</v>
      </c>
      <c r="E69" s="9">
        <v>67810</v>
      </c>
      <c r="F69" s="9">
        <v>68300.899999999994</v>
      </c>
      <c r="G69" s="9">
        <v>90908.2</v>
      </c>
      <c r="H69" s="9">
        <v>129791</v>
      </c>
      <c r="I69" s="9">
        <v>170498</v>
      </c>
      <c r="J69" s="9">
        <v>190053</v>
      </c>
      <c r="K69" s="9">
        <v>214718</v>
      </c>
      <c r="L69" s="9">
        <v>208090</v>
      </c>
      <c r="M69" s="9">
        <v>250867</v>
      </c>
      <c r="N69" s="9">
        <v>273705</v>
      </c>
      <c r="O69" s="9">
        <v>310940</v>
      </c>
      <c r="P69" s="9">
        <v>335328</v>
      </c>
      <c r="Q69" s="9">
        <v>377310</v>
      </c>
    </row>
    <row r="70" spans="1:17" x14ac:dyDescent="0.25">
      <c r="A70" t="s">
        <v>68</v>
      </c>
      <c r="B70" s="9">
        <v>20698.900000000001</v>
      </c>
      <c r="C70" s="9">
        <v>31266.6</v>
      </c>
      <c r="D70" s="9">
        <v>41152</v>
      </c>
      <c r="E70" s="9">
        <v>52713.5</v>
      </c>
      <c r="F70" s="9">
        <v>55408.800000000003</v>
      </c>
      <c r="G70" s="9">
        <v>69843.100000000006</v>
      </c>
      <c r="H70" s="9">
        <v>97570</v>
      </c>
      <c r="I70" s="9">
        <v>128331</v>
      </c>
      <c r="J70" s="9">
        <v>154411</v>
      </c>
      <c r="K70" s="9">
        <v>187433</v>
      </c>
      <c r="L70" s="9">
        <v>183329</v>
      </c>
      <c r="M70" s="9">
        <v>216631</v>
      </c>
      <c r="N70" s="9">
        <v>265780</v>
      </c>
      <c r="O70" s="9">
        <v>305828</v>
      </c>
      <c r="P70" s="9">
        <v>319492</v>
      </c>
      <c r="Q70" s="9">
        <v>363987</v>
      </c>
    </row>
    <row r="71" spans="1:17" x14ac:dyDescent="0.25">
      <c r="A71" t="s">
        <v>69</v>
      </c>
      <c r="B71" s="9">
        <v>25101.9</v>
      </c>
      <c r="C71" s="9">
        <v>33817.1</v>
      </c>
      <c r="D71" s="9">
        <v>46929.3</v>
      </c>
      <c r="E71" s="9">
        <v>69709.100000000006</v>
      </c>
      <c r="F71" s="9">
        <v>68815.5</v>
      </c>
      <c r="G71" s="9">
        <v>86058.6</v>
      </c>
      <c r="H71" s="9">
        <v>127251</v>
      </c>
      <c r="I71" s="9">
        <v>165178</v>
      </c>
      <c r="J71" s="9">
        <v>174964</v>
      </c>
      <c r="K71" s="9">
        <v>179374</v>
      </c>
      <c r="L71" s="9">
        <v>181614</v>
      </c>
      <c r="M71" s="9">
        <v>208517</v>
      </c>
      <c r="N71" s="9">
        <v>233618</v>
      </c>
      <c r="O71" s="9">
        <v>282508</v>
      </c>
      <c r="P71" s="9">
        <v>315558</v>
      </c>
      <c r="Q71" s="9">
        <v>323820</v>
      </c>
    </row>
    <row r="72" spans="1:17" x14ac:dyDescent="0.25">
      <c r="A72" t="s">
        <v>70</v>
      </c>
      <c r="B72" s="9">
        <v>24017.1</v>
      </c>
      <c r="C72" s="9">
        <v>33979.5</v>
      </c>
      <c r="D72" s="9">
        <v>50012.9</v>
      </c>
      <c r="E72" s="9">
        <v>76172.600000000006</v>
      </c>
      <c r="F72" s="9">
        <v>86383.8</v>
      </c>
      <c r="G72" s="9">
        <v>106134.7</v>
      </c>
      <c r="H72" s="9">
        <v>141623</v>
      </c>
      <c r="I72" s="9">
        <v>189077</v>
      </c>
      <c r="J72" s="9">
        <v>232178</v>
      </c>
      <c r="K72" s="9">
        <v>275978</v>
      </c>
      <c r="L72" s="9">
        <v>301973</v>
      </c>
      <c r="M72" s="9">
        <v>350283</v>
      </c>
      <c r="N72" s="9">
        <v>419585</v>
      </c>
      <c r="O72" s="9">
        <v>478945</v>
      </c>
      <c r="P72" s="9">
        <v>423141</v>
      </c>
      <c r="Q72" s="9">
        <v>479069</v>
      </c>
    </row>
    <row r="73" spans="1:17" x14ac:dyDescent="0.25">
      <c r="A73" t="s">
        <v>71</v>
      </c>
      <c r="B73" s="9">
        <v>15776</v>
      </c>
      <c r="C73" s="9">
        <v>21717.599999999999</v>
      </c>
      <c r="D73" s="9">
        <v>31143.5</v>
      </c>
      <c r="E73" s="9">
        <v>40033.699999999997</v>
      </c>
      <c r="F73" s="9">
        <v>40420.300000000003</v>
      </c>
      <c r="G73" s="9">
        <v>53830.6</v>
      </c>
      <c r="H73" s="9">
        <v>73196</v>
      </c>
      <c r="I73" s="9">
        <v>92039</v>
      </c>
      <c r="J73" s="9">
        <v>110970</v>
      </c>
      <c r="K73" s="9">
        <v>134273</v>
      </c>
      <c r="L73" s="9">
        <v>133121</v>
      </c>
      <c r="M73" s="9">
        <v>155688</v>
      </c>
      <c r="N73" s="9">
        <v>172464</v>
      </c>
      <c r="O73" s="9">
        <v>188711</v>
      </c>
      <c r="P73" s="9">
        <v>205407</v>
      </c>
      <c r="Q73" s="9">
        <v>222411</v>
      </c>
    </row>
    <row r="74" spans="1:17" x14ac:dyDescent="0.25">
      <c r="A74" t="s">
        <v>72</v>
      </c>
      <c r="B74" s="9">
        <v>11351</v>
      </c>
      <c r="C74" s="9">
        <v>19182.5</v>
      </c>
      <c r="D74" s="9">
        <v>20687.2</v>
      </c>
      <c r="E74" s="9">
        <v>27172.400000000001</v>
      </c>
      <c r="F74" s="9">
        <v>26188.6</v>
      </c>
      <c r="G74" s="9">
        <v>35515.1</v>
      </c>
      <c r="H74" s="9">
        <v>47310</v>
      </c>
      <c r="I74" s="9">
        <v>59979</v>
      </c>
      <c r="J74" s="9">
        <v>74376</v>
      </c>
      <c r="K74" s="9">
        <v>88764</v>
      </c>
      <c r="L74" s="9">
        <v>89665</v>
      </c>
      <c r="M74" s="9">
        <v>106011</v>
      </c>
      <c r="N74" s="9">
        <v>120773</v>
      </c>
      <c r="O74" s="9">
        <v>128526</v>
      </c>
      <c r="P74" s="9">
        <v>140103</v>
      </c>
      <c r="Q74" s="9">
        <v>153915</v>
      </c>
    </row>
    <row r="75" spans="1:17" x14ac:dyDescent="0.25">
      <c r="A75" t="s">
        <v>74</v>
      </c>
      <c r="B75" s="9">
        <v>10578.9</v>
      </c>
      <c r="C75" s="9">
        <v>14223.2</v>
      </c>
      <c r="D75" s="9">
        <v>18737.900000000001</v>
      </c>
      <c r="E75" s="9">
        <v>23788.2</v>
      </c>
      <c r="F75" s="9">
        <v>28606.5</v>
      </c>
      <c r="G75" s="9">
        <v>35093.699999999997</v>
      </c>
      <c r="H75" s="9">
        <v>44038</v>
      </c>
      <c r="I75" s="9">
        <v>56562</v>
      </c>
      <c r="J75" s="9">
        <v>66429</v>
      </c>
      <c r="K75" s="9">
        <v>90824</v>
      </c>
      <c r="L75" s="9">
        <v>88538</v>
      </c>
      <c r="M75">
        <v>102157</v>
      </c>
      <c r="N75" s="9">
        <v>109189</v>
      </c>
      <c r="O75" s="9">
        <v>121173</v>
      </c>
      <c r="P75" s="9">
        <v>137455</v>
      </c>
      <c r="Q75" s="9">
        <v>142477</v>
      </c>
    </row>
    <row r="76" spans="1:17" x14ac:dyDescent="0.25">
      <c r="A76" t="s">
        <v>75</v>
      </c>
      <c r="B76" s="9">
        <v>5009.6000000000004</v>
      </c>
      <c r="C76" s="9">
        <v>6983.9</v>
      </c>
      <c r="D76" s="9">
        <v>9907.4</v>
      </c>
      <c r="E76" s="9">
        <v>13253</v>
      </c>
      <c r="F76" s="9">
        <v>15093.5</v>
      </c>
      <c r="G76" s="9">
        <v>19799.400000000001</v>
      </c>
      <c r="H76" s="9">
        <v>26678</v>
      </c>
      <c r="I76" s="9">
        <v>33771</v>
      </c>
      <c r="J76" s="9">
        <v>39521</v>
      </c>
      <c r="K76" s="9">
        <v>47364</v>
      </c>
      <c r="L76" s="9">
        <v>45699</v>
      </c>
      <c r="M76" s="9">
        <v>56049</v>
      </c>
      <c r="N76" s="9">
        <v>65103</v>
      </c>
      <c r="O76" s="9">
        <v>74280</v>
      </c>
      <c r="P76" s="9">
        <v>82774</v>
      </c>
      <c r="Q76" s="9">
        <v>90829</v>
      </c>
    </row>
    <row r="77" spans="1:17" x14ac:dyDescent="0.25">
      <c r="A77" t="s">
        <v>76</v>
      </c>
      <c r="B77" s="9">
        <v>16627.3</v>
      </c>
      <c r="C77" s="9">
        <v>22747.4</v>
      </c>
      <c r="D77" s="9">
        <v>36397.1</v>
      </c>
      <c r="E77" s="9">
        <v>51116.2</v>
      </c>
      <c r="F77" s="9">
        <v>54667.4</v>
      </c>
      <c r="G77" s="9">
        <v>77611.8</v>
      </c>
      <c r="H77" s="9">
        <v>111048</v>
      </c>
      <c r="I77" s="9">
        <v>139084</v>
      </c>
      <c r="J77" s="9">
        <v>163217</v>
      </c>
      <c r="K77" s="9">
        <v>197814</v>
      </c>
      <c r="L77" s="9">
        <v>201058</v>
      </c>
      <c r="M77" s="9">
        <v>237721</v>
      </c>
      <c r="N77" s="9">
        <v>257633</v>
      </c>
      <c r="O77" s="9">
        <v>302807</v>
      </c>
      <c r="P77" s="9">
        <v>340903</v>
      </c>
      <c r="Q77" s="9">
        <v>368671</v>
      </c>
    </row>
    <row r="78" spans="1:17" x14ac:dyDescent="0.25">
      <c r="A78" t="s">
        <v>77</v>
      </c>
      <c r="B78" s="9">
        <v>18585.7</v>
      </c>
      <c r="C78" s="9">
        <v>25731.200000000001</v>
      </c>
      <c r="D78" s="9">
        <v>39482.800000000003</v>
      </c>
      <c r="E78" s="9">
        <v>59244.1</v>
      </c>
      <c r="F78" s="9">
        <v>57967.4</v>
      </c>
      <c r="G78" s="9">
        <v>79267.8</v>
      </c>
      <c r="H78" s="9">
        <v>110974</v>
      </c>
      <c r="I78" s="9">
        <v>127782</v>
      </c>
      <c r="J78" s="9">
        <v>151878</v>
      </c>
      <c r="K78" s="9">
        <v>165825</v>
      </c>
      <c r="L78" s="9">
        <v>171883</v>
      </c>
      <c r="M78" s="9">
        <v>194356</v>
      </c>
      <c r="N78" s="9">
        <v>220265</v>
      </c>
      <c r="O78" s="9">
        <v>233277</v>
      </c>
      <c r="P78" s="9">
        <v>241121</v>
      </c>
      <c r="Q78" s="9">
        <v>262279</v>
      </c>
    </row>
    <row r="79" spans="1:17" x14ac:dyDescent="0.25">
      <c r="A79" t="s">
        <v>78</v>
      </c>
      <c r="B79" s="9">
        <v>5701.5</v>
      </c>
      <c r="C79" s="9">
        <v>8071</v>
      </c>
      <c r="D79" s="9">
        <v>11400.2</v>
      </c>
      <c r="E79" s="9">
        <v>22101.9</v>
      </c>
      <c r="F79" s="9">
        <v>19806.400000000001</v>
      </c>
      <c r="G79" s="9">
        <v>26329.200000000001</v>
      </c>
      <c r="H79" s="9">
        <v>36724</v>
      </c>
      <c r="I79" s="9">
        <v>46843</v>
      </c>
      <c r="J79" s="9">
        <v>50744</v>
      </c>
      <c r="K79" s="9">
        <v>64121</v>
      </c>
      <c r="L79" s="9">
        <v>65623</v>
      </c>
      <c r="M79" s="9">
        <v>74950</v>
      </c>
      <c r="N79" s="9">
        <v>75699</v>
      </c>
      <c r="O79" s="9">
        <v>88481</v>
      </c>
      <c r="P79" s="9">
        <v>102470</v>
      </c>
      <c r="Q79" s="9">
        <v>114844</v>
      </c>
    </row>
    <row r="80" spans="1:17" x14ac:dyDescent="0.25">
      <c r="A80" t="s">
        <v>79</v>
      </c>
      <c r="B80" s="9">
        <v>3321.3</v>
      </c>
      <c r="C80" s="9">
        <v>4525.5</v>
      </c>
      <c r="D80" s="9">
        <v>6155.5</v>
      </c>
      <c r="E80" s="9">
        <v>7750.6</v>
      </c>
      <c r="F80" s="9">
        <v>9407</v>
      </c>
      <c r="G80" s="9">
        <v>12308.9</v>
      </c>
      <c r="H80" s="9">
        <v>16534</v>
      </c>
      <c r="I80" s="9">
        <v>21638</v>
      </c>
      <c r="J80" s="9">
        <v>26563</v>
      </c>
      <c r="K80" s="9">
        <v>30844</v>
      </c>
      <c r="L80" s="9">
        <v>32013</v>
      </c>
      <c r="M80" s="9">
        <v>33674</v>
      </c>
      <c r="N80" s="9">
        <v>38390</v>
      </c>
      <c r="O80" s="9">
        <v>49499</v>
      </c>
      <c r="P80" s="9">
        <v>50582</v>
      </c>
      <c r="Q80" s="9">
        <v>58635</v>
      </c>
    </row>
    <row r="81" spans="1:17" x14ac:dyDescent="0.25">
      <c r="A81" t="s">
        <v>80</v>
      </c>
      <c r="B81" s="9">
        <v>7798.5</v>
      </c>
      <c r="C81" s="9">
        <v>11141.8</v>
      </c>
      <c r="D81" s="9">
        <v>16370.8</v>
      </c>
      <c r="E81" s="9">
        <v>22829.599999999999</v>
      </c>
      <c r="F81" s="9">
        <v>23888.1</v>
      </c>
      <c r="G81" s="9">
        <v>30407.200000000001</v>
      </c>
      <c r="H81" s="9">
        <v>43190</v>
      </c>
      <c r="I81" s="9">
        <v>55014</v>
      </c>
      <c r="J81" s="9">
        <v>61076</v>
      </c>
      <c r="K81" s="9">
        <v>72937</v>
      </c>
      <c r="L81" s="9">
        <v>86574</v>
      </c>
      <c r="M81" s="9">
        <v>180899</v>
      </c>
      <c r="N81" s="9">
        <v>170995</v>
      </c>
      <c r="O81" s="9">
        <v>147776</v>
      </c>
      <c r="P81" s="9">
        <v>169619</v>
      </c>
      <c r="Q81" s="9">
        <v>173101</v>
      </c>
    </row>
    <row r="82" spans="1:17" x14ac:dyDescent="0.25">
      <c r="A82" t="s">
        <v>81</v>
      </c>
      <c r="B82" s="9">
        <v>924.2</v>
      </c>
      <c r="C82" s="9">
        <v>1308.5999999999999</v>
      </c>
      <c r="D82" s="9">
        <v>1695.9</v>
      </c>
      <c r="E82" s="9">
        <v>2302.3000000000002</v>
      </c>
      <c r="F82" s="9">
        <v>2689</v>
      </c>
      <c r="G82" s="9">
        <v>3091.3</v>
      </c>
      <c r="H82" s="9">
        <v>4389</v>
      </c>
      <c r="I82" s="9">
        <v>5699</v>
      </c>
      <c r="J82" s="9">
        <v>7204</v>
      </c>
      <c r="K82" s="9">
        <v>8927</v>
      </c>
      <c r="L82" s="9">
        <v>8958</v>
      </c>
      <c r="M82" s="9">
        <v>10203</v>
      </c>
      <c r="N82" s="9">
        <v>11223</v>
      </c>
      <c r="O82" s="9">
        <v>11744</v>
      </c>
      <c r="P82" s="9">
        <v>13414</v>
      </c>
      <c r="Q82" s="9">
        <v>15294</v>
      </c>
    </row>
    <row r="83" spans="1:17" x14ac:dyDescent="0.25">
      <c r="A83" t="s">
        <v>82</v>
      </c>
      <c r="B83" s="9">
        <v>1488.8</v>
      </c>
      <c r="C83" s="9">
        <v>1876.8</v>
      </c>
      <c r="D83" s="9">
        <v>2305.1</v>
      </c>
      <c r="E83" s="9">
        <v>2486.1</v>
      </c>
      <c r="F83" s="9">
        <v>3318.7</v>
      </c>
      <c r="G83" s="9">
        <v>4882.8</v>
      </c>
      <c r="H83" s="9">
        <v>4769</v>
      </c>
      <c r="I83" s="9">
        <v>5502</v>
      </c>
      <c r="J83" s="9">
        <v>8039</v>
      </c>
      <c r="K83" s="9">
        <v>10350</v>
      </c>
      <c r="L83" s="9">
        <v>8063</v>
      </c>
      <c r="M83" s="9">
        <v>9788</v>
      </c>
      <c r="N83" s="9">
        <v>11051</v>
      </c>
      <c r="O83" s="9">
        <v>11707</v>
      </c>
      <c r="P83" s="9">
        <v>12962</v>
      </c>
      <c r="Q83" s="9">
        <v>12906</v>
      </c>
    </row>
    <row r="84" spans="1:17" x14ac:dyDescent="0.25">
      <c r="I84">
        <f>SUM(I2:I83)</f>
        <v>15134610</v>
      </c>
    </row>
    <row r="85" spans="1:17" x14ac:dyDescent="0.25">
      <c r="I85">
        <f>I84/Население!J84</f>
        <v>105.5802353729063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Q84"/>
  <sheetViews>
    <sheetView topLeftCell="A61" workbookViewId="0">
      <selection activeCell="Q2" sqref="Q2:Q83"/>
    </sheetView>
  </sheetViews>
  <sheetFormatPr defaultRowHeight="15" x14ac:dyDescent="0.25"/>
  <cols>
    <col min="1" max="1" width="35.42578125" customWidth="1"/>
    <col min="7" max="15" width="0" hidden="1" customWidth="1"/>
  </cols>
  <sheetData>
    <row r="1" spans="1:17" x14ac:dyDescent="0.25">
      <c r="B1">
        <v>2005</v>
      </c>
      <c r="C1">
        <v>2006</v>
      </c>
      <c r="D1">
        <v>2007</v>
      </c>
      <c r="E1">
        <v>2008</v>
      </c>
      <c r="F1">
        <v>2009</v>
      </c>
      <c r="G1" s="6">
        <v>2010</v>
      </c>
      <c r="H1" s="6">
        <v>2011</v>
      </c>
      <c r="I1" s="6">
        <v>2012</v>
      </c>
      <c r="J1" s="6">
        <v>2013</v>
      </c>
      <c r="K1" s="6">
        <v>2014</v>
      </c>
      <c r="L1" s="6">
        <v>2015</v>
      </c>
      <c r="M1" s="6">
        <v>2016</v>
      </c>
      <c r="N1" s="7">
        <v>2017</v>
      </c>
      <c r="O1" s="6">
        <v>2018</v>
      </c>
      <c r="P1" s="6">
        <v>2019</v>
      </c>
      <c r="Q1" s="6">
        <v>2020</v>
      </c>
    </row>
    <row r="2" spans="1:17" x14ac:dyDescent="0.25">
      <c r="A2" t="s">
        <v>1</v>
      </c>
      <c r="B2" s="9">
        <v>831</v>
      </c>
      <c r="C2" s="9">
        <v>939</v>
      </c>
      <c r="D2" s="9">
        <v>1064</v>
      </c>
      <c r="E2" s="9">
        <v>1112</v>
      </c>
      <c r="F2" s="9">
        <v>1097</v>
      </c>
      <c r="G2" s="9">
        <v>1100</v>
      </c>
      <c r="H2" s="9">
        <v>1148</v>
      </c>
      <c r="I2" s="9">
        <v>1215</v>
      </c>
      <c r="J2" s="9">
        <v>1295</v>
      </c>
      <c r="K2" s="9">
        <v>1469</v>
      </c>
      <c r="L2" s="9">
        <v>1555</v>
      </c>
      <c r="M2" s="9">
        <v>1350</v>
      </c>
      <c r="N2" s="9">
        <v>1301</v>
      </c>
      <c r="O2" s="9">
        <v>1216</v>
      </c>
      <c r="P2" s="9">
        <v>1260</v>
      </c>
      <c r="Q2" s="9">
        <v>1149</v>
      </c>
    </row>
    <row r="3" spans="1:17" x14ac:dyDescent="0.25">
      <c r="A3" t="s">
        <v>2</v>
      </c>
      <c r="B3" s="9">
        <v>198</v>
      </c>
      <c r="C3" s="9">
        <v>246</v>
      </c>
      <c r="D3" s="9">
        <v>299</v>
      </c>
      <c r="E3" s="9">
        <v>322</v>
      </c>
      <c r="F3" s="9">
        <v>353</v>
      </c>
      <c r="G3" s="9">
        <v>391</v>
      </c>
      <c r="H3" s="9">
        <v>421</v>
      </c>
      <c r="I3" s="9">
        <v>453</v>
      </c>
      <c r="J3" s="9">
        <v>527</v>
      </c>
      <c r="K3" s="9">
        <v>551</v>
      </c>
      <c r="L3" s="9">
        <v>644</v>
      </c>
      <c r="M3" s="9">
        <v>665</v>
      </c>
      <c r="N3" s="9">
        <v>558</v>
      </c>
      <c r="O3" s="9">
        <v>403</v>
      </c>
      <c r="P3" s="9">
        <v>407</v>
      </c>
      <c r="Q3" s="9">
        <v>427</v>
      </c>
    </row>
    <row r="4" spans="1:17" x14ac:dyDescent="0.25">
      <c r="A4" t="s">
        <v>3</v>
      </c>
      <c r="B4" s="9">
        <v>327</v>
      </c>
      <c r="C4" s="9">
        <v>341</v>
      </c>
      <c r="D4" s="9">
        <v>376</v>
      </c>
      <c r="E4" s="9">
        <v>419</v>
      </c>
      <c r="F4" s="9">
        <v>451</v>
      </c>
      <c r="G4" s="9">
        <v>481</v>
      </c>
      <c r="H4" s="9">
        <v>438</v>
      </c>
      <c r="I4" s="9">
        <v>508</v>
      </c>
      <c r="J4" s="9">
        <v>519</v>
      </c>
      <c r="K4" s="9">
        <v>606</v>
      </c>
      <c r="L4" s="9">
        <v>647</v>
      </c>
      <c r="M4" s="9">
        <v>656</v>
      </c>
      <c r="N4" s="9">
        <v>695</v>
      </c>
      <c r="O4" s="9">
        <v>653</v>
      </c>
      <c r="P4" s="9">
        <v>745</v>
      </c>
      <c r="Q4" s="9">
        <v>726</v>
      </c>
    </row>
    <row r="5" spans="1:17" x14ac:dyDescent="0.25">
      <c r="A5" t="s">
        <v>4</v>
      </c>
      <c r="B5" s="9">
        <v>784</v>
      </c>
      <c r="C5" s="9">
        <v>854</v>
      </c>
      <c r="D5" s="9">
        <v>974</v>
      </c>
      <c r="E5" s="9">
        <v>1121</v>
      </c>
      <c r="F5" s="9">
        <v>888</v>
      </c>
      <c r="G5" s="9">
        <v>1050</v>
      </c>
      <c r="H5" s="9">
        <v>996</v>
      </c>
      <c r="I5" s="9">
        <v>1110</v>
      </c>
      <c r="J5" s="9">
        <v>1349</v>
      </c>
      <c r="K5" s="9">
        <v>1573</v>
      </c>
      <c r="L5" s="9">
        <v>1627</v>
      </c>
      <c r="M5" s="9">
        <v>1679</v>
      </c>
      <c r="N5" s="9">
        <v>1687</v>
      </c>
      <c r="O5" s="9">
        <v>1691</v>
      </c>
      <c r="P5" s="9">
        <v>1879</v>
      </c>
      <c r="Q5" s="9">
        <v>1726</v>
      </c>
    </row>
    <row r="6" spans="1:17" x14ac:dyDescent="0.25">
      <c r="A6" t="s">
        <v>5</v>
      </c>
      <c r="B6" s="9">
        <v>106</v>
      </c>
      <c r="C6" s="9">
        <v>179</v>
      </c>
      <c r="D6" s="9">
        <v>142</v>
      </c>
      <c r="E6" s="9">
        <v>171</v>
      </c>
      <c r="F6" s="9">
        <v>187</v>
      </c>
      <c r="G6" s="9">
        <v>191</v>
      </c>
      <c r="H6" s="9">
        <v>217</v>
      </c>
      <c r="I6" s="9">
        <v>222</v>
      </c>
      <c r="J6" s="9">
        <v>232</v>
      </c>
      <c r="K6" s="9">
        <v>253</v>
      </c>
      <c r="L6" s="9">
        <v>260</v>
      </c>
      <c r="M6" s="9">
        <v>177</v>
      </c>
      <c r="N6" s="9">
        <v>340</v>
      </c>
      <c r="O6" s="9">
        <v>369</v>
      </c>
      <c r="P6" s="9">
        <v>331</v>
      </c>
      <c r="Q6" s="9">
        <v>333</v>
      </c>
    </row>
    <row r="7" spans="1:17" x14ac:dyDescent="0.25">
      <c r="A7" t="s">
        <v>6</v>
      </c>
      <c r="B7" s="9">
        <v>263</v>
      </c>
      <c r="C7" s="9">
        <v>265</v>
      </c>
      <c r="D7" s="9">
        <v>458</v>
      </c>
      <c r="E7" s="9">
        <v>632</v>
      </c>
      <c r="F7" s="9">
        <v>457</v>
      </c>
      <c r="G7" s="9">
        <v>501</v>
      </c>
      <c r="H7" s="9">
        <v>598</v>
      </c>
      <c r="I7" s="9">
        <v>613</v>
      </c>
      <c r="J7" s="9">
        <v>657</v>
      </c>
      <c r="K7" s="9">
        <v>808</v>
      </c>
      <c r="L7" s="9">
        <v>796</v>
      </c>
      <c r="M7" s="9">
        <v>737</v>
      </c>
      <c r="N7" s="9">
        <v>882</v>
      </c>
      <c r="O7" s="9">
        <v>787</v>
      </c>
      <c r="P7" s="9">
        <v>795</v>
      </c>
      <c r="Q7" s="9">
        <v>819</v>
      </c>
    </row>
    <row r="8" spans="1:17" x14ac:dyDescent="0.25">
      <c r="A8" t="s">
        <v>7</v>
      </c>
      <c r="B8" s="9">
        <v>117</v>
      </c>
      <c r="C8" s="9">
        <v>109</v>
      </c>
      <c r="D8" s="9">
        <v>140</v>
      </c>
      <c r="E8" s="9">
        <v>149</v>
      </c>
      <c r="F8" s="9">
        <v>180</v>
      </c>
      <c r="G8" s="9">
        <v>151</v>
      </c>
      <c r="H8" s="9">
        <v>156</v>
      </c>
      <c r="I8" s="9">
        <v>205</v>
      </c>
      <c r="J8" s="9">
        <v>228</v>
      </c>
      <c r="K8" s="9">
        <v>328</v>
      </c>
      <c r="L8" s="9">
        <v>322</v>
      </c>
      <c r="M8" s="9">
        <v>309</v>
      </c>
      <c r="N8" s="9">
        <v>310</v>
      </c>
      <c r="O8" s="9">
        <v>197</v>
      </c>
      <c r="P8" s="9">
        <v>212</v>
      </c>
      <c r="Q8" s="9">
        <v>259</v>
      </c>
    </row>
    <row r="9" spans="1:17" x14ac:dyDescent="0.25">
      <c r="A9" t="s">
        <v>8</v>
      </c>
      <c r="B9" s="9">
        <v>298</v>
      </c>
      <c r="C9" s="9">
        <v>327</v>
      </c>
      <c r="D9" s="9">
        <v>376</v>
      </c>
      <c r="E9" s="9">
        <v>447</v>
      </c>
      <c r="F9" s="9">
        <v>456</v>
      </c>
      <c r="G9" s="9">
        <v>381</v>
      </c>
      <c r="H9" s="9">
        <v>394</v>
      </c>
      <c r="I9" s="9">
        <v>426</v>
      </c>
      <c r="J9" s="9">
        <v>496</v>
      </c>
      <c r="K9" s="9">
        <v>561</v>
      </c>
      <c r="L9" s="9">
        <v>567</v>
      </c>
      <c r="M9" s="9">
        <v>587</v>
      </c>
      <c r="N9" s="9">
        <v>591</v>
      </c>
      <c r="O9" s="9">
        <v>595</v>
      </c>
      <c r="P9" s="9">
        <v>554</v>
      </c>
      <c r="Q9" s="9">
        <v>523</v>
      </c>
    </row>
    <row r="10" spans="1:17" x14ac:dyDescent="0.25">
      <c r="A10" t="s">
        <v>9</v>
      </c>
      <c r="B10" s="9">
        <v>508</v>
      </c>
      <c r="C10" s="9">
        <v>621</v>
      </c>
      <c r="D10" s="9">
        <v>705</v>
      </c>
      <c r="E10" s="9">
        <v>722</v>
      </c>
      <c r="F10" s="9">
        <v>732</v>
      </c>
      <c r="G10" s="9">
        <v>737</v>
      </c>
      <c r="H10" s="9">
        <v>762</v>
      </c>
      <c r="I10" s="9">
        <v>807</v>
      </c>
      <c r="J10" s="9">
        <v>858</v>
      </c>
      <c r="K10" s="9">
        <v>1009</v>
      </c>
      <c r="L10" s="9">
        <v>1061</v>
      </c>
      <c r="M10" s="9">
        <v>1078</v>
      </c>
      <c r="N10" s="9">
        <v>1084</v>
      </c>
      <c r="O10" s="9">
        <v>903</v>
      </c>
      <c r="P10" s="9">
        <v>1254</v>
      </c>
      <c r="Q10" s="9">
        <v>1232</v>
      </c>
    </row>
    <row r="11" spans="1:17" x14ac:dyDescent="0.25">
      <c r="A11" t="s">
        <v>10</v>
      </c>
      <c r="B11" s="9">
        <v>5297</v>
      </c>
      <c r="C11" s="9">
        <v>6484</v>
      </c>
      <c r="D11" s="9">
        <v>7805</v>
      </c>
      <c r="E11" s="9">
        <v>7881</v>
      </c>
      <c r="F11" s="9">
        <v>8452</v>
      </c>
      <c r="G11" s="9">
        <v>7939</v>
      </c>
      <c r="H11" s="9">
        <v>8244</v>
      </c>
      <c r="I11" s="9">
        <v>6620</v>
      </c>
      <c r="J11" s="9">
        <v>7407</v>
      </c>
      <c r="K11" s="9">
        <v>9945</v>
      </c>
      <c r="L11" s="9">
        <v>9623</v>
      </c>
      <c r="M11" s="9">
        <v>8914</v>
      </c>
      <c r="N11" s="9">
        <v>9078</v>
      </c>
      <c r="O11" s="9">
        <v>8867</v>
      </c>
      <c r="P11" s="9">
        <v>8614</v>
      </c>
      <c r="Q11" s="9">
        <v>9040</v>
      </c>
    </row>
    <row r="12" spans="1:17" x14ac:dyDescent="0.25">
      <c r="A12" t="s">
        <v>11</v>
      </c>
      <c r="B12" s="9">
        <v>248</v>
      </c>
      <c r="C12" s="9">
        <v>253</v>
      </c>
      <c r="D12" s="9">
        <v>310</v>
      </c>
      <c r="E12" s="9">
        <v>326</v>
      </c>
      <c r="F12" s="9">
        <v>302</v>
      </c>
      <c r="G12" s="9">
        <v>249</v>
      </c>
      <c r="H12" s="9">
        <v>334</v>
      </c>
      <c r="I12" s="9">
        <v>359</v>
      </c>
      <c r="J12" s="9">
        <v>379</v>
      </c>
      <c r="K12" s="9">
        <v>469</v>
      </c>
      <c r="L12" s="9">
        <v>479</v>
      </c>
      <c r="M12" s="9">
        <v>360</v>
      </c>
      <c r="N12" s="9">
        <v>268</v>
      </c>
      <c r="O12" s="9">
        <v>290</v>
      </c>
      <c r="P12" s="9">
        <v>303</v>
      </c>
      <c r="Q12" s="9">
        <v>440</v>
      </c>
    </row>
    <row r="13" spans="1:17" x14ac:dyDescent="0.25">
      <c r="A13" t="s">
        <v>12</v>
      </c>
      <c r="B13" s="9">
        <v>301</v>
      </c>
      <c r="C13" s="9">
        <v>377</v>
      </c>
      <c r="D13" s="9">
        <v>457</v>
      </c>
      <c r="E13" s="9">
        <v>503</v>
      </c>
      <c r="F13" s="9">
        <v>510</v>
      </c>
      <c r="G13" s="9">
        <v>466</v>
      </c>
      <c r="H13" s="9">
        <v>478</v>
      </c>
      <c r="I13" s="9">
        <v>512</v>
      </c>
      <c r="J13" s="9">
        <v>553</v>
      </c>
      <c r="K13" s="9">
        <v>603</v>
      </c>
      <c r="L13" s="9">
        <v>667</v>
      </c>
      <c r="M13" s="9">
        <v>708</v>
      </c>
      <c r="N13" s="9">
        <v>713</v>
      </c>
      <c r="O13" s="9">
        <v>778</v>
      </c>
      <c r="P13" s="9">
        <v>799</v>
      </c>
      <c r="Q13" s="9">
        <v>647</v>
      </c>
    </row>
    <row r="14" spans="1:17" x14ac:dyDescent="0.25">
      <c r="A14" t="s">
        <v>13</v>
      </c>
      <c r="B14" s="9">
        <v>270</v>
      </c>
      <c r="C14" s="9">
        <v>297</v>
      </c>
      <c r="D14" s="9">
        <v>300</v>
      </c>
      <c r="E14" s="9">
        <v>345</v>
      </c>
      <c r="F14" s="9">
        <v>346</v>
      </c>
      <c r="G14" s="9">
        <v>348</v>
      </c>
      <c r="H14" s="9">
        <v>371</v>
      </c>
      <c r="I14" s="9">
        <v>261</v>
      </c>
      <c r="J14" s="9">
        <v>411</v>
      </c>
      <c r="K14" s="9">
        <v>449</v>
      </c>
      <c r="L14" s="9">
        <v>514</v>
      </c>
      <c r="M14" s="9">
        <v>630</v>
      </c>
      <c r="N14" s="9">
        <v>484</v>
      </c>
      <c r="O14" s="9">
        <v>360</v>
      </c>
      <c r="P14" s="9">
        <v>427</v>
      </c>
      <c r="Q14" s="9">
        <v>444</v>
      </c>
    </row>
    <row r="15" spans="1:17" x14ac:dyDescent="0.25">
      <c r="A15" t="s">
        <v>14</v>
      </c>
      <c r="B15" s="9">
        <v>350</v>
      </c>
      <c r="C15" s="9">
        <v>421</v>
      </c>
      <c r="D15" s="9">
        <v>502</v>
      </c>
      <c r="E15" s="9">
        <v>560</v>
      </c>
      <c r="F15" s="9">
        <v>564</v>
      </c>
      <c r="G15" s="9">
        <v>569</v>
      </c>
      <c r="H15" s="9">
        <v>603</v>
      </c>
      <c r="I15" s="9">
        <v>636</v>
      </c>
      <c r="J15" s="9">
        <v>704</v>
      </c>
      <c r="K15" s="9">
        <v>771</v>
      </c>
      <c r="L15" s="9">
        <v>826</v>
      </c>
      <c r="M15" s="9">
        <v>833</v>
      </c>
      <c r="N15" s="9">
        <v>839</v>
      </c>
      <c r="O15" s="9">
        <v>859</v>
      </c>
      <c r="P15" s="9">
        <v>931</v>
      </c>
      <c r="Q15" s="9">
        <v>703</v>
      </c>
    </row>
    <row r="16" spans="1:17" x14ac:dyDescent="0.25">
      <c r="A16" t="s">
        <v>15</v>
      </c>
      <c r="B16" s="9">
        <v>291</v>
      </c>
      <c r="C16" s="9">
        <v>354</v>
      </c>
      <c r="D16" s="9">
        <v>419</v>
      </c>
      <c r="E16" s="9">
        <v>347</v>
      </c>
      <c r="F16" s="9">
        <v>450</v>
      </c>
      <c r="G16" s="9">
        <v>452</v>
      </c>
      <c r="H16" s="9">
        <v>422</v>
      </c>
      <c r="I16" s="9">
        <v>410</v>
      </c>
      <c r="J16" s="9">
        <v>505</v>
      </c>
      <c r="K16" s="9">
        <v>538</v>
      </c>
      <c r="L16" s="9">
        <v>556</v>
      </c>
      <c r="M16" s="9">
        <v>496</v>
      </c>
      <c r="N16" s="9">
        <v>585</v>
      </c>
      <c r="O16" s="9">
        <v>425</v>
      </c>
      <c r="P16" s="9">
        <v>640</v>
      </c>
      <c r="Q16" s="9">
        <v>660</v>
      </c>
    </row>
    <row r="17" spans="1:17" x14ac:dyDescent="0.25">
      <c r="A17" t="s">
        <v>16</v>
      </c>
      <c r="B17" s="9">
        <v>199</v>
      </c>
      <c r="C17" s="9">
        <v>251</v>
      </c>
      <c r="D17" s="9">
        <v>322</v>
      </c>
      <c r="E17" s="9">
        <v>417</v>
      </c>
      <c r="F17" s="9">
        <v>395</v>
      </c>
      <c r="G17" s="9">
        <v>395</v>
      </c>
      <c r="H17" s="9">
        <v>263</v>
      </c>
      <c r="I17" s="9">
        <v>310</v>
      </c>
      <c r="J17" s="9">
        <v>503</v>
      </c>
      <c r="K17" s="9">
        <v>580</v>
      </c>
      <c r="L17" s="9">
        <v>771</v>
      </c>
      <c r="M17" s="9">
        <v>623</v>
      </c>
      <c r="N17" s="9">
        <v>697</v>
      </c>
      <c r="O17" s="9">
        <v>735</v>
      </c>
      <c r="P17" s="9">
        <v>651</v>
      </c>
      <c r="Q17" s="9">
        <v>680</v>
      </c>
    </row>
    <row r="18" spans="1:17" x14ac:dyDescent="0.25">
      <c r="A18" t="s">
        <v>17</v>
      </c>
      <c r="B18" s="9">
        <v>224</v>
      </c>
      <c r="C18" s="9">
        <v>247</v>
      </c>
      <c r="D18" s="9">
        <v>420</v>
      </c>
      <c r="E18" s="9">
        <v>397</v>
      </c>
      <c r="F18" s="9">
        <v>376</v>
      </c>
      <c r="G18" s="9">
        <v>292</v>
      </c>
      <c r="H18" s="9">
        <v>411</v>
      </c>
      <c r="I18" s="9">
        <v>461</v>
      </c>
      <c r="J18" s="9">
        <v>487</v>
      </c>
      <c r="K18" s="9">
        <v>694</v>
      </c>
      <c r="L18" s="9">
        <v>717</v>
      </c>
      <c r="M18" s="9">
        <v>797</v>
      </c>
      <c r="N18" s="9">
        <v>754</v>
      </c>
      <c r="O18" s="9">
        <v>768</v>
      </c>
      <c r="P18" s="9">
        <v>778</v>
      </c>
      <c r="Q18" s="9">
        <v>746</v>
      </c>
    </row>
    <row r="19" spans="1:17" x14ac:dyDescent="0.25">
      <c r="A19" t="s">
        <v>18</v>
      </c>
      <c r="B19" s="9">
        <v>4649</v>
      </c>
      <c r="C19" s="9">
        <v>4780</v>
      </c>
      <c r="D19" s="9">
        <v>4825</v>
      </c>
      <c r="E19" s="9">
        <v>3264</v>
      </c>
      <c r="F19" s="9">
        <v>2704</v>
      </c>
      <c r="G19" s="9">
        <v>1768</v>
      </c>
      <c r="H19" s="9">
        <v>1808</v>
      </c>
      <c r="I19" s="9">
        <v>3050</v>
      </c>
      <c r="J19" s="9">
        <v>3146</v>
      </c>
      <c r="K19" s="9">
        <v>3342</v>
      </c>
      <c r="L19" s="9">
        <v>3920</v>
      </c>
      <c r="M19" s="9">
        <v>3385</v>
      </c>
      <c r="N19" s="9">
        <v>3419</v>
      </c>
      <c r="O19" s="9">
        <v>3541</v>
      </c>
      <c r="P19" s="9">
        <v>5176</v>
      </c>
      <c r="Q19" s="9">
        <v>4979</v>
      </c>
    </row>
    <row r="20" spans="1:17" x14ac:dyDescent="0.25">
      <c r="A20" t="s">
        <v>19</v>
      </c>
      <c r="B20" s="9">
        <v>88</v>
      </c>
      <c r="C20" s="9">
        <v>110</v>
      </c>
      <c r="D20" s="9">
        <v>131</v>
      </c>
      <c r="E20" s="9">
        <v>147</v>
      </c>
      <c r="F20" s="9">
        <v>165</v>
      </c>
      <c r="G20" s="9">
        <v>143</v>
      </c>
      <c r="H20" s="9">
        <v>178</v>
      </c>
      <c r="I20" s="9">
        <v>195</v>
      </c>
      <c r="J20" s="9">
        <v>219</v>
      </c>
      <c r="K20" s="9">
        <v>241</v>
      </c>
      <c r="L20" s="9">
        <v>271</v>
      </c>
      <c r="M20" s="9">
        <v>293</v>
      </c>
      <c r="N20" s="9">
        <v>222</v>
      </c>
      <c r="O20" s="9">
        <v>271</v>
      </c>
      <c r="P20" s="9">
        <v>277</v>
      </c>
      <c r="Q20" s="9">
        <v>294</v>
      </c>
    </row>
    <row r="21" spans="1:17" x14ac:dyDescent="0.25">
      <c r="A21" t="s">
        <v>20</v>
      </c>
      <c r="B21" s="9">
        <v>159</v>
      </c>
      <c r="C21" s="9">
        <v>177</v>
      </c>
      <c r="D21" s="9">
        <v>197</v>
      </c>
      <c r="E21" s="9">
        <v>184</v>
      </c>
      <c r="F21" s="9">
        <v>120</v>
      </c>
      <c r="G21" s="9">
        <v>80</v>
      </c>
      <c r="H21" s="9">
        <v>116</v>
      </c>
      <c r="I21" s="9">
        <v>88</v>
      </c>
      <c r="J21" s="9">
        <v>144</v>
      </c>
      <c r="K21" s="9">
        <v>156</v>
      </c>
      <c r="L21" s="9">
        <v>210</v>
      </c>
      <c r="M21" s="9">
        <v>240</v>
      </c>
      <c r="N21" s="9">
        <v>223</v>
      </c>
      <c r="O21" s="9">
        <v>290</v>
      </c>
      <c r="P21" s="9">
        <v>237</v>
      </c>
      <c r="Q21" s="9">
        <v>204</v>
      </c>
    </row>
    <row r="22" spans="1:17" x14ac:dyDescent="0.25">
      <c r="A22" t="s">
        <v>21</v>
      </c>
      <c r="B22" s="9">
        <v>118</v>
      </c>
      <c r="C22" s="9">
        <v>193</v>
      </c>
      <c r="D22" s="9">
        <v>260</v>
      </c>
      <c r="E22" s="9">
        <v>347</v>
      </c>
      <c r="F22" s="9">
        <v>244</v>
      </c>
      <c r="G22" s="9">
        <v>288</v>
      </c>
      <c r="H22" s="9">
        <v>283</v>
      </c>
      <c r="I22" s="9">
        <v>303</v>
      </c>
      <c r="J22" s="9">
        <v>327</v>
      </c>
      <c r="K22" s="9">
        <v>356</v>
      </c>
      <c r="L22" s="9">
        <v>394</v>
      </c>
      <c r="M22" s="9">
        <v>366</v>
      </c>
      <c r="N22" s="9">
        <v>423</v>
      </c>
      <c r="O22" s="9">
        <v>323</v>
      </c>
      <c r="P22" s="9">
        <v>341</v>
      </c>
      <c r="Q22" s="9">
        <v>374</v>
      </c>
    </row>
    <row r="23" spans="1:17" x14ac:dyDescent="0.25">
      <c r="A23" t="s">
        <v>22</v>
      </c>
      <c r="B23" s="9">
        <v>293</v>
      </c>
      <c r="C23" s="9">
        <v>334</v>
      </c>
      <c r="D23" s="9">
        <v>489</v>
      </c>
      <c r="E23" s="9">
        <v>545</v>
      </c>
      <c r="F23" s="9">
        <v>490</v>
      </c>
      <c r="G23" s="9">
        <v>410</v>
      </c>
      <c r="H23" s="9">
        <v>434</v>
      </c>
      <c r="I23" s="9">
        <v>389</v>
      </c>
      <c r="J23" s="9">
        <v>576</v>
      </c>
      <c r="K23" s="9">
        <v>774</v>
      </c>
      <c r="L23" s="9">
        <v>864</v>
      </c>
      <c r="M23" s="9">
        <v>774</v>
      </c>
      <c r="N23" s="9">
        <v>542</v>
      </c>
      <c r="O23" s="9">
        <v>536</v>
      </c>
      <c r="P23" s="9">
        <v>585</v>
      </c>
      <c r="Q23" s="9">
        <v>500</v>
      </c>
    </row>
    <row r="24" spans="1:17" x14ac:dyDescent="0.25">
      <c r="A24" t="s">
        <v>23</v>
      </c>
      <c r="B24" s="9">
        <v>266</v>
      </c>
      <c r="C24" s="9">
        <v>502</v>
      </c>
      <c r="D24" s="9">
        <v>753</v>
      </c>
      <c r="E24" s="9">
        <v>801</v>
      </c>
      <c r="F24" s="9">
        <v>608</v>
      </c>
      <c r="G24" s="9">
        <v>525</v>
      </c>
      <c r="H24" s="9">
        <v>545</v>
      </c>
      <c r="I24" s="9">
        <v>582</v>
      </c>
      <c r="J24" s="9">
        <v>639</v>
      </c>
      <c r="K24" s="9">
        <v>1116</v>
      </c>
      <c r="L24" s="9">
        <v>1207</v>
      </c>
      <c r="M24" s="9">
        <v>1209</v>
      </c>
      <c r="N24" s="9">
        <v>902</v>
      </c>
      <c r="O24" s="9">
        <v>916</v>
      </c>
      <c r="P24" s="9">
        <v>973</v>
      </c>
      <c r="Q24" s="9">
        <v>1164</v>
      </c>
    </row>
    <row r="25" spans="1:17" x14ac:dyDescent="0.25">
      <c r="A25" t="s">
        <v>24</v>
      </c>
      <c r="B25" s="9">
        <v>533</v>
      </c>
      <c r="C25" s="9">
        <v>671</v>
      </c>
      <c r="D25" s="9">
        <v>844</v>
      </c>
      <c r="E25" s="9">
        <v>908</v>
      </c>
      <c r="F25" s="9">
        <v>1031</v>
      </c>
      <c r="G25" s="9">
        <v>1044</v>
      </c>
      <c r="H25" s="9">
        <v>1076</v>
      </c>
      <c r="I25" s="9">
        <v>1149</v>
      </c>
      <c r="J25" s="9">
        <v>1360</v>
      </c>
      <c r="K25" s="9">
        <v>1788</v>
      </c>
      <c r="L25" s="9">
        <v>2323</v>
      </c>
      <c r="M25" s="9">
        <v>2172</v>
      </c>
      <c r="N25" s="9">
        <v>2626</v>
      </c>
      <c r="O25" s="9">
        <v>2641</v>
      </c>
      <c r="P25" s="9">
        <v>2930</v>
      </c>
      <c r="Q25" s="9">
        <v>2666</v>
      </c>
    </row>
    <row r="26" spans="1:17" x14ac:dyDescent="0.25">
      <c r="A26" t="s">
        <v>25</v>
      </c>
      <c r="B26" s="9">
        <v>8</v>
      </c>
      <c r="C26" s="9">
        <v>14</v>
      </c>
      <c r="D26" s="9">
        <v>13</v>
      </c>
      <c r="E26" s="9">
        <v>9</v>
      </c>
      <c r="F26" s="9">
        <v>22</v>
      </c>
      <c r="G26" s="9">
        <v>28</v>
      </c>
      <c r="H26" s="9">
        <v>23</v>
      </c>
      <c r="I26" s="9">
        <v>24</v>
      </c>
      <c r="J26" s="9">
        <v>25</v>
      </c>
      <c r="K26" s="9">
        <v>25</v>
      </c>
      <c r="L26" s="9">
        <v>33</v>
      </c>
      <c r="M26" s="9">
        <v>59</v>
      </c>
      <c r="N26" s="9">
        <v>71</v>
      </c>
      <c r="O26" s="9">
        <v>46</v>
      </c>
      <c r="P26" s="9">
        <v>45</v>
      </c>
      <c r="Q26" s="9">
        <v>36</v>
      </c>
    </row>
    <row r="27" spans="1:17" x14ac:dyDescent="0.25">
      <c r="A27" t="s">
        <v>26</v>
      </c>
      <c r="B27" s="9">
        <v>143</v>
      </c>
      <c r="C27" s="9">
        <v>163</v>
      </c>
      <c r="D27" s="9">
        <v>205</v>
      </c>
      <c r="E27" s="9">
        <v>259</v>
      </c>
      <c r="F27" s="9">
        <v>246</v>
      </c>
      <c r="G27" s="9">
        <v>233</v>
      </c>
      <c r="H27" s="9">
        <v>271</v>
      </c>
      <c r="I27" s="9">
        <v>313</v>
      </c>
      <c r="J27" s="9">
        <v>323</v>
      </c>
      <c r="K27" s="9">
        <v>354</v>
      </c>
      <c r="L27" s="9">
        <v>359</v>
      </c>
      <c r="M27" s="9">
        <v>362</v>
      </c>
      <c r="N27" s="9">
        <v>232</v>
      </c>
      <c r="O27" s="9">
        <v>264</v>
      </c>
      <c r="P27" s="9">
        <v>287</v>
      </c>
      <c r="Q27" s="9">
        <v>283</v>
      </c>
    </row>
    <row r="28" spans="1:17" x14ac:dyDescent="0.25">
      <c r="A28" t="s">
        <v>27</v>
      </c>
      <c r="B28" s="9">
        <v>100</v>
      </c>
      <c r="C28" s="9">
        <v>126</v>
      </c>
      <c r="D28" s="9">
        <v>131</v>
      </c>
      <c r="E28" s="9">
        <v>151</v>
      </c>
      <c r="F28" s="9">
        <v>192</v>
      </c>
      <c r="G28" s="9">
        <v>150</v>
      </c>
      <c r="H28" s="9">
        <v>178</v>
      </c>
      <c r="I28" s="9">
        <v>215</v>
      </c>
      <c r="J28" s="9">
        <v>185</v>
      </c>
      <c r="K28" s="9">
        <v>298</v>
      </c>
      <c r="L28" s="9">
        <v>351</v>
      </c>
      <c r="M28" s="9">
        <v>272</v>
      </c>
      <c r="N28" s="9">
        <v>202</v>
      </c>
      <c r="O28" s="9">
        <v>236</v>
      </c>
      <c r="P28" s="9">
        <v>302</v>
      </c>
      <c r="Q28" s="9">
        <v>273</v>
      </c>
    </row>
    <row r="29" spans="1:17" x14ac:dyDescent="0.25">
      <c r="A29" t="s">
        <v>28</v>
      </c>
      <c r="B29" s="9">
        <v>2273</v>
      </c>
      <c r="C29" s="9">
        <v>2376</v>
      </c>
      <c r="D29" s="9">
        <v>2637</v>
      </c>
      <c r="E29" s="9">
        <v>3212</v>
      </c>
      <c r="F29" s="9">
        <v>2603</v>
      </c>
      <c r="G29" s="9">
        <v>2657</v>
      </c>
      <c r="H29" s="9">
        <v>2706</v>
      </c>
      <c r="I29" s="9">
        <v>2577</v>
      </c>
      <c r="J29" s="9">
        <v>2584</v>
      </c>
      <c r="K29" s="9">
        <v>3262</v>
      </c>
      <c r="L29" s="9">
        <v>3031</v>
      </c>
      <c r="M29" s="9">
        <v>3116</v>
      </c>
      <c r="N29" s="9">
        <v>3536</v>
      </c>
      <c r="O29" s="9">
        <v>3950</v>
      </c>
      <c r="P29" s="9">
        <v>3471</v>
      </c>
      <c r="Q29" s="9">
        <v>3370</v>
      </c>
    </row>
    <row r="30" spans="1:17" x14ac:dyDescent="0.25">
      <c r="A30" t="s">
        <v>29</v>
      </c>
      <c r="B30" s="9">
        <v>72</v>
      </c>
      <c r="C30" s="9">
        <v>42</v>
      </c>
      <c r="D30" s="9">
        <v>69</v>
      </c>
      <c r="E30" s="9">
        <v>81</v>
      </c>
      <c r="F30" s="9">
        <v>126</v>
      </c>
      <c r="G30" s="9">
        <v>135</v>
      </c>
      <c r="H30" s="9">
        <v>122</v>
      </c>
      <c r="I30" s="9">
        <v>98</v>
      </c>
      <c r="J30" s="9">
        <v>107</v>
      </c>
      <c r="K30" s="9">
        <v>271</v>
      </c>
      <c r="L30" s="9">
        <v>297</v>
      </c>
      <c r="M30" s="9">
        <v>235</v>
      </c>
      <c r="N30" s="9">
        <v>244</v>
      </c>
      <c r="O30" s="9">
        <v>187</v>
      </c>
      <c r="P30" s="9">
        <v>257</v>
      </c>
      <c r="Q30" s="9">
        <v>258</v>
      </c>
    </row>
    <row r="31" spans="1:17" x14ac:dyDescent="0.25">
      <c r="A31" t="s">
        <v>30</v>
      </c>
      <c r="B31" s="9">
        <v>49</v>
      </c>
      <c r="C31" s="9">
        <v>63</v>
      </c>
      <c r="D31" s="9">
        <v>78</v>
      </c>
      <c r="E31" s="9">
        <v>59</v>
      </c>
      <c r="F31" s="9">
        <v>72</v>
      </c>
      <c r="G31" s="9">
        <v>87</v>
      </c>
      <c r="H31" s="9">
        <v>104</v>
      </c>
      <c r="I31" s="9">
        <v>85</v>
      </c>
      <c r="J31" s="9">
        <v>111</v>
      </c>
      <c r="K31" s="9">
        <v>125</v>
      </c>
      <c r="L31" s="9">
        <v>126</v>
      </c>
      <c r="M31" s="9">
        <v>71</v>
      </c>
      <c r="N31" s="9">
        <v>96</v>
      </c>
      <c r="O31" s="9">
        <v>90</v>
      </c>
      <c r="P31" s="9">
        <v>101</v>
      </c>
      <c r="Q31" s="9">
        <v>88</v>
      </c>
    </row>
    <row r="32" spans="1:17" x14ac:dyDescent="0.25">
      <c r="A32" t="s">
        <v>31</v>
      </c>
      <c r="B32" s="117"/>
      <c r="C32" s="117"/>
      <c r="D32" s="117"/>
      <c r="E32" s="117"/>
      <c r="F32" s="117"/>
      <c r="G32" s="117"/>
      <c r="H32" s="117"/>
      <c r="I32" s="117"/>
      <c r="J32" s="117"/>
      <c r="K32">
        <v>634</v>
      </c>
      <c r="L32" s="9">
        <v>253</v>
      </c>
      <c r="M32" s="9">
        <v>286</v>
      </c>
      <c r="N32" s="9">
        <v>834</v>
      </c>
      <c r="O32" s="9">
        <v>775</v>
      </c>
      <c r="P32" s="9">
        <v>800</v>
      </c>
      <c r="Q32" s="9">
        <v>809</v>
      </c>
    </row>
    <row r="33" spans="1:17" x14ac:dyDescent="0.25">
      <c r="A33" t="s">
        <v>32</v>
      </c>
      <c r="B33" s="9">
        <v>1940</v>
      </c>
      <c r="C33" s="9">
        <v>2705</v>
      </c>
      <c r="D33" s="9">
        <v>3704</v>
      </c>
      <c r="E33" s="9">
        <v>3938</v>
      </c>
      <c r="F33" s="9">
        <v>3412</v>
      </c>
      <c r="G33" s="9">
        <v>3606</v>
      </c>
      <c r="H33" s="9">
        <v>3692</v>
      </c>
      <c r="I33" s="9">
        <v>4371</v>
      </c>
      <c r="J33" s="9">
        <v>3949</v>
      </c>
      <c r="K33" s="9">
        <v>4759</v>
      </c>
      <c r="L33" s="9">
        <v>4644</v>
      </c>
      <c r="M33" s="9">
        <v>4502</v>
      </c>
      <c r="N33" s="9">
        <v>4728</v>
      </c>
      <c r="O33" s="9">
        <v>4415</v>
      </c>
      <c r="P33" s="9">
        <v>4532</v>
      </c>
      <c r="Q33" s="9">
        <v>5124</v>
      </c>
    </row>
    <row r="34" spans="1:17" x14ac:dyDescent="0.25">
      <c r="A34" t="s">
        <v>33</v>
      </c>
      <c r="B34" s="9">
        <v>648</v>
      </c>
      <c r="C34" s="9">
        <v>669</v>
      </c>
      <c r="D34" s="9">
        <v>725</v>
      </c>
      <c r="E34" s="9">
        <v>382</v>
      </c>
      <c r="F34" s="9">
        <v>476</v>
      </c>
      <c r="G34" s="9">
        <v>500</v>
      </c>
      <c r="H34" s="9">
        <v>504</v>
      </c>
      <c r="I34" s="9">
        <v>511</v>
      </c>
      <c r="J34" s="9">
        <v>595</v>
      </c>
      <c r="K34" s="9">
        <v>624</v>
      </c>
      <c r="L34" s="9">
        <v>575</v>
      </c>
      <c r="M34" s="9">
        <v>603</v>
      </c>
      <c r="N34" s="9">
        <v>484</v>
      </c>
      <c r="O34" s="9">
        <v>328</v>
      </c>
      <c r="P34" s="9">
        <v>319</v>
      </c>
      <c r="Q34" s="9">
        <v>365</v>
      </c>
    </row>
    <row r="35" spans="1:17" x14ac:dyDescent="0.25">
      <c r="A35" t="s">
        <v>34</v>
      </c>
      <c r="B35" s="9">
        <v>515</v>
      </c>
      <c r="C35" s="9">
        <v>638</v>
      </c>
      <c r="D35" s="9">
        <v>762</v>
      </c>
      <c r="E35" s="9">
        <v>820</v>
      </c>
      <c r="F35" s="9">
        <v>723</v>
      </c>
      <c r="G35" s="9">
        <v>667</v>
      </c>
      <c r="H35" s="9">
        <v>629</v>
      </c>
      <c r="I35" s="9">
        <v>885</v>
      </c>
      <c r="J35" s="9">
        <v>810</v>
      </c>
      <c r="K35" s="9">
        <v>1115</v>
      </c>
      <c r="L35" s="9">
        <v>912</v>
      </c>
      <c r="M35" s="9">
        <v>754</v>
      </c>
      <c r="N35" s="9">
        <v>728</v>
      </c>
      <c r="O35" s="9">
        <v>610</v>
      </c>
      <c r="P35" s="9">
        <v>731</v>
      </c>
      <c r="Q35" s="9">
        <v>771</v>
      </c>
    </row>
    <row r="36" spans="1:17" x14ac:dyDescent="0.25">
      <c r="A36" t="s">
        <v>35</v>
      </c>
      <c r="B36" s="9">
        <v>1186</v>
      </c>
      <c r="C36" s="9">
        <v>1388</v>
      </c>
      <c r="D36" s="9">
        <v>1706</v>
      </c>
      <c r="E36" s="9">
        <v>2008</v>
      </c>
      <c r="F36" s="9">
        <v>1805</v>
      </c>
      <c r="G36" s="9">
        <v>1809</v>
      </c>
      <c r="H36" s="9">
        <v>1880</v>
      </c>
      <c r="I36" s="9">
        <v>1984</v>
      </c>
      <c r="J36" s="9">
        <v>2134</v>
      </c>
      <c r="K36" s="9">
        <v>2325</v>
      </c>
      <c r="L36" s="9">
        <v>2409</v>
      </c>
      <c r="M36" s="9">
        <v>2293</v>
      </c>
      <c r="N36" s="9">
        <v>2334</v>
      </c>
      <c r="O36" s="9">
        <v>2347</v>
      </c>
      <c r="P36" s="9">
        <v>2611</v>
      </c>
      <c r="Q36" s="9">
        <v>2644</v>
      </c>
    </row>
    <row r="37" spans="1:17" x14ac:dyDescent="0.25">
      <c r="A37" t="s">
        <v>36</v>
      </c>
      <c r="B37" s="117"/>
      <c r="C37" s="117"/>
      <c r="D37" s="117"/>
      <c r="E37" s="117"/>
      <c r="F37" s="117"/>
      <c r="G37" s="117"/>
      <c r="H37" s="117"/>
      <c r="I37" s="117"/>
      <c r="J37" s="117"/>
      <c r="K37" s="9">
        <v>245</v>
      </c>
      <c r="L37" s="9">
        <v>105</v>
      </c>
      <c r="M37" s="9">
        <v>219</v>
      </c>
      <c r="N37" s="9">
        <v>174</v>
      </c>
      <c r="O37" s="9">
        <v>314</v>
      </c>
      <c r="P37" s="9">
        <v>569</v>
      </c>
      <c r="Q37" s="9">
        <v>642</v>
      </c>
    </row>
    <row r="38" spans="1:17" x14ac:dyDescent="0.25">
      <c r="A38" t="s">
        <v>37</v>
      </c>
      <c r="B38" s="9">
        <v>628</v>
      </c>
      <c r="C38" s="9">
        <v>715</v>
      </c>
      <c r="D38" s="9">
        <v>800</v>
      </c>
      <c r="E38" s="9">
        <v>907</v>
      </c>
      <c r="F38" s="9">
        <v>1066</v>
      </c>
      <c r="G38" s="9">
        <v>1124</v>
      </c>
      <c r="H38" s="9">
        <v>1212</v>
      </c>
      <c r="I38" s="9">
        <v>1436</v>
      </c>
      <c r="J38" s="9">
        <v>1536</v>
      </c>
      <c r="K38" s="9">
        <v>1648</v>
      </c>
      <c r="L38" s="9">
        <v>1810</v>
      </c>
      <c r="M38" s="9">
        <v>1862</v>
      </c>
      <c r="N38" s="9">
        <v>2000</v>
      </c>
      <c r="O38" s="9">
        <v>976</v>
      </c>
      <c r="P38" s="9">
        <v>1019</v>
      </c>
      <c r="Q38" s="9">
        <v>970</v>
      </c>
    </row>
    <row r="39" spans="1:17" x14ac:dyDescent="0.25">
      <c r="A39" t="s">
        <v>38</v>
      </c>
      <c r="G39" s="9">
        <v>158</v>
      </c>
      <c r="H39" s="9">
        <v>82</v>
      </c>
      <c r="I39" s="9">
        <v>89</v>
      </c>
      <c r="J39" s="9">
        <v>251</v>
      </c>
      <c r="K39" s="9">
        <v>260</v>
      </c>
      <c r="L39" s="9">
        <v>262</v>
      </c>
      <c r="M39" s="9">
        <v>272</v>
      </c>
      <c r="N39" s="9">
        <v>309</v>
      </c>
      <c r="O39" s="9">
        <v>236</v>
      </c>
      <c r="P39" s="9">
        <v>280</v>
      </c>
      <c r="Q39" s="9">
        <v>180</v>
      </c>
    </row>
    <row r="40" spans="1:17" x14ac:dyDescent="0.25">
      <c r="A40" t="s">
        <v>42</v>
      </c>
      <c r="B40" s="9">
        <v>229</v>
      </c>
      <c r="C40" s="9">
        <v>229</v>
      </c>
      <c r="D40" s="9">
        <v>237</v>
      </c>
      <c r="E40" s="9">
        <v>247</v>
      </c>
      <c r="F40" s="9">
        <v>256</v>
      </c>
      <c r="G40" s="9">
        <v>264</v>
      </c>
      <c r="H40" s="9">
        <v>273</v>
      </c>
      <c r="I40" s="9">
        <v>282</v>
      </c>
      <c r="J40" s="9">
        <v>291</v>
      </c>
      <c r="K40" s="9">
        <v>328</v>
      </c>
      <c r="L40" s="9">
        <v>375</v>
      </c>
      <c r="M40" s="9">
        <v>412</v>
      </c>
      <c r="N40" s="9">
        <v>427</v>
      </c>
      <c r="O40" s="9">
        <v>436</v>
      </c>
      <c r="P40" s="9">
        <v>474</v>
      </c>
      <c r="Q40" s="9">
        <v>500</v>
      </c>
    </row>
    <row r="41" spans="1:17" x14ac:dyDescent="0.25">
      <c r="A41" t="s">
        <v>39</v>
      </c>
      <c r="B41" s="9">
        <v>62</v>
      </c>
      <c r="C41" s="9">
        <v>81</v>
      </c>
      <c r="D41" s="9">
        <v>93</v>
      </c>
      <c r="E41" s="9">
        <v>96</v>
      </c>
      <c r="F41" s="9">
        <v>90</v>
      </c>
      <c r="G41" s="9">
        <v>70</v>
      </c>
      <c r="H41" s="9">
        <v>82</v>
      </c>
      <c r="I41" s="9">
        <v>88</v>
      </c>
      <c r="J41" s="9">
        <v>113</v>
      </c>
      <c r="K41" s="9">
        <v>174</v>
      </c>
      <c r="L41" s="9">
        <v>184</v>
      </c>
      <c r="M41" s="9">
        <v>165</v>
      </c>
      <c r="N41" s="9">
        <v>202</v>
      </c>
      <c r="O41" s="9">
        <v>175</v>
      </c>
      <c r="P41" s="9">
        <v>212</v>
      </c>
      <c r="Q41" s="9">
        <v>128</v>
      </c>
    </row>
    <row r="42" spans="1:17" x14ac:dyDescent="0.25">
      <c r="A42" t="s">
        <v>43</v>
      </c>
      <c r="B42" s="9">
        <v>119</v>
      </c>
      <c r="C42" s="9">
        <v>158</v>
      </c>
      <c r="D42" s="9">
        <v>176</v>
      </c>
      <c r="E42" s="9">
        <v>197</v>
      </c>
      <c r="F42" s="9">
        <v>198</v>
      </c>
      <c r="G42" s="9">
        <v>198</v>
      </c>
      <c r="H42" s="9">
        <v>200</v>
      </c>
      <c r="I42" s="9">
        <v>206</v>
      </c>
      <c r="J42" s="9">
        <v>210</v>
      </c>
      <c r="K42" s="9">
        <v>171</v>
      </c>
      <c r="L42" s="9">
        <v>174</v>
      </c>
      <c r="M42" s="9">
        <v>178</v>
      </c>
      <c r="N42" s="9">
        <v>192</v>
      </c>
      <c r="O42" s="9">
        <v>210</v>
      </c>
      <c r="P42" s="9">
        <v>229</v>
      </c>
      <c r="Q42" s="9">
        <v>239</v>
      </c>
    </row>
    <row r="43" spans="1:17" x14ac:dyDescent="0.25">
      <c r="A43" t="s">
        <v>40</v>
      </c>
      <c r="B43" s="117"/>
      <c r="C43" s="117"/>
      <c r="D43" s="117"/>
      <c r="E43" s="117"/>
      <c r="F43" s="117"/>
      <c r="G43" s="9">
        <v>115</v>
      </c>
      <c r="H43" s="9">
        <v>76</v>
      </c>
      <c r="I43" s="9">
        <v>316</v>
      </c>
      <c r="J43" s="9">
        <v>366</v>
      </c>
      <c r="K43" s="9">
        <v>1140</v>
      </c>
      <c r="L43" s="9">
        <v>943</v>
      </c>
      <c r="M43" s="9">
        <v>1042</v>
      </c>
      <c r="N43" s="9">
        <v>1069</v>
      </c>
      <c r="O43" s="9">
        <v>600</v>
      </c>
      <c r="P43" s="9">
        <v>637</v>
      </c>
      <c r="Q43" s="9">
        <v>756</v>
      </c>
    </row>
    <row r="44" spans="1:17" x14ac:dyDescent="0.25">
      <c r="A44" t="s">
        <v>41</v>
      </c>
      <c r="B44" s="9">
        <v>701</v>
      </c>
      <c r="C44" s="9">
        <v>796</v>
      </c>
      <c r="D44" s="9">
        <v>946</v>
      </c>
      <c r="E44" s="9">
        <v>1065</v>
      </c>
      <c r="F44" s="9">
        <v>1079</v>
      </c>
      <c r="G44" s="9">
        <v>1101</v>
      </c>
      <c r="H44" s="9">
        <v>1267</v>
      </c>
      <c r="I44" s="9">
        <v>1333</v>
      </c>
      <c r="J44" s="9">
        <v>1375</v>
      </c>
      <c r="K44" s="9">
        <v>1292</v>
      </c>
      <c r="L44" s="9">
        <v>1248</v>
      </c>
      <c r="M44" s="9">
        <v>1101</v>
      </c>
      <c r="N44" s="9">
        <v>882</v>
      </c>
      <c r="O44" s="9">
        <v>925</v>
      </c>
      <c r="P44" s="9">
        <v>1177</v>
      </c>
      <c r="Q44" s="9">
        <v>1222</v>
      </c>
    </row>
    <row r="45" spans="1:17" x14ac:dyDescent="0.25">
      <c r="A45" t="s">
        <v>44</v>
      </c>
      <c r="B45" s="9">
        <v>1608</v>
      </c>
      <c r="C45" s="9">
        <v>1705</v>
      </c>
      <c r="D45" s="9">
        <v>1857</v>
      </c>
      <c r="E45" s="9">
        <v>2352</v>
      </c>
      <c r="F45" s="9">
        <v>2353</v>
      </c>
      <c r="G45" s="9">
        <v>2007</v>
      </c>
      <c r="H45" s="9">
        <v>2109</v>
      </c>
      <c r="I45" s="9">
        <v>2324</v>
      </c>
      <c r="J45" s="9">
        <v>2485</v>
      </c>
      <c r="K45" s="9">
        <v>2652</v>
      </c>
      <c r="L45" s="9">
        <v>2691</v>
      </c>
      <c r="M45" s="9">
        <v>2698</v>
      </c>
      <c r="N45" s="9">
        <v>2461</v>
      </c>
      <c r="O45" s="9">
        <v>2290</v>
      </c>
      <c r="P45" s="9">
        <v>2372</v>
      </c>
      <c r="Q45" s="9">
        <v>2455</v>
      </c>
    </row>
    <row r="46" spans="1:17" x14ac:dyDescent="0.25">
      <c r="A46" t="s">
        <v>45</v>
      </c>
      <c r="B46" s="9">
        <v>182</v>
      </c>
      <c r="C46" s="9">
        <v>229</v>
      </c>
      <c r="D46" s="9">
        <v>284</v>
      </c>
      <c r="E46" s="9">
        <v>299</v>
      </c>
      <c r="F46" s="9">
        <v>300</v>
      </c>
      <c r="G46" s="9">
        <v>304</v>
      </c>
      <c r="H46" s="9">
        <v>315</v>
      </c>
      <c r="I46" s="9">
        <v>351</v>
      </c>
      <c r="J46" s="9">
        <v>370</v>
      </c>
      <c r="K46" s="9">
        <v>416</v>
      </c>
      <c r="L46" s="9">
        <v>440</v>
      </c>
      <c r="M46" s="9">
        <v>466</v>
      </c>
      <c r="N46" s="9">
        <v>470</v>
      </c>
      <c r="O46" s="9">
        <v>337</v>
      </c>
      <c r="P46" s="9">
        <v>398</v>
      </c>
      <c r="Q46" s="9">
        <v>370</v>
      </c>
    </row>
    <row r="47" spans="1:17" x14ac:dyDescent="0.25">
      <c r="A47" t="s">
        <v>46</v>
      </c>
      <c r="B47" s="9">
        <v>181</v>
      </c>
      <c r="C47" s="9">
        <v>213</v>
      </c>
      <c r="D47" s="9">
        <v>243</v>
      </c>
      <c r="E47" s="9">
        <v>284</v>
      </c>
      <c r="F47" s="9">
        <v>277</v>
      </c>
      <c r="G47" s="9">
        <v>289</v>
      </c>
      <c r="H47" s="9">
        <v>298</v>
      </c>
      <c r="I47" s="9">
        <v>266</v>
      </c>
      <c r="J47" s="9">
        <v>305</v>
      </c>
      <c r="K47" s="9">
        <v>321</v>
      </c>
      <c r="L47" s="9">
        <v>325</v>
      </c>
      <c r="M47" s="9">
        <v>329</v>
      </c>
      <c r="N47" s="9">
        <v>330</v>
      </c>
      <c r="O47" s="9">
        <v>334</v>
      </c>
      <c r="P47" s="9">
        <v>348</v>
      </c>
      <c r="Q47" s="9">
        <v>325</v>
      </c>
    </row>
    <row r="48" spans="1:17" x14ac:dyDescent="0.25">
      <c r="A48" t="s">
        <v>47</v>
      </c>
      <c r="B48" s="9">
        <v>1642</v>
      </c>
      <c r="C48" s="9">
        <v>1778</v>
      </c>
      <c r="D48" s="9">
        <v>2041</v>
      </c>
      <c r="E48" s="9">
        <v>2223</v>
      </c>
      <c r="F48" s="9">
        <v>2010</v>
      </c>
      <c r="G48" s="9">
        <v>2027</v>
      </c>
      <c r="H48" s="9">
        <v>2396</v>
      </c>
      <c r="I48" s="9">
        <v>2400</v>
      </c>
      <c r="J48" s="9">
        <v>2400</v>
      </c>
      <c r="K48" s="9">
        <v>2405</v>
      </c>
      <c r="L48" s="9">
        <v>2406</v>
      </c>
      <c r="M48" s="9">
        <v>2407</v>
      </c>
      <c r="N48" s="9">
        <v>2408</v>
      </c>
      <c r="O48" s="9">
        <v>2410</v>
      </c>
      <c r="P48" s="9">
        <v>2676</v>
      </c>
      <c r="Q48" s="9">
        <v>2680</v>
      </c>
    </row>
    <row r="49" spans="1:17" x14ac:dyDescent="0.25">
      <c r="A49" t="s">
        <v>48</v>
      </c>
      <c r="B49" s="9">
        <v>372</v>
      </c>
      <c r="C49" s="9">
        <v>424</v>
      </c>
      <c r="D49" s="9">
        <v>483</v>
      </c>
      <c r="E49" s="9">
        <v>486</v>
      </c>
      <c r="F49" s="9">
        <v>465</v>
      </c>
      <c r="G49" s="9">
        <v>482</v>
      </c>
      <c r="H49" s="9">
        <v>505</v>
      </c>
      <c r="I49" s="9">
        <v>516</v>
      </c>
      <c r="J49" s="9">
        <v>533</v>
      </c>
      <c r="K49" s="9">
        <v>633</v>
      </c>
      <c r="L49" s="9">
        <v>649</v>
      </c>
      <c r="M49" s="9">
        <v>650</v>
      </c>
      <c r="N49" s="9">
        <v>659</v>
      </c>
      <c r="O49" s="9">
        <v>717</v>
      </c>
      <c r="P49" s="9">
        <v>760</v>
      </c>
      <c r="Q49" s="9">
        <v>803</v>
      </c>
    </row>
    <row r="50" spans="1:17" x14ac:dyDescent="0.25">
      <c r="A50" t="s">
        <v>49</v>
      </c>
      <c r="B50" s="9">
        <v>733</v>
      </c>
      <c r="C50" s="9">
        <v>855</v>
      </c>
      <c r="D50" s="9">
        <v>1005</v>
      </c>
      <c r="E50" s="9">
        <v>978</v>
      </c>
      <c r="F50" s="9">
        <v>852</v>
      </c>
      <c r="G50" s="9">
        <v>875</v>
      </c>
      <c r="H50" s="9">
        <v>886</v>
      </c>
      <c r="I50" s="9">
        <v>819</v>
      </c>
      <c r="J50" s="9">
        <v>837</v>
      </c>
      <c r="K50" s="9">
        <v>862</v>
      </c>
      <c r="L50" s="9">
        <v>833</v>
      </c>
      <c r="M50" s="9">
        <v>630</v>
      </c>
      <c r="N50" s="9">
        <v>605</v>
      </c>
      <c r="O50" s="9">
        <v>598</v>
      </c>
      <c r="P50" s="9">
        <v>656</v>
      </c>
      <c r="Q50" s="9">
        <v>578</v>
      </c>
    </row>
    <row r="51" spans="1:17" x14ac:dyDescent="0.25">
      <c r="A51" t="s">
        <v>50</v>
      </c>
      <c r="B51" s="9">
        <v>638</v>
      </c>
      <c r="C51" s="9">
        <v>718</v>
      </c>
      <c r="D51" s="9">
        <v>884</v>
      </c>
      <c r="E51" s="9">
        <v>833</v>
      </c>
      <c r="F51" s="9">
        <v>695</v>
      </c>
      <c r="G51" s="9">
        <v>761</v>
      </c>
      <c r="H51" s="9">
        <v>749</v>
      </c>
      <c r="I51" s="9">
        <v>826</v>
      </c>
      <c r="J51" s="9">
        <v>1004</v>
      </c>
      <c r="K51" s="9">
        <v>1113</v>
      </c>
      <c r="L51" s="9">
        <v>1154</v>
      </c>
      <c r="M51" s="9">
        <v>1060</v>
      </c>
      <c r="N51" s="9">
        <v>1101</v>
      </c>
      <c r="O51" s="9">
        <v>1081</v>
      </c>
      <c r="P51" s="9">
        <v>1173</v>
      </c>
      <c r="Q51" s="9">
        <v>1215</v>
      </c>
    </row>
    <row r="52" spans="1:17" x14ac:dyDescent="0.25">
      <c r="A52" t="s">
        <v>51</v>
      </c>
      <c r="B52" s="9">
        <v>257</v>
      </c>
      <c r="C52" s="9">
        <v>309</v>
      </c>
      <c r="D52" s="9">
        <v>376</v>
      </c>
      <c r="E52" s="9">
        <v>426</v>
      </c>
      <c r="F52" s="9">
        <v>336</v>
      </c>
      <c r="G52" s="9">
        <v>378</v>
      </c>
      <c r="H52" s="9">
        <v>405</v>
      </c>
      <c r="I52" s="9">
        <v>409</v>
      </c>
      <c r="J52" s="9">
        <v>487</v>
      </c>
      <c r="K52" s="9">
        <v>685</v>
      </c>
      <c r="L52" s="9">
        <v>727</v>
      </c>
      <c r="M52" s="9">
        <v>662</v>
      </c>
      <c r="N52" s="9">
        <v>546</v>
      </c>
      <c r="O52" s="9">
        <v>553</v>
      </c>
      <c r="P52" s="9">
        <v>504</v>
      </c>
      <c r="Q52" s="9">
        <v>460</v>
      </c>
    </row>
    <row r="53" spans="1:17" x14ac:dyDescent="0.25">
      <c r="A53" t="s">
        <v>52</v>
      </c>
      <c r="B53" s="9">
        <v>748</v>
      </c>
      <c r="C53" s="9">
        <v>827</v>
      </c>
      <c r="D53" s="9">
        <v>1072</v>
      </c>
      <c r="E53" s="9">
        <v>1354</v>
      </c>
      <c r="F53" s="9">
        <v>1404</v>
      </c>
      <c r="G53" s="9">
        <v>1453</v>
      </c>
      <c r="H53" s="9">
        <v>1470</v>
      </c>
      <c r="I53" s="9">
        <v>1501</v>
      </c>
      <c r="J53" s="9">
        <v>1530</v>
      </c>
      <c r="K53" s="9">
        <v>1588</v>
      </c>
      <c r="L53" s="9">
        <v>1259</v>
      </c>
      <c r="M53" s="9">
        <v>1274</v>
      </c>
      <c r="N53" s="9">
        <v>1308</v>
      </c>
      <c r="O53" s="9">
        <v>1351</v>
      </c>
      <c r="P53" s="9">
        <v>1410</v>
      </c>
      <c r="Q53" s="9">
        <v>1477</v>
      </c>
    </row>
    <row r="54" spans="1:17" x14ac:dyDescent="0.25">
      <c r="A54" t="s">
        <v>53</v>
      </c>
      <c r="B54" s="9">
        <v>581</v>
      </c>
      <c r="C54" s="9">
        <v>653</v>
      </c>
      <c r="D54" s="9">
        <v>752</v>
      </c>
      <c r="E54" s="9">
        <v>776</v>
      </c>
      <c r="F54" s="9">
        <v>740</v>
      </c>
      <c r="G54" s="9">
        <v>587</v>
      </c>
      <c r="H54" s="9">
        <v>743</v>
      </c>
      <c r="I54" s="9">
        <v>704</v>
      </c>
      <c r="J54" s="9">
        <v>791</v>
      </c>
      <c r="K54" s="9">
        <v>1152</v>
      </c>
      <c r="L54" s="9">
        <v>1190</v>
      </c>
      <c r="M54" s="9">
        <v>966</v>
      </c>
      <c r="N54" s="9">
        <v>892</v>
      </c>
      <c r="O54" s="9">
        <v>912</v>
      </c>
      <c r="P54" s="9">
        <v>994</v>
      </c>
      <c r="Q54" s="9">
        <v>967</v>
      </c>
    </row>
    <row r="55" spans="1:17" x14ac:dyDescent="0.25">
      <c r="A55" t="s">
        <v>54</v>
      </c>
      <c r="B55" s="9">
        <v>316</v>
      </c>
      <c r="C55" s="9">
        <v>403</v>
      </c>
      <c r="D55" s="9">
        <v>554</v>
      </c>
      <c r="E55" s="9">
        <v>605</v>
      </c>
      <c r="F55" s="9">
        <v>610</v>
      </c>
      <c r="G55" s="9">
        <v>625</v>
      </c>
      <c r="H55" s="9">
        <v>671</v>
      </c>
      <c r="I55" s="9">
        <v>739</v>
      </c>
      <c r="J55" s="9">
        <v>831</v>
      </c>
      <c r="K55" s="9">
        <v>903</v>
      </c>
      <c r="L55" s="9">
        <v>931</v>
      </c>
      <c r="M55" s="9">
        <v>886</v>
      </c>
      <c r="N55" s="9">
        <v>887</v>
      </c>
      <c r="O55" s="9">
        <v>663</v>
      </c>
      <c r="P55" s="9">
        <v>837</v>
      </c>
      <c r="Q55" s="9">
        <v>852</v>
      </c>
    </row>
    <row r="56" spans="1:17" x14ac:dyDescent="0.25">
      <c r="A56" t="s">
        <v>55</v>
      </c>
      <c r="B56" s="9">
        <v>910</v>
      </c>
      <c r="C56" s="9">
        <v>754</v>
      </c>
      <c r="D56" s="9">
        <v>1287</v>
      </c>
      <c r="E56" s="9">
        <v>1328</v>
      </c>
      <c r="F56" s="9">
        <v>1025</v>
      </c>
      <c r="G56" s="9">
        <v>1041</v>
      </c>
      <c r="H56" s="9">
        <v>1331</v>
      </c>
      <c r="I56" s="9">
        <v>1484</v>
      </c>
      <c r="J56" s="9">
        <v>1739</v>
      </c>
      <c r="K56" s="9">
        <v>1888</v>
      </c>
      <c r="L56" s="9">
        <v>2212</v>
      </c>
      <c r="M56" s="9">
        <v>1875</v>
      </c>
      <c r="N56" s="9">
        <v>1788</v>
      </c>
      <c r="O56" s="9">
        <v>1782</v>
      </c>
      <c r="P56" s="9">
        <v>1841</v>
      </c>
      <c r="Q56" s="9">
        <v>1401</v>
      </c>
    </row>
    <row r="57" spans="1:17" x14ac:dyDescent="0.25">
      <c r="A57" t="s">
        <v>56</v>
      </c>
      <c r="B57" s="9">
        <v>682</v>
      </c>
      <c r="C57" s="9">
        <v>810</v>
      </c>
      <c r="D57" s="9">
        <v>1022</v>
      </c>
      <c r="E57" s="9">
        <v>1113</v>
      </c>
      <c r="F57" s="9">
        <v>1130</v>
      </c>
      <c r="G57" s="9">
        <v>1144</v>
      </c>
      <c r="H57" s="9">
        <v>1170</v>
      </c>
      <c r="I57" s="9">
        <v>1236</v>
      </c>
      <c r="J57" s="9">
        <v>1314</v>
      </c>
      <c r="K57" s="9">
        <v>1521</v>
      </c>
      <c r="L57" s="9">
        <v>1140</v>
      </c>
      <c r="M57" s="9">
        <v>1294</v>
      </c>
      <c r="N57" s="9">
        <v>1210</v>
      </c>
      <c r="O57" s="9">
        <v>1216</v>
      </c>
      <c r="P57" s="9">
        <v>1202</v>
      </c>
      <c r="Q57" s="9">
        <v>1159</v>
      </c>
    </row>
    <row r="58" spans="1:17" x14ac:dyDescent="0.25">
      <c r="A58" t="s">
        <v>57</v>
      </c>
      <c r="B58" s="9">
        <v>293</v>
      </c>
      <c r="C58" s="9">
        <v>340</v>
      </c>
      <c r="D58" s="9">
        <v>429</v>
      </c>
      <c r="E58" s="9">
        <v>509</v>
      </c>
      <c r="F58" s="9">
        <v>531</v>
      </c>
      <c r="G58" s="9">
        <v>467</v>
      </c>
      <c r="H58" s="9">
        <v>554</v>
      </c>
      <c r="I58" s="9">
        <v>607</v>
      </c>
      <c r="J58" s="9">
        <v>634</v>
      </c>
      <c r="K58" s="9">
        <v>719</v>
      </c>
      <c r="L58" s="9">
        <v>935</v>
      </c>
      <c r="M58" s="9">
        <v>967</v>
      </c>
      <c r="N58" s="9">
        <v>977</v>
      </c>
      <c r="O58" s="9">
        <v>981</v>
      </c>
      <c r="P58" s="9">
        <v>1019</v>
      </c>
      <c r="Q58" s="9">
        <v>1034</v>
      </c>
    </row>
    <row r="59" spans="1:17" x14ac:dyDescent="0.25">
      <c r="A59" t="s">
        <v>58</v>
      </c>
      <c r="B59" s="9">
        <v>124</v>
      </c>
      <c r="C59" s="9">
        <v>149</v>
      </c>
      <c r="D59" s="9">
        <v>195</v>
      </c>
      <c r="E59" s="9">
        <v>281</v>
      </c>
      <c r="F59" s="9">
        <v>289</v>
      </c>
      <c r="G59" s="9">
        <v>160</v>
      </c>
      <c r="H59" s="9">
        <v>183</v>
      </c>
      <c r="I59" s="9">
        <v>250</v>
      </c>
      <c r="J59" s="9">
        <v>280</v>
      </c>
      <c r="K59" s="9">
        <v>389</v>
      </c>
      <c r="L59" s="9">
        <v>293</v>
      </c>
      <c r="M59" s="9">
        <v>296</v>
      </c>
      <c r="N59" s="9">
        <v>272</v>
      </c>
      <c r="O59" s="9">
        <v>232</v>
      </c>
      <c r="P59" s="9">
        <v>251</v>
      </c>
      <c r="Q59" s="9">
        <v>267</v>
      </c>
    </row>
    <row r="60" spans="1:17" x14ac:dyDescent="0.25">
      <c r="A60" t="s">
        <v>59</v>
      </c>
      <c r="B60" s="9">
        <v>1105</v>
      </c>
      <c r="C60" s="9">
        <v>1284</v>
      </c>
      <c r="D60" s="9">
        <v>1659</v>
      </c>
      <c r="E60" s="9">
        <v>1702</v>
      </c>
      <c r="F60" s="9">
        <v>1591</v>
      </c>
      <c r="G60" s="9">
        <v>1770</v>
      </c>
      <c r="H60" s="9">
        <v>1822</v>
      </c>
      <c r="I60" s="9">
        <v>1869</v>
      </c>
      <c r="J60" s="9">
        <v>1755</v>
      </c>
      <c r="K60" s="9">
        <v>2424</v>
      </c>
      <c r="L60" s="9">
        <v>2478</v>
      </c>
      <c r="M60" s="9">
        <v>2107</v>
      </c>
      <c r="N60" s="9">
        <v>2144</v>
      </c>
      <c r="O60" s="9">
        <v>2088</v>
      </c>
      <c r="P60" s="9">
        <v>2415</v>
      </c>
      <c r="Q60" s="9">
        <v>2372</v>
      </c>
    </row>
    <row r="61" spans="1:17" x14ac:dyDescent="0.25">
      <c r="A61" t="s">
        <v>60</v>
      </c>
      <c r="B61" s="9">
        <v>1322</v>
      </c>
      <c r="C61" s="9">
        <v>1711</v>
      </c>
      <c r="D61" s="9">
        <v>2066</v>
      </c>
      <c r="E61" s="9">
        <v>2220</v>
      </c>
      <c r="F61" s="9">
        <v>2006</v>
      </c>
      <c r="G61" s="9">
        <v>1816</v>
      </c>
      <c r="H61" s="9">
        <v>2148</v>
      </c>
      <c r="I61" s="9">
        <v>2565</v>
      </c>
      <c r="J61" s="9">
        <v>2753</v>
      </c>
      <c r="K61" s="9">
        <v>3161</v>
      </c>
      <c r="L61" s="9">
        <v>3396</v>
      </c>
      <c r="M61" s="9">
        <v>2662</v>
      </c>
      <c r="N61" s="9">
        <v>2469</v>
      </c>
      <c r="O61" s="9">
        <v>2120</v>
      </c>
      <c r="P61" s="9">
        <v>2558</v>
      </c>
      <c r="Q61" s="9">
        <v>2742</v>
      </c>
    </row>
    <row r="62" spans="1:17" x14ac:dyDescent="0.25">
      <c r="A62" t="s">
        <v>61</v>
      </c>
      <c r="B62" s="9">
        <v>1019</v>
      </c>
      <c r="C62" s="9">
        <v>1235</v>
      </c>
      <c r="D62" s="9">
        <v>1673</v>
      </c>
      <c r="E62" s="9">
        <v>2024</v>
      </c>
      <c r="F62" s="9">
        <v>1431</v>
      </c>
      <c r="G62" s="9">
        <v>1073</v>
      </c>
      <c r="H62" s="9">
        <v>1314</v>
      </c>
      <c r="I62" s="9">
        <v>1677</v>
      </c>
      <c r="J62" s="9">
        <v>1788</v>
      </c>
      <c r="K62" s="9">
        <v>2002</v>
      </c>
      <c r="L62" s="9">
        <v>1782</v>
      </c>
      <c r="M62" s="9">
        <v>1316</v>
      </c>
      <c r="N62" s="9">
        <v>1417</v>
      </c>
      <c r="O62" s="9">
        <v>1524</v>
      </c>
      <c r="P62" s="9">
        <v>1507</v>
      </c>
      <c r="Q62" s="9">
        <v>1572</v>
      </c>
    </row>
    <row r="63" spans="1:17" x14ac:dyDescent="0.25">
      <c r="A63" t="s">
        <v>62</v>
      </c>
      <c r="B63" s="9">
        <v>34</v>
      </c>
      <c r="C63" s="9">
        <v>47</v>
      </c>
      <c r="D63" s="9">
        <v>52</v>
      </c>
      <c r="E63" s="9">
        <v>58</v>
      </c>
      <c r="F63" s="9">
        <v>61</v>
      </c>
      <c r="G63" s="9">
        <v>68</v>
      </c>
      <c r="H63" s="9">
        <v>77</v>
      </c>
      <c r="I63" s="9">
        <v>81</v>
      </c>
      <c r="J63" s="9">
        <v>90</v>
      </c>
      <c r="K63" s="9">
        <v>100</v>
      </c>
      <c r="L63" s="9">
        <v>114</v>
      </c>
      <c r="M63" s="9">
        <v>125</v>
      </c>
      <c r="N63" s="9">
        <v>131</v>
      </c>
      <c r="O63" s="9">
        <v>108</v>
      </c>
      <c r="P63" s="9">
        <v>99</v>
      </c>
      <c r="Q63" s="9">
        <v>89</v>
      </c>
    </row>
    <row r="64" spans="1:17" x14ac:dyDescent="0.25">
      <c r="A64" t="s">
        <v>63</v>
      </c>
      <c r="B64" s="9">
        <v>201</v>
      </c>
      <c r="C64" s="9">
        <v>217</v>
      </c>
      <c r="D64" s="9">
        <v>271</v>
      </c>
      <c r="E64" s="9">
        <v>307</v>
      </c>
      <c r="F64" s="9">
        <v>248</v>
      </c>
      <c r="G64" s="9">
        <v>272</v>
      </c>
      <c r="H64" s="9">
        <v>304</v>
      </c>
      <c r="I64" s="9">
        <v>339</v>
      </c>
      <c r="J64" s="9">
        <v>380</v>
      </c>
      <c r="K64" s="9">
        <v>409</v>
      </c>
      <c r="L64" s="9">
        <v>415</v>
      </c>
      <c r="M64" s="9">
        <v>336</v>
      </c>
      <c r="N64" s="9">
        <v>269</v>
      </c>
      <c r="O64" s="9">
        <v>248</v>
      </c>
      <c r="P64" s="9">
        <v>268</v>
      </c>
      <c r="Q64" s="9">
        <v>276</v>
      </c>
    </row>
    <row r="65" spans="1:17" x14ac:dyDescent="0.25">
      <c r="A65" t="s">
        <v>64</v>
      </c>
      <c r="B65" s="9">
        <v>17</v>
      </c>
      <c r="C65" s="9">
        <v>24</v>
      </c>
      <c r="D65" s="9">
        <v>33</v>
      </c>
      <c r="E65" s="9">
        <v>45</v>
      </c>
      <c r="F65" s="9">
        <v>50</v>
      </c>
      <c r="G65" s="9">
        <v>50</v>
      </c>
      <c r="H65" s="9">
        <v>52</v>
      </c>
      <c r="I65" s="9">
        <v>56</v>
      </c>
      <c r="J65" s="9">
        <v>79</v>
      </c>
      <c r="K65" s="9">
        <v>93</v>
      </c>
      <c r="L65" s="9">
        <v>109</v>
      </c>
      <c r="M65" s="9">
        <v>108</v>
      </c>
      <c r="N65" s="9">
        <v>101</v>
      </c>
      <c r="O65" s="9">
        <v>93</v>
      </c>
      <c r="P65" s="9">
        <v>112</v>
      </c>
      <c r="Q65" s="9">
        <v>111</v>
      </c>
    </row>
    <row r="66" spans="1:17" x14ac:dyDescent="0.25">
      <c r="A66" t="s">
        <v>65</v>
      </c>
      <c r="B66" s="9">
        <v>121</v>
      </c>
      <c r="C66" s="9">
        <v>138</v>
      </c>
      <c r="D66" s="9">
        <v>163</v>
      </c>
      <c r="E66" s="9">
        <v>193</v>
      </c>
      <c r="F66" s="9">
        <v>185</v>
      </c>
      <c r="G66" s="9">
        <v>141</v>
      </c>
      <c r="H66" s="9">
        <v>156</v>
      </c>
      <c r="I66" s="9">
        <v>174</v>
      </c>
      <c r="J66" s="9">
        <v>203</v>
      </c>
      <c r="K66" s="9">
        <v>262</v>
      </c>
      <c r="L66" s="9">
        <v>301</v>
      </c>
      <c r="M66" s="9">
        <v>192</v>
      </c>
      <c r="N66" s="9">
        <v>236</v>
      </c>
      <c r="O66" s="9">
        <v>188</v>
      </c>
      <c r="P66" s="9">
        <v>248</v>
      </c>
      <c r="Q66" s="9">
        <v>288</v>
      </c>
    </row>
    <row r="67" spans="1:17" x14ac:dyDescent="0.25">
      <c r="A67" t="s">
        <v>66</v>
      </c>
      <c r="B67" s="9">
        <v>398</v>
      </c>
      <c r="C67" s="9">
        <v>441</v>
      </c>
      <c r="D67" s="9">
        <v>598</v>
      </c>
      <c r="E67" s="9">
        <v>632</v>
      </c>
      <c r="F67" s="9">
        <v>654</v>
      </c>
      <c r="G67" s="9">
        <v>660</v>
      </c>
      <c r="H67" s="9">
        <v>636</v>
      </c>
      <c r="I67" s="9">
        <v>646</v>
      </c>
      <c r="J67" s="9">
        <v>665</v>
      </c>
      <c r="K67" s="9">
        <v>755</v>
      </c>
      <c r="L67" s="9">
        <v>890</v>
      </c>
      <c r="M67" s="9">
        <v>754</v>
      </c>
      <c r="N67" s="9">
        <v>630</v>
      </c>
      <c r="O67" s="9">
        <v>786</v>
      </c>
      <c r="P67" s="9">
        <v>758</v>
      </c>
      <c r="Q67" s="9">
        <v>826</v>
      </c>
    </row>
    <row r="68" spans="1:17" x14ac:dyDescent="0.25">
      <c r="A68" t="s">
        <v>73</v>
      </c>
      <c r="B68" s="9">
        <v>131</v>
      </c>
      <c r="C68" s="9">
        <v>179</v>
      </c>
      <c r="D68" s="9">
        <v>233</v>
      </c>
      <c r="E68" s="9">
        <v>259</v>
      </c>
      <c r="F68" s="9">
        <v>269</v>
      </c>
      <c r="G68" s="9">
        <v>275</v>
      </c>
      <c r="H68" s="9">
        <v>277</v>
      </c>
      <c r="I68" s="9">
        <v>303</v>
      </c>
      <c r="J68" s="9">
        <v>295</v>
      </c>
      <c r="K68" s="9">
        <v>353</v>
      </c>
      <c r="L68" s="9">
        <v>235</v>
      </c>
      <c r="M68" s="9">
        <v>292</v>
      </c>
      <c r="N68" s="9">
        <v>271</v>
      </c>
      <c r="O68" s="9">
        <v>187</v>
      </c>
      <c r="P68" s="9">
        <v>217</v>
      </c>
      <c r="Q68" s="9">
        <v>180</v>
      </c>
    </row>
    <row r="69" spans="1:17" x14ac:dyDescent="0.25">
      <c r="A69" t="s">
        <v>67</v>
      </c>
      <c r="B69" s="9">
        <v>780</v>
      </c>
      <c r="C69" s="9">
        <v>899</v>
      </c>
      <c r="D69" s="9">
        <v>1159</v>
      </c>
      <c r="E69" s="9">
        <v>1102</v>
      </c>
      <c r="F69" s="9">
        <v>861</v>
      </c>
      <c r="G69" s="9">
        <v>988</v>
      </c>
      <c r="H69" s="9">
        <v>1047</v>
      </c>
      <c r="I69" s="9">
        <v>1077</v>
      </c>
      <c r="J69" s="9">
        <v>1134</v>
      </c>
      <c r="K69" s="9">
        <v>1201</v>
      </c>
      <c r="L69" s="9">
        <v>1311</v>
      </c>
      <c r="M69" s="9">
        <v>1374</v>
      </c>
      <c r="N69" s="9">
        <v>1057</v>
      </c>
      <c r="O69" s="9">
        <v>1149</v>
      </c>
      <c r="P69" s="9">
        <v>1696</v>
      </c>
      <c r="Q69" s="9">
        <v>1307</v>
      </c>
    </row>
    <row r="70" spans="1:17" x14ac:dyDescent="0.25">
      <c r="A70" t="s">
        <v>68</v>
      </c>
      <c r="B70" s="9">
        <v>303</v>
      </c>
      <c r="C70" s="9">
        <v>331</v>
      </c>
      <c r="D70" s="9">
        <v>575</v>
      </c>
      <c r="E70" s="9">
        <v>585</v>
      </c>
      <c r="F70" s="9">
        <v>602</v>
      </c>
      <c r="G70" s="9">
        <v>628</v>
      </c>
      <c r="H70" s="9">
        <v>755</v>
      </c>
      <c r="I70" s="9">
        <v>871</v>
      </c>
      <c r="J70" s="9">
        <v>973</v>
      </c>
      <c r="K70" s="9">
        <v>836</v>
      </c>
      <c r="L70" s="9">
        <v>923</v>
      </c>
      <c r="M70" s="9">
        <v>913</v>
      </c>
      <c r="N70" s="9">
        <v>974</v>
      </c>
      <c r="O70" s="9">
        <v>988</v>
      </c>
      <c r="P70" s="9">
        <v>1024</v>
      </c>
      <c r="Q70" s="9">
        <v>1106</v>
      </c>
    </row>
    <row r="71" spans="1:17" x14ac:dyDescent="0.25">
      <c r="A71" t="s">
        <v>69</v>
      </c>
      <c r="B71" s="9">
        <v>641</v>
      </c>
      <c r="C71" s="9">
        <v>804</v>
      </c>
      <c r="D71" s="9">
        <v>1010</v>
      </c>
      <c r="E71" s="9">
        <v>1063</v>
      </c>
      <c r="F71" s="9">
        <v>1063</v>
      </c>
      <c r="G71" s="9">
        <v>1003</v>
      </c>
      <c r="H71" s="9">
        <v>1083</v>
      </c>
      <c r="I71" s="9">
        <v>1086</v>
      </c>
      <c r="J71" s="9">
        <v>1091</v>
      </c>
      <c r="K71" s="9">
        <v>1098</v>
      </c>
      <c r="L71" s="9">
        <v>1002</v>
      </c>
      <c r="M71" s="9">
        <v>1089</v>
      </c>
      <c r="N71" s="9">
        <v>1000</v>
      </c>
      <c r="O71" s="9">
        <v>640</v>
      </c>
      <c r="P71" s="9">
        <v>766</v>
      </c>
      <c r="Q71" s="9">
        <v>825</v>
      </c>
    </row>
    <row r="72" spans="1:17" x14ac:dyDescent="0.25">
      <c r="A72" t="s">
        <v>70</v>
      </c>
      <c r="B72" s="9">
        <v>704</v>
      </c>
      <c r="C72" s="9">
        <v>1073</v>
      </c>
      <c r="D72" s="9">
        <v>1275</v>
      </c>
      <c r="E72" s="9">
        <v>1392</v>
      </c>
      <c r="F72" s="9">
        <v>1216</v>
      </c>
      <c r="G72" s="9">
        <v>1380</v>
      </c>
      <c r="H72" s="9">
        <v>1505</v>
      </c>
      <c r="I72" s="9">
        <v>1571</v>
      </c>
      <c r="J72" s="9">
        <v>1723</v>
      </c>
      <c r="K72" s="9">
        <v>2302</v>
      </c>
      <c r="L72" s="9">
        <v>2588</v>
      </c>
      <c r="M72" s="9">
        <v>2216</v>
      </c>
      <c r="N72" s="9">
        <v>1729</v>
      </c>
      <c r="O72" s="9">
        <v>1738</v>
      </c>
      <c r="P72" s="9">
        <v>1759</v>
      </c>
      <c r="Q72" s="9">
        <v>1944</v>
      </c>
    </row>
    <row r="73" spans="1:17" x14ac:dyDescent="0.25">
      <c r="A73" t="s">
        <v>71</v>
      </c>
      <c r="B73" s="9">
        <v>756</v>
      </c>
      <c r="C73" s="9">
        <v>906</v>
      </c>
      <c r="D73" s="9">
        <v>1104</v>
      </c>
      <c r="E73" s="9">
        <v>1016</v>
      </c>
      <c r="F73" s="9">
        <v>605</v>
      </c>
      <c r="G73" s="9">
        <v>707</v>
      </c>
      <c r="H73" s="9">
        <v>837</v>
      </c>
      <c r="I73" s="9">
        <v>739</v>
      </c>
      <c r="J73" s="9">
        <v>827</v>
      </c>
      <c r="K73" s="9">
        <v>848</v>
      </c>
      <c r="L73" s="9">
        <v>785</v>
      </c>
      <c r="M73" s="9">
        <v>772</v>
      </c>
      <c r="N73" s="9">
        <v>458</v>
      </c>
      <c r="O73" s="9">
        <v>522</v>
      </c>
      <c r="P73" s="9">
        <v>538</v>
      </c>
      <c r="Q73" s="9">
        <v>541</v>
      </c>
    </row>
    <row r="74" spans="1:17" x14ac:dyDescent="0.25">
      <c r="A74" t="s">
        <v>72</v>
      </c>
      <c r="B74" s="9">
        <v>321</v>
      </c>
      <c r="C74" s="9">
        <v>375</v>
      </c>
      <c r="D74" s="9">
        <v>443</v>
      </c>
      <c r="E74" s="9">
        <v>524</v>
      </c>
      <c r="F74" s="9">
        <v>434</v>
      </c>
      <c r="G74" s="9">
        <v>437</v>
      </c>
      <c r="H74" s="9">
        <v>458</v>
      </c>
      <c r="I74" s="9">
        <v>490</v>
      </c>
      <c r="J74" s="9">
        <v>531</v>
      </c>
      <c r="K74" s="9">
        <v>619</v>
      </c>
      <c r="L74" s="9">
        <v>699</v>
      </c>
      <c r="M74" s="9">
        <v>478</v>
      </c>
      <c r="N74" s="9">
        <v>478</v>
      </c>
      <c r="O74" s="9">
        <v>437</v>
      </c>
      <c r="P74" s="9">
        <v>439</v>
      </c>
      <c r="Q74" s="9">
        <v>452</v>
      </c>
    </row>
    <row r="75" spans="1:17" x14ac:dyDescent="0.25">
      <c r="A75" t="s">
        <v>74</v>
      </c>
      <c r="B75" s="9">
        <v>261</v>
      </c>
      <c r="C75" s="9">
        <v>288</v>
      </c>
      <c r="D75" s="9">
        <v>320</v>
      </c>
      <c r="E75" s="9">
        <v>291</v>
      </c>
      <c r="F75" s="9">
        <v>293</v>
      </c>
      <c r="G75" s="9">
        <v>303</v>
      </c>
      <c r="H75" s="9">
        <v>319</v>
      </c>
      <c r="I75" s="9">
        <v>356</v>
      </c>
      <c r="J75" s="9">
        <v>418</v>
      </c>
      <c r="K75" s="9">
        <v>474</v>
      </c>
      <c r="L75" s="9">
        <v>546</v>
      </c>
      <c r="M75" s="9">
        <v>620</v>
      </c>
      <c r="N75" s="9">
        <v>634</v>
      </c>
      <c r="O75" s="9">
        <v>530</v>
      </c>
      <c r="P75" s="9">
        <v>562</v>
      </c>
      <c r="Q75" s="9">
        <v>530</v>
      </c>
    </row>
    <row r="76" spans="1:17" x14ac:dyDescent="0.25">
      <c r="A76" t="s">
        <v>75</v>
      </c>
      <c r="B76" s="9">
        <v>13</v>
      </c>
      <c r="C76" s="9">
        <v>32</v>
      </c>
      <c r="D76" s="9">
        <v>21</v>
      </c>
      <c r="E76" s="9">
        <v>63</v>
      </c>
      <c r="F76" s="9">
        <v>63</v>
      </c>
      <c r="G76" s="9">
        <v>58</v>
      </c>
      <c r="H76" s="9">
        <v>69</v>
      </c>
      <c r="I76" s="9">
        <v>72</v>
      </c>
      <c r="J76" s="9">
        <v>83</v>
      </c>
      <c r="K76" s="9">
        <v>88</v>
      </c>
      <c r="L76" s="9">
        <v>72</v>
      </c>
      <c r="M76" s="9">
        <v>75</v>
      </c>
      <c r="N76" s="9">
        <v>67</v>
      </c>
      <c r="O76" s="9">
        <v>36</v>
      </c>
      <c r="P76" s="9">
        <v>45</v>
      </c>
      <c r="Q76" s="9">
        <v>68</v>
      </c>
    </row>
    <row r="77" spans="1:17" x14ac:dyDescent="0.25">
      <c r="A77" t="s">
        <v>76</v>
      </c>
      <c r="B77" s="9">
        <v>247</v>
      </c>
      <c r="C77" s="9">
        <v>320</v>
      </c>
      <c r="D77" s="9">
        <v>367</v>
      </c>
      <c r="E77" s="9">
        <v>375</v>
      </c>
      <c r="F77" s="9">
        <v>399</v>
      </c>
      <c r="G77" s="9">
        <v>535</v>
      </c>
      <c r="H77" s="9">
        <v>592</v>
      </c>
      <c r="I77" s="9">
        <v>611</v>
      </c>
      <c r="J77" s="9">
        <v>615</v>
      </c>
      <c r="K77" s="9">
        <v>672</v>
      </c>
      <c r="L77" s="9">
        <v>499</v>
      </c>
      <c r="M77" s="9">
        <v>492</v>
      </c>
      <c r="N77" s="9">
        <v>412</v>
      </c>
      <c r="O77" s="9">
        <v>538</v>
      </c>
      <c r="P77" s="9">
        <v>559</v>
      </c>
      <c r="Q77" s="9">
        <v>650</v>
      </c>
    </row>
    <row r="78" spans="1:17" x14ac:dyDescent="0.25">
      <c r="A78" t="s">
        <v>77</v>
      </c>
      <c r="B78" s="9">
        <v>195</v>
      </c>
      <c r="C78" s="9">
        <v>205</v>
      </c>
      <c r="D78" s="9">
        <v>266</v>
      </c>
      <c r="E78" s="9">
        <v>304</v>
      </c>
      <c r="F78" s="9">
        <v>379</v>
      </c>
      <c r="G78" s="9">
        <v>315</v>
      </c>
      <c r="H78" s="9">
        <v>402</v>
      </c>
      <c r="I78" s="9">
        <v>344</v>
      </c>
      <c r="J78" s="9">
        <v>325</v>
      </c>
      <c r="K78" s="9">
        <v>444</v>
      </c>
      <c r="L78" s="9">
        <v>450</v>
      </c>
      <c r="M78" s="9">
        <v>366</v>
      </c>
      <c r="N78" s="9">
        <v>270</v>
      </c>
      <c r="O78" s="9">
        <v>274</v>
      </c>
      <c r="P78" s="9">
        <v>295</v>
      </c>
      <c r="Q78" s="9">
        <v>229</v>
      </c>
    </row>
    <row r="79" spans="1:17" x14ac:dyDescent="0.25">
      <c r="A79" t="s">
        <v>78</v>
      </c>
      <c r="B79" s="9">
        <v>125</v>
      </c>
      <c r="C79" s="9">
        <v>139</v>
      </c>
      <c r="D79" s="9">
        <v>169</v>
      </c>
      <c r="E79" s="9">
        <v>185</v>
      </c>
      <c r="F79" s="9">
        <v>150</v>
      </c>
      <c r="G79" s="9">
        <v>166</v>
      </c>
      <c r="H79" s="9">
        <v>241</v>
      </c>
      <c r="I79" s="9">
        <v>317</v>
      </c>
      <c r="J79" s="9">
        <v>364</v>
      </c>
      <c r="K79" s="9">
        <v>344</v>
      </c>
      <c r="L79" s="9">
        <v>261</v>
      </c>
      <c r="M79" s="9">
        <v>221</v>
      </c>
      <c r="N79" s="9">
        <v>182</v>
      </c>
      <c r="O79" s="9">
        <v>159</v>
      </c>
      <c r="P79" s="9">
        <v>205</v>
      </c>
      <c r="Q79" s="9">
        <v>156</v>
      </c>
    </row>
    <row r="80" spans="1:17" x14ac:dyDescent="0.25">
      <c r="A80" t="s">
        <v>79</v>
      </c>
      <c r="B80" s="9">
        <v>9</v>
      </c>
      <c r="C80" s="9">
        <v>14</v>
      </c>
      <c r="D80" s="9">
        <v>15</v>
      </c>
      <c r="E80" s="9">
        <v>15</v>
      </c>
      <c r="F80" s="9">
        <v>16</v>
      </c>
      <c r="G80" s="9">
        <v>16</v>
      </c>
      <c r="H80" s="9">
        <v>18</v>
      </c>
      <c r="I80" s="9">
        <v>20</v>
      </c>
      <c r="J80" s="9">
        <v>15</v>
      </c>
      <c r="K80" s="9">
        <v>13</v>
      </c>
      <c r="L80" s="9">
        <v>21</v>
      </c>
      <c r="M80" s="9">
        <v>5</v>
      </c>
      <c r="N80" s="9">
        <v>6</v>
      </c>
      <c r="O80" s="9">
        <v>4</v>
      </c>
      <c r="P80" s="9">
        <v>7</v>
      </c>
      <c r="Q80" s="9">
        <v>9</v>
      </c>
    </row>
    <row r="81" spans="1:17" x14ac:dyDescent="0.25">
      <c r="A81" t="s">
        <v>80</v>
      </c>
      <c r="B81" s="9">
        <v>44</v>
      </c>
      <c r="C81" s="9">
        <v>66</v>
      </c>
      <c r="D81" s="9">
        <v>106</v>
      </c>
      <c r="E81" s="9">
        <v>149</v>
      </c>
      <c r="F81" s="9">
        <v>165</v>
      </c>
      <c r="G81" s="9">
        <v>202</v>
      </c>
      <c r="H81" s="9">
        <v>239</v>
      </c>
      <c r="I81" s="9">
        <v>215</v>
      </c>
      <c r="J81" s="9">
        <v>291</v>
      </c>
      <c r="K81" s="9">
        <v>305</v>
      </c>
      <c r="L81" s="9">
        <v>312</v>
      </c>
      <c r="M81" s="9">
        <v>334</v>
      </c>
      <c r="N81" s="9">
        <v>348</v>
      </c>
      <c r="O81" s="9">
        <v>265</v>
      </c>
      <c r="P81" s="9">
        <v>332</v>
      </c>
      <c r="Q81" s="9">
        <v>440</v>
      </c>
    </row>
    <row r="82" spans="1:17" x14ac:dyDescent="0.25">
      <c r="A82" t="s">
        <v>81</v>
      </c>
      <c r="B82" s="9">
        <v>16</v>
      </c>
      <c r="C82" s="9">
        <v>21</v>
      </c>
      <c r="D82" s="9">
        <v>30</v>
      </c>
      <c r="E82" s="9">
        <v>39</v>
      </c>
      <c r="F82" s="9">
        <v>49</v>
      </c>
      <c r="G82" s="9">
        <v>53</v>
      </c>
      <c r="H82" s="9">
        <v>53</v>
      </c>
      <c r="I82" s="9">
        <v>54</v>
      </c>
      <c r="J82" s="9">
        <v>63</v>
      </c>
      <c r="K82" s="9">
        <v>104</v>
      </c>
      <c r="L82" s="9">
        <v>60</v>
      </c>
      <c r="M82" s="9">
        <v>76</v>
      </c>
      <c r="N82" s="9">
        <v>50</v>
      </c>
      <c r="O82" s="9">
        <v>28</v>
      </c>
      <c r="P82" s="9">
        <v>23</v>
      </c>
      <c r="Q82" s="9">
        <v>14</v>
      </c>
    </row>
    <row r="83" spans="1:17" x14ac:dyDescent="0.25">
      <c r="A83" t="s">
        <v>82</v>
      </c>
      <c r="B83" s="9">
        <v>24</v>
      </c>
      <c r="C83" s="9">
        <v>7</v>
      </c>
      <c r="D83" s="9">
        <v>7</v>
      </c>
      <c r="E83" s="9">
        <v>2</v>
      </c>
      <c r="F83" s="9">
        <v>4</v>
      </c>
      <c r="G83" s="9">
        <v>0.3</v>
      </c>
      <c r="H83" s="9">
        <v>2</v>
      </c>
      <c r="I83" s="9">
        <v>1</v>
      </c>
      <c r="J83" s="9">
        <v>0.4</v>
      </c>
      <c r="K83" s="9">
        <v>2</v>
      </c>
      <c r="L83" s="9">
        <v>2</v>
      </c>
      <c r="M83" s="9">
        <v>3</v>
      </c>
      <c r="N83" s="9">
        <v>4</v>
      </c>
      <c r="O83" s="9">
        <v>2</v>
      </c>
      <c r="P83" s="9">
        <v>1</v>
      </c>
      <c r="Q83" s="9">
        <v>2</v>
      </c>
    </row>
    <row r="84" spans="1:17" x14ac:dyDescent="0.25">
      <c r="G84" s="38"/>
      <c r="H84" s="38"/>
      <c r="I84" s="38"/>
      <c r="J84" s="38"/>
      <c r="K84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7"/>
  <sheetViews>
    <sheetView workbookViewId="0">
      <selection activeCell="N18" sqref="N18"/>
    </sheetView>
  </sheetViews>
  <sheetFormatPr defaultRowHeight="15" x14ac:dyDescent="0.25"/>
  <cols>
    <col min="1" max="1" width="11.7109375" bestFit="1" customWidth="1"/>
  </cols>
  <sheetData>
    <row r="1" spans="1:16" ht="15.75" thickBot="1" x14ac:dyDescent="0.3"/>
    <row r="2" spans="1:16" ht="15.75" thickBot="1" x14ac:dyDescent="0.3">
      <c r="B2" s="67">
        <v>2005</v>
      </c>
      <c r="C2" s="68">
        <v>2006</v>
      </c>
      <c r="D2" s="68">
        <v>2007</v>
      </c>
      <c r="E2" s="68">
        <v>2008</v>
      </c>
      <c r="F2" s="68">
        <v>2009</v>
      </c>
      <c r="G2" s="68">
        <v>2010</v>
      </c>
      <c r="H2" s="68">
        <v>2011</v>
      </c>
      <c r="I2" s="68">
        <v>2012</v>
      </c>
      <c r="J2" s="68">
        <v>2013</v>
      </c>
      <c r="K2" s="68">
        <v>2014</v>
      </c>
      <c r="L2" s="68">
        <v>2015</v>
      </c>
      <c r="M2" s="68">
        <v>2016</v>
      </c>
      <c r="N2" s="68">
        <v>2017</v>
      </c>
      <c r="O2" s="68">
        <v>2018</v>
      </c>
      <c r="P2" s="68">
        <v>2019</v>
      </c>
    </row>
    <row r="3" spans="1:16" ht="15.75" thickBot="1" x14ac:dyDescent="0.3">
      <c r="B3" s="69">
        <v>5.78</v>
      </c>
      <c r="C3" s="70">
        <v>6.7</v>
      </c>
      <c r="D3" s="70">
        <v>7.62</v>
      </c>
      <c r="E3" s="70">
        <v>9.0299999999999994</v>
      </c>
      <c r="F3" s="70">
        <v>9.26</v>
      </c>
      <c r="G3" s="70">
        <v>10.57</v>
      </c>
      <c r="H3" s="70">
        <v>12.08</v>
      </c>
      <c r="I3" s="70">
        <v>13.1</v>
      </c>
      <c r="J3" s="70">
        <v>13.86</v>
      </c>
      <c r="K3" s="70">
        <v>14.64</v>
      </c>
      <c r="L3" s="70">
        <v>15.66</v>
      </c>
      <c r="M3" s="70">
        <v>16.05</v>
      </c>
      <c r="N3" s="70">
        <v>16.91</v>
      </c>
      <c r="O3" s="70">
        <v>18.78</v>
      </c>
      <c r="P3" s="70">
        <v>19.5</v>
      </c>
    </row>
    <row r="4" spans="1:16" x14ac:dyDescent="0.25">
      <c r="A4" t="s">
        <v>195</v>
      </c>
      <c r="B4" s="71">
        <f t="shared" ref="B4:H4" si="0">B3/$I$3</f>
        <v>0.44122137404580158</v>
      </c>
      <c r="C4" s="71">
        <f t="shared" si="0"/>
        <v>0.51145038167938939</v>
      </c>
      <c r="D4" s="71">
        <f t="shared" si="0"/>
        <v>0.58167938931297714</v>
      </c>
      <c r="E4" s="71">
        <f t="shared" si="0"/>
        <v>0.68931297709923656</v>
      </c>
      <c r="F4" s="71">
        <f t="shared" si="0"/>
        <v>0.70687022900763363</v>
      </c>
      <c r="G4" s="71">
        <f t="shared" si="0"/>
        <v>0.80687022900763361</v>
      </c>
      <c r="H4" s="71">
        <f t="shared" si="0"/>
        <v>0.9221374045801527</v>
      </c>
      <c r="I4" s="71">
        <f>I3/$I$3</f>
        <v>1</v>
      </c>
      <c r="J4" s="71">
        <f t="shared" ref="J4:P4" si="1">J3/$I$3</f>
        <v>1.0580152671755725</v>
      </c>
      <c r="K4" s="71">
        <f t="shared" si="1"/>
        <v>1.1175572519083969</v>
      </c>
      <c r="L4" s="71">
        <f t="shared" si="1"/>
        <v>1.1954198473282442</v>
      </c>
      <c r="M4" s="71">
        <f t="shared" si="1"/>
        <v>1.2251908396946565</v>
      </c>
      <c r="N4" s="71">
        <f t="shared" si="1"/>
        <v>1.2908396946564886</v>
      </c>
      <c r="O4" s="71">
        <f t="shared" si="1"/>
        <v>1.4335877862595421</v>
      </c>
      <c r="P4" s="71">
        <f t="shared" si="1"/>
        <v>1.4885496183206108</v>
      </c>
    </row>
    <row r="5" spans="1:16" ht="15.75" thickBot="1" x14ac:dyDescent="0.3"/>
    <row r="6" spans="1:16" ht="15.75" thickBot="1" x14ac:dyDescent="0.3">
      <c r="A6" s="72" t="s">
        <v>196</v>
      </c>
      <c r="B6">
        <f t="shared" ref="B6:G10" si="2">$I6*B$4</f>
        <v>65.962595419847332</v>
      </c>
      <c r="C6">
        <f t="shared" si="2"/>
        <v>76.461832061068719</v>
      </c>
      <c r="D6">
        <f t="shared" si="2"/>
        <v>86.961068702290078</v>
      </c>
      <c r="E6">
        <f t="shared" si="2"/>
        <v>103.05229007633586</v>
      </c>
      <c r="F6">
        <f t="shared" si="2"/>
        <v>105.67709923664123</v>
      </c>
      <c r="G6">
        <f t="shared" si="2"/>
        <v>120.62709923664123</v>
      </c>
      <c r="H6">
        <f>$I6*H$4</f>
        <v>137.85954198473283</v>
      </c>
      <c r="I6">
        <f>Показатели!H8</f>
        <v>149.5</v>
      </c>
      <c r="J6">
        <f>$I6*J$4</f>
        <v>158.17328244274808</v>
      </c>
      <c r="K6">
        <f t="shared" ref="K6:P6" si="3">$I6*K$4</f>
        <v>167.07480916030534</v>
      </c>
      <c r="L6">
        <f t="shared" si="3"/>
        <v>178.71526717557251</v>
      </c>
      <c r="M6">
        <f t="shared" si="3"/>
        <v>183.16603053435114</v>
      </c>
      <c r="N6">
        <f t="shared" si="3"/>
        <v>192.98053435114505</v>
      </c>
      <c r="O6">
        <f t="shared" si="3"/>
        <v>214.32137404580155</v>
      </c>
      <c r="P6">
        <f t="shared" si="3"/>
        <v>222.53816793893131</v>
      </c>
    </row>
    <row r="7" spans="1:16" ht="15.75" thickBot="1" x14ac:dyDescent="0.3">
      <c r="A7" s="72" t="s">
        <v>197</v>
      </c>
      <c r="B7">
        <f t="shared" si="2"/>
        <v>3.1370839694656496</v>
      </c>
      <c r="C7">
        <f t="shared" si="2"/>
        <v>3.6364122137404586</v>
      </c>
      <c r="D7">
        <f t="shared" si="2"/>
        <v>4.1357404580152677</v>
      </c>
      <c r="E7">
        <f t="shared" si="2"/>
        <v>4.9010152671755725</v>
      </c>
      <c r="F7">
        <f t="shared" si="2"/>
        <v>5.025847328244275</v>
      </c>
      <c r="G7">
        <f t="shared" si="2"/>
        <v>5.7368473282442753</v>
      </c>
      <c r="H7">
        <f t="shared" ref="H7:P10" si="4">$I7*H$4</f>
        <v>6.5563969465648864</v>
      </c>
      <c r="I7">
        <f>Показатели!H9</f>
        <v>7.11</v>
      </c>
      <c r="J7">
        <f t="shared" si="4"/>
        <v>7.5224885496183207</v>
      </c>
      <c r="K7">
        <f t="shared" si="4"/>
        <v>7.9458320610687023</v>
      </c>
      <c r="L7">
        <f t="shared" si="4"/>
        <v>8.4994351145038163</v>
      </c>
      <c r="M7">
        <f t="shared" si="4"/>
        <v>8.711106870229008</v>
      </c>
      <c r="N7">
        <f t="shared" si="4"/>
        <v>9.1778702290076346</v>
      </c>
      <c r="O7">
        <f t="shared" si="4"/>
        <v>10.192809160305345</v>
      </c>
      <c r="P7">
        <f t="shared" si="4"/>
        <v>10.583587786259544</v>
      </c>
    </row>
    <row r="8" spans="1:16" ht="15.75" thickBot="1" x14ac:dyDescent="0.3">
      <c r="A8" s="72" t="s">
        <v>198</v>
      </c>
      <c r="B8">
        <f t="shared" si="2"/>
        <v>18.509236641221378</v>
      </c>
      <c r="C8">
        <f t="shared" si="2"/>
        <v>21.455343511450387</v>
      </c>
      <c r="D8">
        <f t="shared" si="2"/>
        <v>24.401450381679393</v>
      </c>
      <c r="E8">
        <f t="shared" si="2"/>
        <v>28.916679389312975</v>
      </c>
      <c r="F8">
        <f t="shared" si="2"/>
        <v>29.653206106870233</v>
      </c>
      <c r="G8">
        <f t="shared" si="2"/>
        <v>33.848206106870229</v>
      </c>
      <c r="H8">
        <f t="shared" si="4"/>
        <v>38.683664122137408</v>
      </c>
      <c r="I8">
        <f>Показатели!H10</f>
        <v>41.95</v>
      </c>
      <c r="J8">
        <f t="shared" si="4"/>
        <v>44.383740458015268</v>
      </c>
      <c r="K8">
        <f t="shared" si="4"/>
        <v>46.881526717557257</v>
      </c>
      <c r="L8">
        <f t="shared" si="4"/>
        <v>50.147862595419852</v>
      </c>
      <c r="M8">
        <f t="shared" si="4"/>
        <v>51.396755725190843</v>
      </c>
      <c r="N8">
        <f t="shared" si="4"/>
        <v>54.150725190839701</v>
      </c>
      <c r="O8">
        <f t="shared" si="4"/>
        <v>60.139007633587795</v>
      </c>
      <c r="P8">
        <f t="shared" si="4"/>
        <v>62.444656488549626</v>
      </c>
    </row>
    <row r="9" spans="1:16" ht="15.75" thickBot="1" x14ac:dyDescent="0.3">
      <c r="A9" s="54" t="s">
        <v>125</v>
      </c>
      <c r="B9">
        <f t="shared" si="2"/>
        <v>3.2429770992366413</v>
      </c>
      <c r="C9">
        <f t="shared" si="2"/>
        <v>3.7591603053435119</v>
      </c>
      <c r="D9">
        <f t="shared" si="2"/>
        <v>4.2753435114503819</v>
      </c>
      <c r="E9">
        <f t="shared" si="2"/>
        <v>5.0664503816793882</v>
      </c>
      <c r="F9">
        <f t="shared" si="2"/>
        <v>5.1954961832061066</v>
      </c>
      <c r="G9">
        <f t="shared" si="2"/>
        <v>5.9304961832061069</v>
      </c>
      <c r="H9">
        <f t="shared" si="4"/>
        <v>6.7777099236641218</v>
      </c>
      <c r="I9">
        <f>Показатели!H3</f>
        <v>7.35</v>
      </c>
      <c r="J9">
        <f t="shared" si="4"/>
        <v>7.776412213740457</v>
      </c>
      <c r="K9">
        <f t="shared" si="4"/>
        <v>8.2140458015267175</v>
      </c>
      <c r="L9">
        <f t="shared" si="4"/>
        <v>8.7863358778625944</v>
      </c>
      <c r="M9">
        <f t="shared" si="4"/>
        <v>9.0051526717557255</v>
      </c>
      <c r="N9">
        <f t="shared" si="4"/>
        <v>9.4876717557251915</v>
      </c>
      <c r="O9">
        <f t="shared" si="4"/>
        <v>10.536870229007635</v>
      </c>
      <c r="P9">
        <f t="shared" si="4"/>
        <v>10.940839694656489</v>
      </c>
    </row>
    <row r="10" spans="1:16" ht="15.75" thickBot="1" x14ac:dyDescent="0.3">
      <c r="A10" s="54" t="s">
        <v>126</v>
      </c>
      <c r="B10">
        <f t="shared" si="2"/>
        <v>46.592977099236641</v>
      </c>
      <c r="C10">
        <f t="shared" si="2"/>
        <v>54.009160305343514</v>
      </c>
      <c r="D10">
        <f t="shared" si="2"/>
        <v>61.425343511450379</v>
      </c>
      <c r="E10">
        <f t="shared" si="2"/>
        <v>72.791450381679383</v>
      </c>
      <c r="F10">
        <f t="shared" si="2"/>
        <v>74.645496183206106</v>
      </c>
      <c r="G10">
        <f t="shared" si="2"/>
        <v>85.205496183206108</v>
      </c>
      <c r="H10">
        <f t="shared" si="4"/>
        <v>97.377709923664113</v>
      </c>
      <c r="I10">
        <f>Показатели!H4</f>
        <v>105.6</v>
      </c>
      <c r="J10">
        <f t="shared" si="4"/>
        <v>111.72641221374045</v>
      </c>
      <c r="K10">
        <f t="shared" si="4"/>
        <v>118.01404580152671</v>
      </c>
      <c r="L10">
        <f t="shared" si="4"/>
        <v>126.23633587786259</v>
      </c>
      <c r="M10">
        <f t="shared" si="4"/>
        <v>129.38015267175572</v>
      </c>
      <c r="N10">
        <f t="shared" si="4"/>
        <v>136.31267175572521</v>
      </c>
      <c r="O10">
        <f t="shared" si="4"/>
        <v>151.38687022900763</v>
      </c>
      <c r="P10">
        <f t="shared" si="4"/>
        <v>157.19083969465649</v>
      </c>
    </row>
    <row r="12" spans="1:16" ht="15.75" thickBot="1" x14ac:dyDescent="0.3"/>
    <row r="13" spans="1:16" ht="15.75" thickBot="1" x14ac:dyDescent="0.3">
      <c r="A13" s="108" t="s">
        <v>196</v>
      </c>
      <c r="B13" s="109">
        <v>65.962595419847332</v>
      </c>
      <c r="C13" s="109">
        <v>76.461832061068719</v>
      </c>
      <c r="D13" s="109">
        <v>86.961068702290078</v>
      </c>
      <c r="E13" s="109">
        <v>103.05229007633586</v>
      </c>
      <c r="F13" s="109">
        <v>105.67709923664123</v>
      </c>
      <c r="G13" s="109">
        <v>120.62709923664123</v>
      </c>
      <c r="H13" s="109">
        <v>137.85954198473283</v>
      </c>
      <c r="I13" s="109">
        <v>149.5</v>
      </c>
      <c r="J13" s="109">
        <v>158.17328244274808</v>
      </c>
      <c r="K13" s="109">
        <v>167.07480916030534</v>
      </c>
      <c r="L13" s="109">
        <v>178.71526717557251</v>
      </c>
      <c r="M13" s="109">
        <v>183.16603053435114</v>
      </c>
      <c r="N13" s="109">
        <v>192.98053435114505</v>
      </c>
      <c r="O13" s="109">
        <v>214.32137404580155</v>
      </c>
      <c r="P13" s="109">
        <v>222.53816793893131</v>
      </c>
    </row>
    <row r="14" spans="1:16" ht="15.75" thickBot="1" x14ac:dyDescent="0.3">
      <c r="A14" s="108" t="s">
        <v>197</v>
      </c>
      <c r="B14" s="109">
        <v>3.13708396946565</v>
      </c>
      <c r="C14" s="109">
        <v>3.6364122137404586</v>
      </c>
      <c r="D14" s="109">
        <v>4.1357404580152677</v>
      </c>
      <c r="E14" s="109">
        <v>4.9010152671755725</v>
      </c>
      <c r="F14" s="109">
        <v>5.025847328244275</v>
      </c>
      <c r="G14" s="109">
        <v>5.7368473282442753</v>
      </c>
      <c r="H14" s="109">
        <v>6.5563969465648864</v>
      </c>
      <c r="I14" s="109">
        <v>7.11</v>
      </c>
      <c r="J14" s="109">
        <v>7.5224885496183207</v>
      </c>
      <c r="K14" s="109">
        <v>7.9458320610687023</v>
      </c>
      <c r="L14" s="109">
        <v>8.4994351145038163</v>
      </c>
      <c r="M14" s="109">
        <v>8.711106870229008</v>
      </c>
      <c r="N14" s="109">
        <v>9.1778702290076346</v>
      </c>
      <c r="O14" s="109">
        <v>10.192809160305345</v>
      </c>
      <c r="P14" s="109">
        <v>10.583587786259544</v>
      </c>
    </row>
    <row r="15" spans="1:16" ht="15.75" thickBot="1" x14ac:dyDescent="0.3">
      <c r="A15" s="108" t="s">
        <v>198</v>
      </c>
      <c r="B15" s="109">
        <v>18.509236641221378</v>
      </c>
      <c r="C15" s="109">
        <v>21.455343511450387</v>
      </c>
      <c r="D15" s="109">
        <v>24.401450381679393</v>
      </c>
      <c r="E15" s="109">
        <v>28.916679389312975</v>
      </c>
      <c r="F15" s="109">
        <v>29.653206106870233</v>
      </c>
      <c r="G15" s="109">
        <v>33.848206106870229</v>
      </c>
      <c r="H15" s="109">
        <v>38.683664122137408</v>
      </c>
      <c r="I15" s="109">
        <v>41.95</v>
      </c>
      <c r="J15" s="109">
        <v>44.383740458015268</v>
      </c>
      <c r="K15" s="109">
        <v>46.881526717557257</v>
      </c>
      <c r="L15" s="109">
        <v>50.147862595419852</v>
      </c>
      <c r="M15" s="109">
        <v>51.396755725190843</v>
      </c>
      <c r="N15" s="109">
        <v>54.150725190839701</v>
      </c>
      <c r="O15" s="109">
        <v>60.139007633587795</v>
      </c>
      <c r="P15" s="109">
        <v>62.444656488549626</v>
      </c>
    </row>
    <row r="16" spans="1:16" ht="15.75" thickBot="1" x14ac:dyDescent="0.3">
      <c r="A16" s="110" t="s">
        <v>125</v>
      </c>
      <c r="B16" s="109">
        <v>3.2429770992366413</v>
      </c>
      <c r="C16" s="109">
        <v>3.7591603053435119</v>
      </c>
      <c r="D16" s="109">
        <v>4.2753435114503819</v>
      </c>
      <c r="E16" s="109">
        <v>5.0664503816793882</v>
      </c>
      <c r="F16" s="109">
        <v>5.1954961832061066</v>
      </c>
      <c r="G16" s="109">
        <v>5.9304961832061069</v>
      </c>
      <c r="H16" s="109">
        <v>6.7777099236641218</v>
      </c>
      <c r="I16" s="109">
        <v>7.35</v>
      </c>
      <c r="J16" s="109">
        <v>7.776412213740457</v>
      </c>
      <c r="K16" s="109">
        <v>8.2140458015267175</v>
      </c>
      <c r="L16" s="109">
        <v>8.7863358778625944</v>
      </c>
      <c r="M16" s="109">
        <v>9.0051526717557255</v>
      </c>
      <c r="N16" s="109">
        <v>9.4876717557251915</v>
      </c>
      <c r="O16" s="109">
        <v>10.536870229007635</v>
      </c>
      <c r="P16" s="109">
        <v>10.940839694656489</v>
      </c>
    </row>
    <row r="17" spans="1:16" ht="15.75" thickBot="1" x14ac:dyDescent="0.3">
      <c r="A17" s="110" t="s">
        <v>126</v>
      </c>
      <c r="B17" s="109">
        <v>46.592977099236641</v>
      </c>
      <c r="C17" s="109">
        <v>54.009160305343514</v>
      </c>
      <c r="D17" s="109">
        <v>61.425343511450379</v>
      </c>
      <c r="E17" s="109">
        <v>72.791450381679383</v>
      </c>
      <c r="F17" s="109">
        <v>74.645496183206106</v>
      </c>
      <c r="G17" s="109">
        <v>85.205496183206108</v>
      </c>
      <c r="H17" s="109">
        <v>97.377709923664113</v>
      </c>
      <c r="I17" s="109">
        <v>105.6</v>
      </c>
      <c r="J17" s="109">
        <v>111.72641221374045</v>
      </c>
      <c r="K17" s="109">
        <v>118.01404580152671</v>
      </c>
      <c r="L17" s="109">
        <v>126.23633587786259</v>
      </c>
      <c r="M17" s="109">
        <v>129.38015267175572</v>
      </c>
      <c r="N17" s="109">
        <v>136.31267175572521</v>
      </c>
      <c r="O17" s="109">
        <v>151.38687022900763</v>
      </c>
      <c r="P17" s="109">
        <v>157.19083969465649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59999389629810485"/>
  </sheetPr>
  <dimension ref="A1:N109"/>
  <sheetViews>
    <sheetView workbookViewId="0">
      <selection activeCell="L9" sqref="L9"/>
    </sheetView>
  </sheetViews>
  <sheetFormatPr defaultRowHeight="15" x14ac:dyDescent="0.25"/>
  <cols>
    <col min="1" max="1" width="31.85546875" customWidth="1"/>
    <col min="2" max="2" width="9.140625" customWidth="1"/>
  </cols>
  <sheetData>
    <row r="1" spans="1:14" x14ac:dyDescent="0.25">
      <c r="A1" s="31"/>
      <c r="B1" s="181">
        <v>1995</v>
      </c>
      <c r="C1" s="181">
        <v>2000</v>
      </c>
      <c r="D1" s="181">
        <v>2001</v>
      </c>
      <c r="E1" s="181">
        <v>2002</v>
      </c>
      <c r="F1" s="181">
        <v>2003</v>
      </c>
      <c r="G1" s="181">
        <v>2004</v>
      </c>
      <c r="H1" s="181">
        <v>2005</v>
      </c>
      <c r="I1" s="181">
        <v>2006</v>
      </c>
      <c r="J1" s="181">
        <v>2007</v>
      </c>
      <c r="K1" s="181">
        <v>2008</v>
      </c>
      <c r="L1" s="181">
        <v>2009</v>
      </c>
      <c r="M1" s="60">
        <v>2009</v>
      </c>
    </row>
    <row r="2" spans="1:14" x14ac:dyDescent="0.25">
      <c r="A2" s="60" t="s">
        <v>151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60" t="s">
        <v>152</v>
      </c>
    </row>
    <row r="3" spans="1:14" x14ac:dyDescent="0.25">
      <c r="A3" s="50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60" t="s">
        <v>153</v>
      </c>
    </row>
    <row r="4" spans="1:14" x14ac:dyDescent="0.25">
      <c r="A4" s="50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60" t="s">
        <v>154</v>
      </c>
    </row>
    <row r="5" spans="1:14" x14ac:dyDescent="0.25">
      <c r="A5" s="50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60" t="s">
        <v>155</v>
      </c>
    </row>
    <row r="6" spans="1:14" x14ac:dyDescent="0.25">
      <c r="A6" s="50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60" t="s">
        <v>156</v>
      </c>
    </row>
    <row r="7" spans="1:14" x14ac:dyDescent="0.25">
      <c r="A7" s="50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60" t="s">
        <v>157</v>
      </c>
    </row>
    <row r="8" spans="1:14" ht="21" x14ac:dyDescent="0.25">
      <c r="A8" s="50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60" t="s">
        <v>158</v>
      </c>
    </row>
    <row r="9" spans="1:14" ht="21" x14ac:dyDescent="0.25">
      <c r="A9" s="61" t="s">
        <v>159</v>
      </c>
      <c r="B9" s="62">
        <v>0.3</v>
      </c>
      <c r="C9" s="62">
        <v>512</v>
      </c>
      <c r="D9" s="62">
        <v>2352.3000000000002</v>
      </c>
      <c r="E9" s="62">
        <v>3070</v>
      </c>
      <c r="F9" s="62">
        <v>3765.4</v>
      </c>
      <c r="G9" s="62">
        <v>4529.7</v>
      </c>
      <c r="H9" s="62">
        <v>5642.5</v>
      </c>
      <c r="I9" s="62">
        <v>7041.5</v>
      </c>
      <c r="J9" s="62">
        <v>8711.9</v>
      </c>
      <c r="K9" s="62">
        <v>10869</v>
      </c>
      <c r="L9" s="62">
        <v>13920.7</v>
      </c>
      <c r="M9" s="62">
        <v>14602.5</v>
      </c>
      <c r="N9" s="62">
        <v>95.1</v>
      </c>
    </row>
    <row r="10" spans="1:14" x14ac:dyDescent="0.25">
      <c r="A10" s="63" t="s">
        <v>160</v>
      </c>
      <c r="B10" s="182">
        <v>72.5</v>
      </c>
      <c r="C10" s="182">
        <v>194845</v>
      </c>
      <c r="D10" s="182">
        <v>995587</v>
      </c>
      <c r="E10" s="182">
        <v>1282054</v>
      </c>
      <c r="F10" s="182">
        <v>1520701</v>
      </c>
      <c r="G10" s="182">
        <v>1774813</v>
      </c>
      <c r="H10" s="182">
        <v>2166665</v>
      </c>
      <c r="I10" s="182">
        <v>2600705</v>
      </c>
      <c r="J10" s="182">
        <v>3119362</v>
      </c>
      <c r="K10" s="182">
        <v>3741955</v>
      </c>
      <c r="L10" s="182">
        <v>4646218</v>
      </c>
      <c r="M10" s="182">
        <v>4920527</v>
      </c>
      <c r="N10" s="182">
        <v>95.8</v>
      </c>
    </row>
    <row r="11" spans="1:14" x14ac:dyDescent="0.25">
      <c r="A11" s="63" t="s">
        <v>161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</row>
    <row r="12" spans="1:14" x14ac:dyDescent="0.25">
      <c r="A12" s="64" t="s">
        <v>1</v>
      </c>
      <c r="B12" s="65">
        <v>1.9</v>
      </c>
      <c r="C12" s="65">
        <v>3857</v>
      </c>
      <c r="D12" s="65">
        <v>17781</v>
      </c>
      <c r="E12" s="65">
        <v>20860</v>
      </c>
      <c r="F12" s="65">
        <v>24713</v>
      </c>
      <c r="G12" s="65">
        <v>29081</v>
      </c>
      <c r="H12" s="65">
        <v>36560</v>
      </c>
      <c r="I12" s="65">
        <v>45614</v>
      </c>
      <c r="J12" s="65">
        <v>62616</v>
      </c>
      <c r="K12" s="65">
        <v>84140</v>
      </c>
      <c r="L12" s="65">
        <v>113628</v>
      </c>
      <c r="M12" s="65">
        <v>125594</v>
      </c>
      <c r="N12" s="65">
        <v>100.8</v>
      </c>
    </row>
    <row r="13" spans="1:14" x14ac:dyDescent="0.25">
      <c r="A13" s="64" t="s">
        <v>162</v>
      </c>
      <c r="B13" s="65">
        <v>2.2999999999999998</v>
      </c>
      <c r="C13" s="65">
        <v>3419</v>
      </c>
      <c r="D13" s="65">
        <v>11703</v>
      </c>
      <c r="E13" s="65">
        <v>15328</v>
      </c>
      <c r="F13" s="65">
        <v>19796</v>
      </c>
      <c r="G13" s="65">
        <v>24601</v>
      </c>
      <c r="H13" s="65">
        <v>30896</v>
      </c>
      <c r="I13" s="65">
        <v>38597</v>
      </c>
      <c r="J13" s="65">
        <v>48756</v>
      </c>
      <c r="K13" s="65">
        <v>63372</v>
      </c>
      <c r="L13" s="65">
        <v>84392</v>
      </c>
      <c r="M13" s="65">
        <v>93790</v>
      </c>
      <c r="N13" s="65">
        <v>98.8</v>
      </c>
    </row>
    <row r="14" spans="1:14" x14ac:dyDescent="0.25">
      <c r="A14" s="64" t="s">
        <v>163</v>
      </c>
      <c r="B14" s="65">
        <v>2.4</v>
      </c>
      <c r="C14" s="65">
        <v>3551</v>
      </c>
      <c r="D14" s="65">
        <v>11660</v>
      </c>
      <c r="E14" s="65">
        <v>14561</v>
      </c>
      <c r="F14" s="65">
        <v>16801</v>
      </c>
      <c r="G14" s="65">
        <v>20234</v>
      </c>
      <c r="H14" s="65">
        <v>24935</v>
      </c>
      <c r="I14" s="65">
        <v>31541</v>
      </c>
      <c r="J14" s="65">
        <v>44019</v>
      </c>
      <c r="K14" s="65">
        <v>62526</v>
      </c>
      <c r="L14" s="65">
        <v>83270</v>
      </c>
      <c r="M14" s="65">
        <v>85660</v>
      </c>
      <c r="N14" s="65">
        <v>93.1</v>
      </c>
    </row>
    <row r="15" spans="1:14" x14ac:dyDescent="0.25">
      <c r="A15" s="64" t="s">
        <v>4</v>
      </c>
      <c r="B15" s="65">
        <v>3.6</v>
      </c>
      <c r="C15" s="65">
        <v>6184</v>
      </c>
      <c r="D15" s="65">
        <v>28483</v>
      </c>
      <c r="E15" s="65">
        <v>38019</v>
      </c>
      <c r="F15" s="65">
        <v>43512</v>
      </c>
      <c r="G15" s="65">
        <v>52609</v>
      </c>
      <c r="H15" s="65">
        <v>66950</v>
      </c>
      <c r="I15" s="65">
        <v>83280</v>
      </c>
      <c r="J15" s="65">
        <v>93569</v>
      </c>
      <c r="K15" s="65">
        <v>116769</v>
      </c>
      <c r="L15" s="65">
        <v>150411</v>
      </c>
      <c r="M15" s="65">
        <v>168670</v>
      </c>
      <c r="N15" s="65">
        <v>99.2</v>
      </c>
    </row>
    <row r="16" spans="1:14" x14ac:dyDescent="0.25">
      <c r="A16" s="64" t="s">
        <v>5</v>
      </c>
      <c r="B16" s="65">
        <v>2</v>
      </c>
      <c r="C16" s="65">
        <v>2652</v>
      </c>
      <c r="D16" s="65">
        <v>7936</v>
      </c>
      <c r="E16" s="65">
        <v>9638</v>
      </c>
      <c r="F16" s="65">
        <v>12053</v>
      </c>
      <c r="G16" s="65">
        <v>14124</v>
      </c>
      <c r="H16" s="65">
        <v>17426</v>
      </c>
      <c r="I16" s="65">
        <v>21148</v>
      </c>
      <c r="J16" s="65">
        <v>29381</v>
      </c>
      <c r="K16" s="65">
        <v>37976</v>
      </c>
      <c r="L16" s="65">
        <v>57855</v>
      </c>
      <c r="M16" s="65">
        <v>59159</v>
      </c>
      <c r="N16" s="65">
        <v>92</v>
      </c>
    </row>
    <row r="17" spans="1:14" x14ac:dyDescent="0.25">
      <c r="A17" s="64" t="s">
        <v>6</v>
      </c>
      <c r="B17" s="65">
        <v>1.4</v>
      </c>
      <c r="C17" s="65">
        <v>3733</v>
      </c>
      <c r="D17" s="65">
        <v>9293</v>
      </c>
      <c r="E17" s="65">
        <v>13058</v>
      </c>
      <c r="F17" s="65">
        <v>17599</v>
      </c>
      <c r="G17" s="65">
        <v>23073</v>
      </c>
      <c r="H17" s="65">
        <v>31232</v>
      </c>
      <c r="I17" s="65">
        <v>39276</v>
      </c>
      <c r="J17" s="65">
        <v>49220</v>
      </c>
      <c r="K17" s="65">
        <v>63535</v>
      </c>
      <c r="L17" s="65">
        <v>80731</v>
      </c>
      <c r="M17" s="65">
        <v>85169</v>
      </c>
      <c r="N17" s="65">
        <v>94.2</v>
      </c>
    </row>
    <row r="18" spans="1:14" x14ac:dyDescent="0.25">
      <c r="A18" s="64" t="s">
        <v>164</v>
      </c>
      <c r="B18" s="65">
        <v>1.2</v>
      </c>
      <c r="C18" s="65">
        <v>2314</v>
      </c>
      <c r="D18" s="65">
        <v>6921</v>
      </c>
      <c r="E18" s="65">
        <v>8376</v>
      </c>
      <c r="F18" s="65">
        <v>10430</v>
      </c>
      <c r="G18" s="65">
        <v>12614</v>
      </c>
      <c r="H18" s="65">
        <v>16147</v>
      </c>
      <c r="I18" s="65">
        <v>18669</v>
      </c>
      <c r="J18" s="65">
        <v>23401</v>
      </c>
      <c r="K18" s="65">
        <v>29328</v>
      </c>
      <c r="L18" s="65">
        <v>38142</v>
      </c>
      <c r="M18" s="65">
        <v>40343</v>
      </c>
      <c r="N18" s="65">
        <v>94.9</v>
      </c>
    </row>
    <row r="19" spans="1:14" x14ac:dyDescent="0.25">
      <c r="A19" s="64" t="s">
        <v>8</v>
      </c>
      <c r="B19" s="65">
        <v>1.9</v>
      </c>
      <c r="C19" s="65">
        <v>2868</v>
      </c>
      <c r="D19" s="65">
        <v>13087</v>
      </c>
      <c r="E19" s="65">
        <v>15996</v>
      </c>
      <c r="F19" s="65">
        <v>18700</v>
      </c>
      <c r="G19" s="65">
        <v>23240</v>
      </c>
      <c r="H19" s="65">
        <v>30525</v>
      </c>
      <c r="I19" s="65">
        <v>37071</v>
      </c>
      <c r="J19" s="65">
        <v>48814</v>
      </c>
      <c r="K19" s="65">
        <v>63264</v>
      </c>
      <c r="L19" s="65">
        <v>79795</v>
      </c>
      <c r="M19" s="65">
        <v>86939</v>
      </c>
      <c r="N19" s="65">
        <v>95.4</v>
      </c>
    </row>
    <row r="20" spans="1:14" x14ac:dyDescent="0.25">
      <c r="A20" s="64" t="s">
        <v>9</v>
      </c>
      <c r="B20" s="65">
        <v>1.9</v>
      </c>
      <c r="C20" s="65">
        <v>3061</v>
      </c>
      <c r="D20" s="65">
        <v>16404</v>
      </c>
      <c r="E20" s="65">
        <v>19384</v>
      </c>
      <c r="F20" s="65">
        <v>22584</v>
      </c>
      <c r="G20" s="65">
        <v>26315</v>
      </c>
      <c r="H20" s="65">
        <v>34181</v>
      </c>
      <c r="I20" s="65">
        <v>42015</v>
      </c>
      <c r="J20" s="65">
        <v>53124</v>
      </c>
      <c r="K20" s="65">
        <v>68721</v>
      </c>
      <c r="L20" s="65">
        <v>93375</v>
      </c>
      <c r="M20" s="65">
        <v>104425</v>
      </c>
      <c r="N20" s="65">
        <v>100</v>
      </c>
    </row>
    <row r="21" spans="1:14" x14ac:dyDescent="0.25">
      <c r="A21" s="64" t="s">
        <v>10</v>
      </c>
      <c r="B21" s="65">
        <v>9.4</v>
      </c>
      <c r="C21" s="65">
        <v>18905</v>
      </c>
      <c r="D21" s="65">
        <v>96770</v>
      </c>
      <c r="E21" s="65">
        <v>122302</v>
      </c>
      <c r="F21" s="65">
        <v>153803</v>
      </c>
      <c r="G21" s="65">
        <v>194375</v>
      </c>
      <c r="H21" s="65">
        <v>284997</v>
      </c>
      <c r="I21" s="65">
        <v>369929</v>
      </c>
      <c r="J21" s="65">
        <v>495548</v>
      </c>
      <c r="K21" s="65">
        <v>660751</v>
      </c>
      <c r="L21" s="65">
        <v>887417</v>
      </c>
      <c r="M21" s="65">
        <v>893868</v>
      </c>
      <c r="N21" s="65">
        <v>92</v>
      </c>
    </row>
    <row r="22" spans="1:14" x14ac:dyDescent="0.25">
      <c r="A22" s="64" t="s">
        <v>165</v>
      </c>
      <c r="B22" s="65">
        <v>1.2</v>
      </c>
      <c r="C22" s="65">
        <v>2597</v>
      </c>
      <c r="D22" s="65">
        <v>9536</v>
      </c>
      <c r="E22" s="65">
        <v>12092</v>
      </c>
      <c r="F22" s="65">
        <v>15655</v>
      </c>
      <c r="G22" s="65">
        <v>17896</v>
      </c>
      <c r="H22" s="65">
        <v>21357</v>
      </c>
      <c r="I22" s="65">
        <v>26083</v>
      </c>
      <c r="J22" s="65">
        <v>29415</v>
      </c>
      <c r="K22" s="65">
        <v>38570</v>
      </c>
      <c r="L22" s="65">
        <v>52705</v>
      </c>
      <c r="M22" s="65">
        <v>53636</v>
      </c>
      <c r="N22" s="65">
        <v>91.6</v>
      </c>
    </row>
    <row r="23" spans="1:14" x14ac:dyDescent="0.25">
      <c r="A23" s="64" t="s">
        <v>12</v>
      </c>
      <c r="B23" s="65">
        <v>1.9</v>
      </c>
      <c r="C23" s="65">
        <v>2781</v>
      </c>
      <c r="D23" s="65">
        <v>11193</v>
      </c>
      <c r="E23" s="65">
        <v>14751</v>
      </c>
      <c r="F23" s="65">
        <v>19322</v>
      </c>
      <c r="G23" s="65">
        <v>23991</v>
      </c>
      <c r="H23" s="65">
        <v>29967</v>
      </c>
      <c r="I23" s="65">
        <v>36306</v>
      </c>
      <c r="J23" s="65">
        <v>44548</v>
      </c>
      <c r="K23" s="65">
        <v>59148</v>
      </c>
      <c r="L23" s="65">
        <v>82794</v>
      </c>
      <c r="M23" s="65">
        <v>88622</v>
      </c>
      <c r="N23" s="65">
        <v>96.3</v>
      </c>
    </row>
    <row r="24" spans="1:14" x14ac:dyDescent="0.25">
      <c r="A24" s="64" t="s">
        <v>13</v>
      </c>
      <c r="B24" s="65">
        <v>1.7</v>
      </c>
      <c r="C24" s="65">
        <v>3219</v>
      </c>
      <c r="D24" s="65">
        <v>14888</v>
      </c>
      <c r="E24" s="65">
        <v>19361</v>
      </c>
      <c r="F24" s="65">
        <v>23110</v>
      </c>
      <c r="G24" s="65">
        <v>26653</v>
      </c>
      <c r="H24" s="65">
        <v>30999</v>
      </c>
      <c r="I24" s="65">
        <v>39033</v>
      </c>
      <c r="J24" s="65">
        <v>46881</v>
      </c>
      <c r="K24" s="65">
        <v>58301</v>
      </c>
      <c r="L24" s="65">
        <v>77284</v>
      </c>
      <c r="M24" s="65">
        <v>85314</v>
      </c>
      <c r="N24" s="65">
        <v>98.3</v>
      </c>
    </row>
    <row r="25" spans="1:14" x14ac:dyDescent="0.25">
      <c r="A25" s="64" t="s">
        <v>14</v>
      </c>
      <c r="B25" s="65">
        <v>1.9</v>
      </c>
      <c r="C25" s="65">
        <v>2815</v>
      </c>
      <c r="D25" s="65">
        <v>13795</v>
      </c>
      <c r="E25" s="65">
        <v>17011</v>
      </c>
      <c r="F25" s="65">
        <v>20004</v>
      </c>
      <c r="G25" s="65">
        <v>23828</v>
      </c>
      <c r="H25" s="65">
        <v>29400</v>
      </c>
      <c r="I25" s="65">
        <v>38832</v>
      </c>
      <c r="J25" s="65">
        <v>48269</v>
      </c>
      <c r="K25" s="65">
        <v>62610</v>
      </c>
      <c r="L25" s="65">
        <v>85132</v>
      </c>
      <c r="M25" s="65">
        <v>89859</v>
      </c>
      <c r="N25" s="65">
        <v>94</v>
      </c>
    </row>
    <row r="26" spans="1:14" x14ac:dyDescent="0.25">
      <c r="A26" s="64" t="s">
        <v>166</v>
      </c>
      <c r="B26" s="65">
        <v>2.4</v>
      </c>
      <c r="C26" s="65">
        <v>3912</v>
      </c>
      <c r="D26" s="65">
        <v>14533</v>
      </c>
      <c r="E26" s="65">
        <v>18047</v>
      </c>
      <c r="F26" s="65">
        <v>22410</v>
      </c>
      <c r="G26" s="65">
        <v>28152</v>
      </c>
      <c r="H26" s="65">
        <v>40513</v>
      </c>
      <c r="I26" s="65">
        <v>58501</v>
      </c>
      <c r="J26" s="65">
        <v>70216</v>
      </c>
      <c r="K26" s="65">
        <v>80117</v>
      </c>
      <c r="L26" s="65">
        <v>103869</v>
      </c>
      <c r="M26" s="65">
        <v>111368</v>
      </c>
      <c r="N26" s="65">
        <v>96.9</v>
      </c>
    </row>
    <row r="27" spans="1:14" x14ac:dyDescent="0.25">
      <c r="A27" s="64" t="s">
        <v>16</v>
      </c>
      <c r="B27" s="65">
        <v>2.8</v>
      </c>
      <c r="C27" s="65">
        <v>4614</v>
      </c>
      <c r="D27" s="65">
        <v>15022</v>
      </c>
      <c r="E27" s="65">
        <v>19219</v>
      </c>
      <c r="F27" s="65">
        <v>23740</v>
      </c>
      <c r="G27" s="65">
        <v>29490</v>
      </c>
      <c r="H27" s="65">
        <v>38792</v>
      </c>
      <c r="I27" s="65">
        <v>48490</v>
      </c>
      <c r="J27" s="65">
        <v>61144</v>
      </c>
      <c r="K27" s="65">
        <v>84233</v>
      </c>
      <c r="L27" s="65">
        <v>118106</v>
      </c>
      <c r="M27" s="65">
        <v>127336</v>
      </c>
      <c r="N27" s="65">
        <v>96.6</v>
      </c>
    </row>
    <row r="28" spans="1:14" x14ac:dyDescent="0.25">
      <c r="A28" s="64" t="s">
        <v>167</v>
      </c>
      <c r="B28" s="65">
        <v>2.2999999999999998</v>
      </c>
      <c r="C28" s="65">
        <v>5061</v>
      </c>
      <c r="D28" s="65">
        <v>14143</v>
      </c>
      <c r="E28" s="65">
        <v>17664</v>
      </c>
      <c r="F28" s="65">
        <v>21727</v>
      </c>
      <c r="G28" s="65">
        <v>25568</v>
      </c>
      <c r="H28" s="65">
        <v>31653</v>
      </c>
      <c r="I28" s="65">
        <v>40236</v>
      </c>
      <c r="J28" s="65">
        <v>52671</v>
      </c>
      <c r="K28" s="65">
        <v>68314</v>
      </c>
      <c r="L28" s="65">
        <v>91730</v>
      </c>
      <c r="M28" s="65">
        <v>93207</v>
      </c>
      <c r="N28" s="65">
        <v>90.4</v>
      </c>
    </row>
    <row r="29" spans="1:14" x14ac:dyDescent="0.25">
      <c r="A29" s="64" t="s">
        <v>18</v>
      </c>
      <c r="B29" s="65">
        <v>30.3</v>
      </c>
      <c r="C29" s="65">
        <v>119302</v>
      </c>
      <c r="D29" s="65">
        <v>682439</v>
      </c>
      <c r="E29" s="65">
        <v>886390</v>
      </c>
      <c r="F29" s="65">
        <v>1034743</v>
      </c>
      <c r="G29" s="65">
        <v>1178970</v>
      </c>
      <c r="H29" s="65">
        <v>1370135</v>
      </c>
      <c r="I29" s="65">
        <v>1586084</v>
      </c>
      <c r="J29" s="65">
        <v>1817771</v>
      </c>
      <c r="K29" s="65">
        <v>2040280</v>
      </c>
      <c r="L29" s="65">
        <v>2365583</v>
      </c>
      <c r="M29" s="65">
        <v>2527566</v>
      </c>
      <c r="N29" s="65">
        <v>97</v>
      </c>
    </row>
    <row r="30" spans="1:14" x14ac:dyDescent="0.25">
      <c r="A30" s="63" t="s">
        <v>168</v>
      </c>
      <c r="B30" s="182">
        <v>27.4</v>
      </c>
      <c r="C30" s="182">
        <v>58484</v>
      </c>
      <c r="D30" s="182">
        <v>212612</v>
      </c>
      <c r="E30" s="182">
        <v>283980</v>
      </c>
      <c r="F30" s="182">
        <v>349209</v>
      </c>
      <c r="G30" s="182">
        <v>411327</v>
      </c>
      <c r="H30" s="182">
        <v>527488</v>
      </c>
      <c r="I30" s="182">
        <v>674300</v>
      </c>
      <c r="J30" s="182">
        <v>821300</v>
      </c>
      <c r="K30" s="182">
        <v>1018518</v>
      </c>
      <c r="L30" s="182">
        <v>1302864</v>
      </c>
      <c r="M30" s="182">
        <v>1376085</v>
      </c>
      <c r="N30" s="182">
        <v>95.2</v>
      </c>
    </row>
    <row r="31" spans="1:14" x14ac:dyDescent="0.25">
      <c r="A31" s="63" t="s">
        <v>161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</row>
    <row r="32" spans="1:14" x14ac:dyDescent="0.25">
      <c r="A32" s="64" t="s">
        <v>169</v>
      </c>
      <c r="B32" s="65">
        <v>1.4</v>
      </c>
      <c r="C32" s="65">
        <v>3469</v>
      </c>
      <c r="D32" s="65">
        <v>10077</v>
      </c>
      <c r="E32" s="65">
        <v>13060</v>
      </c>
      <c r="F32" s="65">
        <v>17339</v>
      </c>
      <c r="G32" s="65">
        <v>19854</v>
      </c>
      <c r="H32" s="65">
        <v>24267</v>
      </c>
      <c r="I32" s="65">
        <v>28832</v>
      </c>
      <c r="J32" s="65">
        <v>34827</v>
      </c>
      <c r="K32" s="65">
        <v>41343</v>
      </c>
      <c r="L32" s="65">
        <v>50775</v>
      </c>
      <c r="M32" s="65">
        <v>53440</v>
      </c>
      <c r="N32" s="65">
        <v>95.2</v>
      </c>
    </row>
    <row r="33" spans="1:14" x14ac:dyDescent="0.25">
      <c r="A33" s="64" t="s">
        <v>20</v>
      </c>
      <c r="B33" s="65">
        <v>2.2999999999999998</v>
      </c>
      <c r="C33" s="65">
        <v>4337</v>
      </c>
      <c r="D33" s="65">
        <v>19265</v>
      </c>
      <c r="E33" s="65">
        <v>30541</v>
      </c>
      <c r="F33" s="65">
        <v>36721</v>
      </c>
      <c r="G33" s="65">
        <v>44481</v>
      </c>
      <c r="H33" s="65">
        <v>55559</v>
      </c>
      <c r="I33" s="65">
        <v>68273</v>
      </c>
      <c r="J33" s="65">
        <v>82144</v>
      </c>
      <c r="K33" s="65">
        <v>98184</v>
      </c>
      <c r="L33" s="65">
        <v>114568</v>
      </c>
      <c r="M33" s="65">
        <v>111991</v>
      </c>
      <c r="N33" s="65">
        <v>88</v>
      </c>
    </row>
    <row r="34" spans="1:14" x14ac:dyDescent="0.25">
      <c r="A34" s="64" t="s">
        <v>170</v>
      </c>
      <c r="B34" s="65">
        <v>2.4</v>
      </c>
      <c r="C34" s="65">
        <v>4706</v>
      </c>
      <c r="D34" s="65">
        <v>16342</v>
      </c>
      <c r="E34" s="65">
        <v>24233</v>
      </c>
      <c r="F34" s="65">
        <v>29412</v>
      </c>
      <c r="G34" s="65">
        <v>35696</v>
      </c>
      <c r="H34" s="65">
        <v>43868</v>
      </c>
      <c r="I34" s="65">
        <v>53824</v>
      </c>
      <c r="J34" s="65">
        <v>64708</v>
      </c>
      <c r="K34" s="65">
        <v>77511</v>
      </c>
      <c r="L34" s="65">
        <v>100122</v>
      </c>
      <c r="M34" s="65">
        <v>108995</v>
      </c>
      <c r="N34" s="65">
        <v>98.1</v>
      </c>
    </row>
    <row r="35" spans="1:14" x14ac:dyDescent="0.25">
      <c r="A35" s="64" t="s">
        <v>171</v>
      </c>
      <c r="B35" s="183">
        <v>0.1</v>
      </c>
      <c r="C35" s="183">
        <v>133</v>
      </c>
      <c r="D35" s="183">
        <v>536</v>
      </c>
      <c r="E35" s="183">
        <v>875</v>
      </c>
      <c r="F35" s="183">
        <v>1084</v>
      </c>
      <c r="G35" s="183">
        <v>1371</v>
      </c>
      <c r="H35" s="183">
        <v>1633</v>
      </c>
      <c r="I35" s="183">
        <v>2140</v>
      </c>
      <c r="J35" s="183">
        <v>2650</v>
      </c>
      <c r="K35" s="183">
        <v>3333</v>
      </c>
      <c r="L35" s="183">
        <v>3946</v>
      </c>
      <c r="M35" s="183">
        <v>4453</v>
      </c>
      <c r="N35" s="183">
        <v>107.6</v>
      </c>
    </row>
    <row r="36" spans="1:14" x14ac:dyDescent="0.25">
      <c r="A36" s="64" t="s">
        <v>172</v>
      </c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</row>
    <row r="37" spans="1:14" x14ac:dyDescent="0.25">
      <c r="A37" s="64" t="s">
        <v>22</v>
      </c>
      <c r="B37" s="65">
        <v>2</v>
      </c>
      <c r="C37" s="65">
        <v>4335</v>
      </c>
      <c r="D37" s="65">
        <v>13811</v>
      </c>
      <c r="E37" s="65">
        <v>18245</v>
      </c>
      <c r="F37" s="65">
        <v>22225</v>
      </c>
      <c r="G37" s="65">
        <v>26818</v>
      </c>
      <c r="H37" s="65">
        <v>31461</v>
      </c>
      <c r="I37" s="65">
        <v>35473</v>
      </c>
      <c r="J37" s="65">
        <v>44860</v>
      </c>
      <c r="K37" s="65">
        <v>57105</v>
      </c>
      <c r="L37" s="65">
        <v>70845</v>
      </c>
      <c r="M37" s="65">
        <v>69621</v>
      </c>
      <c r="N37" s="65">
        <v>89.4</v>
      </c>
    </row>
    <row r="38" spans="1:14" x14ac:dyDescent="0.25">
      <c r="A38" s="64" t="s">
        <v>23</v>
      </c>
      <c r="B38" s="65">
        <v>1.5</v>
      </c>
      <c r="C38" s="65">
        <v>2839</v>
      </c>
      <c r="D38" s="65">
        <v>13007</v>
      </c>
      <c r="E38" s="65">
        <v>16746</v>
      </c>
      <c r="F38" s="65">
        <v>19655</v>
      </c>
      <c r="G38" s="65">
        <v>23065</v>
      </c>
      <c r="H38" s="65">
        <v>28822</v>
      </c>
      <c r="I38" s="65">
        <v>36531</v>
      </c>
      <c r="J38" s="65">
        <v>44555</v>
      </c>
      <c r="K38" s="65">
        <v>57660</v>
      </c>
      <c r="L38" s="65">
        <v>76299</v>
      </c>
      <c r="M38" s="65">
        <v>85951</v>
      </c>
      <c r="N38" s="65">
        <v>101.5</v>
      </c>
    </row>
    <row r="39" spans="1:14" x14ac:dyDescent="0.25">
      <c r="A39" s="64" t="s">
        <v>173</v>
      </c>
      <c r="B39" s="65">
        <v>2.4</v>
      </c>
      <c r="C39" s="65">
        <v>4959</v>
      </c>
      <c r="D39" s="65">
        <v>15854</v>
      </c>
      <c r="E39" s="65">
        <v>21578</v>
      </c>
      <c r="F39" s="65">
        <v>26653</v>
      </c>
      <c r="G39" s="65">
        <v>30924</v>
      </c>
      <c r="H39" s="65">
        <v>46000</v>
      </c>
      <c r="I39" s="65">
        <v>62653</v>
      </c>
      <c r="J39" s="65">
        <v>79166</v>
      </c>
      <c r="K39" s="65">
        <v>100218</v>
      </c>
      <c r="L39" s="65">
        <v>121216</v>
      </c>
      <c r="M39" s="65">
        <v>132244</v>
      </c>
      <c r="N39" s="65">
        <v>98.2</v>
      </c>
    </row>
    <row r="40" spans="1:14" x14ac:dyDescent="0.25">
      <c r="A40" s="64" t="s">
        <v>174</v>
      </c>
      <c r="B40" s="65">
        <v>1.9</v>
      </c>
      <c r="C40" s="65">
        <v>4512</v>
      </c>
      <c r="D40" s="65">
        <v>20489</v>
      </c>
      <c r="E40" s="65">
        <v>25000</v>
      </c>
      <c r="F40" s="65">
        <v>29172</v>
      </c>
      <c r="G40" s="65">
        <v>34204</v>
      </c>
      <c r="H40" s="65">
        <v>39312</v>
      </c>
      <c r="I40" s="65">
        <v>45643</v>
      </c>
      <c r="J40" s="65">
        <v>53115</v>
      </c>
      <c r="K40" s="65">
        <v>65165</v>
      </c>
      <c r="L40" s="65">
        <v>84266</v>
      </c>
      <c r="M40" s="65">
        <v>92058</v>
      </c>
      <c r="N40" s="65">
        <v>97</v>
      </c>
    </row>
    <row r="41" spans="1:14" x14ac:dyDescent="0.25">
      <c r="A41" s="64" t="s">
        <v>175</v>
      </c>
      <c r="B41" s="65">
        <v>1.2</v>
      </c>
      <c r="C41" s="65">
        <v>2387</v>
      </c>
      <c r="D41" s="65">
        <v>9257</v>
      </c>
      <c r="E41" s="65">
        <v>11448</v>
      </c>
      <c r="F41" s="65">
        <v>13453</v>
      </c>
      <c r="G41" s="65">
        <v>15562</v>
      </c>
      <c r="H41" s="65">
        <v>18338</v>
      </c>
      <c r="I41" s="65">
        <v>22317</v>
      </c>
      <c r="J41" s="65">
        <v>27391</v>
      </c>
      <c r="K41" s="65">
        <v>34403</v>
      </c>
      <c r="L41" s="65">
        <v>48130</v>
      </c>
      <c r="M41" s="65">
        <v>54284</v>
      </c>
      <c r="N41" s="65">
        <v>102.9</v>
      </c>
    </row>
    <row r="42" spans="1:14" x14ac:dyDescent="0.25">
      <c r="A42" s="64" t="s">
        <v>27</v>
      </c>
      <c r="B42" s="65">
        <v>1.2</v>
      </c>
      <c r="C42" s="65">
        <v>1857</v>
      </c>
      <c r="D42" s="65">
        <v>8017</v>
      </c>
      <c r="E42" s="65">
        <v>10799</v>
      </c>
      <c r="F42" s="65">
        <v>15275</v>
      </c>
      <c r="G42" s="65">
        <v>18844</v>
      </c>
      <c r="H42" s="65">
        <v>23967</v>
      </c>
      <c r="I42" s="65">
        <v>28248</v>
      </c>
      <c r="J42" s="65">
        <v>33161</v>
      </c>
      <c r="K42" s="65">
        <v>39002</v>
      </c>
      <c r="L42" s="65">
        <v>50929</v>
      </c>
      <c r="M42" s="65">
        <v>52740</v>
      </c>
      <c r="N42" s="65">
        <v>94.4</v>
      </c>
    </row>
    <row r="43" spans="1:14" x14ac:dyDescent="0.25">
      <c r="A43" s="64" t="s">
        <v>176</v>
      </c>
      <c r="B43" s="65">
        <v>11.1</v>
      </c>
      <c r="C43" s="65">
        <v>25083</v>
      </c>
      <c r="D43" s="65">
        <v>86493</v>
      </c>
      <c r="E43" s="65">
        <v>112330</v>
      </c>
      <c r="F43" s="65">
        <v>139303</v>
      </c>
      <c r="G43" s="65">
        <v>161878</v>
      </c>
      <c r="H43" s="65">
        <v>215893</v>
      </c>
      <c r="I43" s="65">
        <v>292504</v>
      </c>
      <c r="J43" s="65">
        <v>357373</v>
      </c>
      <c r="K43" s="65">
        <v>447928</v>
      </c>
      <c r="L43" s="65">
        <v>585715</v>
      </c>
      <c r="M43" s="65">
        <v>614760</v>
      </c>
      <c r="N43" s="65">
        <v>94.6</v>
      </c>
    </row>
    <row r="44" spans="1:14" x14ac:dyDescent="0.25">
      <c r="A44" s="63" t="s">
        <v>177</v>
      </c>
      <c r="B44" s="182">
        <v>32.700000000000003</v>
      </c>
      <c r="C44" s="182">
        <v>38619</v>
      </c>
      <c r="D44" s="182">
        <v>231208</v>
      </c>
      <c r="E44" s="182">
        <v>304795</v>
      </c>
      <c r="F44" s="182">
        <v>391606</v>
      </c>
      <c r="G44" s="182">
        <v>486860</v>
      </c>
      <c r="H44" s="182">
        <v>628422</v>
      </c>
      <c r="I44" s="182">
        <v>810902</v>
      </c>
      <c r="J44" s="182">
        <v>1006735</v>
      </c>
      <c r="K44" s="182">
        <v>1332598</v>
      </c>
      <c r="L44" s="182">
        <v>1782728</v>
      </c>
      <c r="M44" s="182">
        <v>1941916</v>
      </c>
      <c r="N44" s="182">
        <v>98.2</v>
      </c>
    </row>
    <row r="45" spans="1:14" x14ac:dyDescent="0.25">
      <c r="A45" s="63" t="s">
        <v>161</v>
      </c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</row>
    <row r="46" spans="1:14" x14ac:dyDescent="0.25">
      <c r="A46" s="64" t="s">
        <v>29</v>
      </c>
      <c r="B46" s="65">
        <v>0.7</v>
      </c>
      <c r="C46" s="65">
        <v>890</v>
      </c>
      <c r="D46" s="65">
        <v>4353</v>
      </c>
      <c r="E46" s="65">
        <v>5172</v>
      </c>
      <c r="F46" s="65">
        <v>5695</v>
      </c>
      <c r="G46" s="65">
        <v>6722</v>
      </c>
      <c r="H46" s="65">
        <v>8776</v>
      </c>
      <c r="I46" s="65">
        <v>11111</v>
      </c>
      <c r="J46" s="65">
        <v>13089</v>
      </c>
      <c r="K46" s="65">
        <v>16371</v>
      </c>
      <c r="L46" s="65">
        <v>25645</v>
      </c>
      <c r="M46" s="65">
        <v>31445</v>
      </c>
      <c r="N46" s="65">
        <v>111.7</v>
      </c>
    </row>
    <row r="47" spans="1:14" x14ac:dyDescent="0.25">
      <c r="A47" s="64" t="s">
        <v>37</v>
      </c>
      <c r="B47" s="65">
        <v>2.2000000000000002</v>
      </c>
      <c r="C47" s="65">
        <v>1532</v>
      </c>
      <c r="D47" s="65">
        <v>13851</v>
      </c>
      <c r="E47" s="65">
        <v>17634</v>
      </c>
      <c r="F47" s="65">
        <v>25148</v>
      </c>
      <c r="G47" s="65">
        <v>41052</v>
      </c>
      <c r="H47" s="65">
        <v>58149</v>
      </c>
      <c r="I47" s="65">
        <v>82148</v>
      </c>
      <c r="J47" s="65">
        <v>108645</v>
      </c>
      <c r="K47" s="65">
        <v>146648</v>
      </c>
      <c r="L47" s="65">
        <v>217344</v>
      </c>
      <c r="M47" s="65">
        <v>275129</v>
      </c>
      <c r="N47" s="65">
        <v>110.6</v>
      </c>
    </row>
    <row r="48" spans="1:14" ht="21" x14ac:dyDescent="0.25">
      <c r="A48" s="64" t="s">
        <v>178</v>
      </c>
      <c r="B48" s="65">
        <v>1.8</v>
      </c>
      <c r="C48" s="65">
        <v>98</v>
      </c>
      <c r="D48" s="65">
        <v>1165</v>
      </c>
      <c r="E48" s="65">
        <v>2440</v>
      </c>
      <c r="F48" s="65">
        <v>1957</v>
      </c>
      <c r="G48" s="65">
        <v>2457</v>
      </c>
      <c r="H48" s="65">
        <v>2983</v>
      </c>
      <c r="I48" s="65">
        <v>3358</v>
      </c>
      <c r="J48" s="65">
        <v>4271</v>
      </c>
      <c r="K48" s="65">
        <v>5093</v>
      </c>
      <c r="L48" s="65">
        <v>6606</v>
      </c>
      <c r="M48" s="65">
        <v>7241</v>
      </c>
      <c r="N48" s="65">
        <v>100.9</v>
      </c>
    </row>
    <row r="49" spans="1:14" x14ac:dyDescent="0.25">
      <c r="A49" s="64" t="s">
        <v>42</v>
      </c>
      <c r="B49" s="65">
        <v>1.3</v>
      </c>
      <c r="C49" s="65">
        <v>1248</v>
      </c>
      <c r="D49" s="65">
        <v>6400</v>
      </c>
      <c r="E49" s="65">
        <v>8878</v>
      </c>
      <c r="F49" s="65">
        <v>12126</v>
      </c>
      <c r="G49" s="65">
        <v>15205</v>
      </c>
      <c r="H49" s="65">
        <v>18684</v>
      </c>
      <c r="I49" s="65">
        <v>23435</v>
      </c>
      <c r="J49" s="65">
        <v>28401</v>
      </c>
      <c r="K49" s="65">
        <v>35549</v>
      </c>
      <c r="L49" s="65">
        <v>47968</v>
      </c>
      <c r="M49" s="65">
        <v>54901</v>
      </c>
      <c r="N49" s="65">
        <v>102.1</v>
      </c>
    </row>
    <row r="50" spans="1:14" x14ac:dyDescent="0.25">
      <c r="A50" s="64" t="s">
        <v>30</v>
      </c>
      <c r="B50" s="65">
        <v>0.4</v>
      </c>
      <c r="C50" s="65">
        <v>290</v>
      </c>
      <c r="D50" s="65">
        <v>1491</v>
      </c>
      <c r="E50" s="65">
        <v>2069</v>
      </c>
      <c r="F50" s="65">
        <v>2247</v>
      </c>
      <c r="G50" s="65">
        <v>2443</v>
      </c>
      <c r="H50" s="65">
        <v>3001</v>
      </c>
      <c r="I50" s="65">
        <v>3878</v>
      </c>
      <c r="J50" s="65">
        <v>5175</v>
      </c>
      <c r="K50" s="65">
        <v>6125</v>
      </c>
      <c r="L50" s="65">
        <v>7368</v>
      </c>
      <c r="M50" s="65">
        <v>8488</v>
      </c>
      <c r="N50" s="65">
        <v>104.3</v>
      </c>
    </row>
    <row r="51" spans="1:14" x14ac:dyDescent="0.25">
      <c r="A51" s="64" t="s">
        <v>39</v>
      </c>
      <c r="B51" s="65">
        <v>0.5</v>
      </c>
      <c r="C51" s="65">
        <v>538</v>
      </c>
      <c r="D51" s="65">
        <v>3372</v>
      </c>
      <c r="E51" s="65">
        <v>4061</v>
      </c>
      <c r="F51" s="65">
        <v>5532</v>
      </c>
      <c r="G51" s="65">
        <v>7454</v>
      </c>
      <c r="H51" s="65">
        <v>9601</v>
      </c>
      <c r="I51" s="65">
        <v>12510</v>
      </c>
      <c r="J51" s="65">
        <v>15712</v>
      </c>
      <c r="K51" s="65">
        <v>18045</v>
      </c>
      <c r="L51" s="65">
        <v>22575</v>
      </c>
      <c r="M51" s="65">
        <v>25306</v>
      </c>
      <c r="N51" s="65">
        <v>99.8</v>
      </c>
    </row>
    <row r="52" spans="1:14" x14ac:dyDescent="0.25">
      <c r="A52" s="64" t="s">
        <v>179</v>
      </c>
      <c r="B52" s="65">
        <v>0.8</v>
      </c>
      <c r="C52" s="65">
        <v>1165</v>
      </c>
      <c r="D52" s="65">
        <v>6493</v>
      </c>
      <c r="E52" s="65">
        <v>8019</v>
      </c>
      <c r="F52" s="65">
        <v>9182</v>
      </c>
      <c r="G52" s="65">
        <v>10538</v>
      </c>
      <c r="H52" s="65">
        <v>12668</v>
      </c>
      <c r="I52" s="65">
        <v>17105</v>
      </c>
      <c r="J52" s="65">
        <v>23094</v>
      </c>
      <c r="K52" s="65">
        <v>28836</v>
      </c>
      <c r="L52" s="65">
        <v>38611</v>
      </c>
      <c r="M52" s="65">
        <v>44691</v>
      </c>
      <c r="N52" s="65">
        <v>103.7</v>
      </c>
    </row>
    <row r="53" spans="1:14" ht="21" x14ac:dyDescent="0.25">
      <c r="A53" s="64" t="s">
        <v>180</v>
      </c>
      <c r="B53" s="65">
        <v>1.8</v>
      </c>
      <c r="C53" s="65">
        <v>170</v>
      </c>
      <c r="D53" s="65" t="s">
        <v>92</v>
      </c>
      <c r="E53" s="65" t="s">
        <v>92</v>
      </c>
      <c r="F53" s="65" t="s">
        <v>92</v>
      </c>
      <c r="G53" s="65" t="s">
        <v>92</v>
      </c>
      <c r="H53" s="65">
        <v>9086</v>
      </c>
      <c r="I53" s="65">
        <v>11704</v>
      </c>
      <c r="J53" s="65">
        <v>10398</v>
      </c>
      <c r="K53" s="65">
        <v>15715</v>
      </c>
      <c r="L53" s="65">
        <v>25176</v>
      </c>
      <c r="M53" s="65">
        <v>31142</v>
      </c>
      <c r="N53" s="65">
        <v>109.3</v>
      </c>
    </row>
    <row r="54" spans="1:14" x14ac:dyDescent="0.25">
      <c r="A54" s="64" t="s">
        <v>32</v>
      </c>
      <c r="B54" s="65">
        <v>7.9</v>
      </c>
      <c r="C54" s="65">
        <v>11543</v>
      </c>
      <c r="D54" s="65">
        <v>62145</v>
      </c>
      <c r="E54" s="65">
        <v>82886</v>
      </c>
      <c r="F54" s="65">
        <v>109908</v>
      </c>
      <c r="G54" s="65">
        <v>134355</v>
      </c>
      <c r="H54" s="65">
        <v>167382</v>
      </c>
      <c r="I54" s="65">
        <v>214121</v>
      </c>
      <c r="J54" s="65">
        <v>274693</v>
      </c>
      <c r="K54" s="65">
        <v>378338</v>
      </c>
      <c r="L54" s="65">
        <v>500693</v>
      </c>
      <c r="M54" s="65">
        <v>552354</v>
      </c>
      <c r="N54" s="65">
        <v>100.5</v>
      </c>
    </row>
    <row r="55" spans="1:14" x14ac:dyDescent="0.25">
      <c r="A55" s="64" t="s">
        <v>41</v>
      </c>
      <c r="B55" s="65">
        <v>4.5</v>
      </c>
      <c r="C55" s="65">
        <v>5459</v>
      </c>
      <c r="D55" s="65">
        <v>30418</v>
      </c>
      <c r="E55" s="65">
        <v>39461</v>
      </c>
      <c r="F55" s="65">
        <v>49904</v>
      </c>
      <c r="G55" s="65">
        <v>60488</v>
      </c>
      <c r="H55" s="65">
        <v>79870</v>
      </c>
      <c r="I55" s="65">
        <v>101378</v>
      </c>
      <c r="J55" s="65">
        <v>123896</v>
      </c>
      <c r="K55" s="65">
        <v>158713</v>
      </c>
      <c r="L55" s="65">
        <v>203557</v>
      </c>
      <c r="M55" s="65">
        <v>228960</v>
      </c>
      <c r="N55" s="65">
        <v>101</v>
      </c>
    </row>
    <row r="56" spans="1:14" x14ac:dyDescent="0.25">
      <c r="A56" s="64" t="s">
        <v>33</v>
      </c>
      <c r="B56" s="65">
        <v>1.5</v>
      </c>
      <c r="C56" s="65">
        <v>2232</v>
      </c>
      <c r="D56" s="65">
        <v>10993</v>
      </c>
      <c r="E56" s="65">
        <v>14371</v>
      </c>
      <c r="F56" s="65">
        <v>17758</v>
      </c>
      <c r="G56" s="65">
        <v>21741</v>
      </c>
      <c r="H56" s="65">
        <v>25936</v>
      </c>
      <c r="I56" s="65">
        <v>32864</v>
      </c>
      <c r="J56" s="65">
        <v>42088</v>
      </c>
      <c r="K56" s="65">
        <v>55956</v>
      </c>
      <c r="L56" s="65">
        <v>77665</v>
      </c>
      <c r="M56" s="65">
        <v>83906</v>
      </c>
      <c r="N56" s="65">
        <v>97.9</v>
      </c>
    </row>
    <row r="57" spans="1:14" x14ac:dyDescent="0.25">
      <c r="A57" s="64" t="s">
        <v>34</v>
      </c>
      <c r="B57" s="65">
        <v>4</v>
      </c>
      <c r="C57" s="65">
        <v>5406</v>
      </c>
      <c r="D57" s="65">
        <v>29938</v>
      </c>
      <c r="E57" s="65">
        <v>39185</v>
      </c>
      <c r="F57" s="65">
        <v>50198</v>
      </c>
      <c r="G57" s="65">
        <v>61837</v>
      </c>
      <c r="H57" s="65">
        <v>80031</v>
      </c>
      <c r="I57" s="65">
        <v>101536</v>
      </c>
      <c r="J57" s="65">
        <v>117868</v>
      </c>
      <c r="K57" s="65">
        <v>147708</v>
      </c>
      <c r="L57" s="65">
        <v>186094</v>
      </c>
      <c r="M57" s="65">
        <v>201676</v>
      </c>
      <c r="N57" s="65">
        <v>98.5</v>
      </c>
    </row>
    <row r="58" spans="1:14" x14ac:dyDescent="0.25">
      <c r="A58" s="64" t="s">
        <v>35</v>
      </c>
      <c r="B58" s="65">
        <v>7.1</v>
      </c>
      <c r="C58" s="65">
        <v>8048</v>
      </c>
      <c r="D58" s="65">
        <v>60589</v>
      </c>
      <c r="E58" s="65">
        <v>80619</v>
      </c>
      <c r="F58" s="65">
        <v>101952</v>
      </c>
      <c r="G58" s="65">
        <v>122568</v>
      </c>
      <c r="H58" s="65">
        <v>152255</v>
      </c>
      <c r="I58" s="65">
        <v>195754</v>
      </c>
      <c r="J58" s="65">
        <v>239407</v>
      </c>
      <c r="K58" s="65">
        <v>319501</v>
      </c>
      <c r="L58" s="65">
        <v>423426</v>
      </c>
      <c r="M58" s="65">
        <v>396677</v>
      </c>
      <c r="N58" s="65">
        <v>84.7</v>
      </c>
    </row>
    <row r="59" spans="1:14" x14ac:dyDescent="0.25">
      <c r="A59" s="63" t="s">
        <v>181</v>
      </c>
      <c r="B59" s="182">
        <v>45.9</v>
      </c>
      <c r="C59" s="182">
        <v>82172</v>
      </c>
      <c r="D59" s="182">
        <v>387424</v>
      </c>
      <c r="E59" s="182">
        <v>502358</v>
      </c>
      <c r="F59" s="182">
        <v>620259</v>
      </c>
      <c r="G59" s="182">
        <v>755327</v>
      </c>
      <c r="H59" s="182">
        <v>940884</v>
      </c>
      <c r="I59" s="182">
        <v>1190814</v>
      </c>
      <c r="J59" s="182">
        <v>1516694</v>
      </c>
      <c r="K59" s="182">
        <v>1949292</v>
      </c>
      <c r="L59" s="182">
        <v>2556441</v>
      </c>
      <c r="M59" s="182">
        <v>2667447</v>
      </c>
      <c r="N59" s="182">
        <v>95.2</v>
      </c>
    </row>
    <row r="60" spans="1:14" x14ac:dyDescent="0.25">
      <c r="A60" s="63" t="s">
        <v>161</v>
      </c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</row>
    <row r="61" spans="1:14" x14ac:dyDescent="0.25">
      <c r="A61" s="64" t="s">
        <v>44</v>
      </c>
      <c r="B61" s="65">
        <v>5.7</v>
      </c>
      <c r="C61" s="65">
        <v>8654</v>
      </c>
      <c r="D61" s="65">
        <v>49400</v>
      </c>
      <c r="E61" s="65">
        <v>65663</v>
      </c>
      <c r="F61" s="65">
        <v>82048</v>
      </c>
      <c r="G61" s="65">
        <v>103785</v>
      </c>
      <c r="H61" s="65">
        <v>133568</v>
      </c>
      <c r="I61" s="65">
        <v>177377</v>
      </c>
      <c r="J61" s="65">
        <v>239124</v>
      </c>
      <c r="K61" s="65">
        <v>323421</v>
      </c>
      <c r="L61" s="65">
        <v>428900</v>
      </c>
      <c r="M61" s="65">
        <v>458949</v>
      </c>
      <c r="N61" s="65">
        <v>98</v>
      </c>
    </row>
    <row r="62" spans="1:14" x14ac:dyDescent="0.25">
      <c r="A62" s="64" t="s">
        <v>182</v>
      </c>
      <c r="B62" s="65">
        <v>0.9</v>
      </c>
      <c r="C62" s="65">
        <v>1414</v>
      </c>
      <c r="D62" s="65">
        <v>5175</v>
      </c>
      <c r="E62" s="65">
        <v>6269</v>
      </c>
      <c r="F62" s="65">
        <v>7622</v>
      </c>
      <c r="G62" s="65">
        <v>8951</v>
      </c>
      <c r="H62" s="65">
        <v>10787</v>
      </c>
      <c r="I62" s="65">
        <v>13953</v>
      </c>
      <c r="J62" s="65">
        <v>20305</v>
      </c>
      <c r="K62" s="65">
        <v>26330</v>
      </c>
      <c r="L62" s="65">
        <v>36189</v>
      </c>
      <c r="M62" s="65">
        <v>39925</v>
      </c>
      <c r="N62" s="65">
        <v>100.1</v>
      </c>
    </row>
    <row r="63" spans="1:14" x14ac:dyDescent="0.25">
      <c r="A63" s="64" t="s">
        <v>183</v>
      </c>
      <c r="B63" s="65">
        <v>1.2</v>
      </c>
      <c r="C63" s="65">
        <v>1820</v>
      </c>
      <c r="D63" s="65">
        <v>6637</v>
      </c>
      <c r="E63" s="65">
        <v>8088</v>
      </c>
      <c r="F63" s="65">
        <v>9586</v>
      </c>
      <c r="G63" s="65">
        <v>12351</v>
      </c>
      <c r="H63" s="65">
        <v>15278</v>
      </c>
      <c r="I63" s="65">
        <v>18618</v>
      </c>
      <c r="J63" s="65">
        <v>22466</v>
      </c>
      <c r="K63" s="65">
        <v>29179</v>
      </c>
      <c r="L63" s="65">
        <v>39520</v>
      </c>
      <c r="M63" s="65">
        <v>44934</v>
      </c>
      <c r="N63" s="65">
        <v>100.8</v>
      </c>
    </row>
    <row r="64" spans="1:14" x14ac:dyDescent="0.25">
      <c r="A64" s="64" t="s">
        <v>47</v>
      </c>
      <c r="B64" s="65">
        <v>5.0999999999999996</v>
      </c>
      <c r="C64" s="65">
        <v>9192</v>
      </c>
      <c r="D64" s="65">
        <v>44815</v>
      </c>
      <c r="E64" s="65">
        <v>61218</v>
      </c>
      <c r="F64" s="65">
        <v>74577</v>
      </c>
      <c r="G64" s="65">
        <v>96970</v>
      </c>
      <c r="H64" s="65">
        <v>121737</v>
      </c>
      <c r="I64" s="65">
        <v>161441</v>
      </c>
      <c r="J64" s="65">
        <v>213946</v>
      </c>
      <c r="K64" s="65">
        <v>276459</v>
      </c>
      <c r="L64" s="65">
        <v>369299</v>
      </c>
      <c r="M64" s="65">
        <v>393904</v>
      </c>
      <c r="N64" s="65">
        <v>97.9</v>
      </c>
    </row>
    <row r="65" spans="1:14" x14ac:dyDescent="0.25">
      <c r="A65" s="64" t="s">
        <v>48</v>
      </c>
      <c r="B65" s="65">
        <v>2.2999999999999998</v>
      </c>
      <c r="C65" s="65">
        <v>4397</v>
      </c>
      <c r="D65" s="65">
        <v>15138</v>
      </c>
      <c r="E65" s="65">
        <v>18968</v>
      </c>
      <c r="F65" s="65">
        <v>22781</v>
      </c>
      <c r="G65" s="65">
        <v>26321</v>
      </c>
      <c r="H65" s="65">
        <v>31793</v>
      </c>
      <c r="I65" s="65">
        <v>39089</v>
      </c>
      <c r="J65" s="65">
        <v>50247</v>
      </c>
      <c r="K65" s="65">
        <v>65900</v>
      </c>
      <c r="L65" s="65">
        <v>92481</v>
      </c>
      <c r="M65" s="65">
        <v>98101</v>
      </c>
      <c r="N65" s="65">
        <v>95</v>
      </c>
    </row>
    <row r="66" spans="1:14" x14ac:dyDescent="0.25">
      <c r="A66" s="64" t="s">
        <v>49</v>
      </c>
      <c r="B66" s="65">
        <v>1.7</v>
      </c>
      <c r="C66" s="65">
        <v>3420</v>
      </c>
      <c r="D66" s="65">
        <v>9917</v>
      </c>
      <c r="E66" s="65">
        <v>13338</v>
      </c>
      <c r="F66" s="65">
        <v>15769</v>
      </c>
      <c r="G66" s="65">
        <v>19603</v>
      </c>
      <c r="H66" s="65">
        <v>23805</v>
      </c>
      <c r="I66" s="65">
        <v>29806</v>
      </c>
      <c r="J66" s="65">
        <v>37213</v>
      </c>
      <c r="K66" s="65">
        <v>48352</v>
      </c>
      <c r="L66" s="65">
        <v>67727</v>
      </c>
      <c r="M66" s="65">
        <v>72596</v>
      </c>
      <c r="N66" s="65">
        <v>99.3</v>
      </c>
    </row>
    <row r="67" spans="1:14" x14ac:dyDescent="0.25">
      <c r="A67" s="64" t="s">
        <v>50</v>
      </c>
      <c r="B67" s="65">
        <v>4.4000000000000004</v>
      </c>
      <c r="C67" s="65">
        <v>9335</v>
      </c>
      <c r="D67" s="65">
        <v>40460</v>
      </c>
      <c r="E67" s="65">
        <v>54225</v>
      </c>
      <c r="F67" s="65">
        <v>68144</v>
      </c>
      <c r="G67" s="65">
        <v>83796</v>
      </c>
      <c r="H67" s="65">
        <v>101149</v>
      </c>
      <c r="I67" s="65">
        <v>130236</v>
      </c>
      <c r="J67" s="65">
        <v>178031</v>
      </c>
      <c r="K67" s="65">
        <v>220407</v>
      </c>
      <c r="L67" s="65">
        <v>278260</v>
      </c>
      <c r="M67" s="65">
        <v>290196</v>
      </c>
      <c r="N67" s="65">
        <v>93.8</v>
      </c>
    </row>
    <row r="68" spans="1:14" x14ac:dyDescent="0.25">
      <c r="A68" s="64" t="s">
        <v>184</v>
      </c>
      <c r="B68" s="65">
        <v>2.2999999999999998</v>
      </c>
      <c r="C68" s="65">
        <v>5121</v>
      </c>
      <c r="D68" s="65">
        <v>13823</v>
      </c>
      <c r="E68" s="65">
        <v>16800</v>
      </c>
      <c r="F68" s="65">
        <v>22079</v>
      </c>
      <c r="G68" s="65">
        <v>24650</v>
      </c>
      <c r="H68" s="65">
        <v>30238</v>
      </c>
      <c r="I68" s="65">
        <v>36334</v>
      </c>
      <c r="J68" s="65">
        <v>43930</v>
      </c>
      <c r="K68" s="65">
        <v>57627</v>
      </c>
      <c r="L68" s="65">
        <v>78139</v>
      </c>
      <c r="M68" s="65">
        <v>79403</v>
      </c>
      <c r="N68" s="65">
        <v>91.8</v>
      </c>
    </row>
    <row r="69" spans="1:14" x14ac:dyDescent="0.25">
      <c r="A69" s="64" t="s">
        <v>185</v>
      </c>
      <c r="B69" s="65">
        <v>5.8</v>
      </c>
      <c r="C69" s="65">
        <v>8725</v>
      </c>
      <c r="D69" s="65">
        <v>43163</v>
      </c>
      <c r="E69" s="65">
        <v>57513</v>
      </c>
      <c r="F69" s="65">
        <v>74759</v>
      </c>
      <c r="G69" s="65">
        <v>92013</v>
      </c>
      <c r="H69" s="65">
        <v>115731</v>
      </c>
      <c r="I69" s="65">
        <v>139957</v>
      </c>
      <c r="J69" s="65">
        <v>177636</v>
      </c>
      <c r="K69" s="65">
        <v>232306</v>
      </c>
      <c r="L69" s="65">
        <v>314054</v>
      </c>
      <c r="M69" s="65">
        <v>310267</v>
      </c>
      <c r="N69" s="65">
        <v>90</v>
      </c>
    </row>
    <row r="70" spans="1:14" x14ac:dyDescent="0.25">
      <c r="A70" s="64" t="s">
        <v>53</v>
      </c>
      <c r="B70" s="65">
        <v>3</v>
      </c>
      <c r="C70" s="65">
        <v>3331</v>
      </c>
      <c r="D70" s="65">
        <v>17099</v>
      </c>
      <c r="E70" s="65">
        <v>21842</v>
      </c>
      <c r="F70" s="65">
        <v>26007</v>
      </c>
      <c r="G70" s="65">
        <v>30470</v>
      </c>
      <c r="H70" s="65">
        <v>40886</v>
      </c>
      <c r="I70" s="65">
        <v>54409</v>
      </c>
      <c r="J70" s="65">
        <v>69487</v>
      </c>
      <c r="K70" s="65">
        <v>90266</v>
      </c>
      <c r="L70" s="65">
        <v>125959</v>
      </c>
      <c r="M70" s="65">
        <v>136473</v>
      </c>
      <c r="N70" s="65">
        <v>99.7</v>
      </c>
    </row>
    <row r="71" spans="1:14" x14ac:dyDescent="0.25">
      <c r="A71" s="64" t="s">
        <v>54</v>
      </c>
      <c r="B71" s="65">
        <v>2.2000000000000002</v>
      </c>
      <c r="C71" s="65">
        <v>3872</v>
      </c>
      <c r="D71" s="65">
        <v>13763</v>
      </c>
      <c r="E71" s="65">
        <v>17090</v>
      </c>
      <c r="F71" s="65">
        <v>20910</v>
      </c>
      <c r="G71" s="65">
        <v>25184</v>
      </c>
      <c r="H71" s="65">
        <v>32231</v>
      </c>
      <c r="I71" s="65">
        <v>40254</v>
      </c>
      <c r="J71" s="65">
        <v>47514</v>
      </c>
      <c r="K71" s="65">
        <v>73789</v>
      </c>
      <c r="L71" s="65">
        <v>94079</v>
      </c>
      <c r="M71" s="65">
        <v>102889</v>
      </c>
      <c r="N71" s="65">
        <v>98.9</v>
      </c>
    </row>
    <row r="72" spans="1:14" x14ac:dyDescent="0.25">
      <c r="A72" s="64" t="s">
        <v>55</v>
      </c>
      <c r="B72" s="65">
        <v>5.3</v>
      </c>
      <c r="C72" s="65">
        <v>13755</v>
      </c>
      <c r="D72" s="65">
        <v>84411</v>
      </c>
      <c r="E72" s="65">
        <v>107059</v>
      </c>
      <c r="F72" s="65">
        <v>127798</v>
      </c>
      <c r="G72" s="65">
        <v>147999</v>
      </c>
      <c r="H72" s="65">
        <v>182204</v>
      </c>
      <c r="I72" s="65">
        <v>225858</v>
      </c>
      <c r="J72" s="65">
        <v>262912</v>
      </c>
      <c r="K72" s="65">
        <v>312219</v>
      </c>
      <c r="L72" s="65">
        <v>387217</v>
      </c>
      <c r="M72" s="65">
        <v>388484</v>
      </c>
      <c r="N72" s="65">
        <v>91.8</v>
      </c>
    </row>
    <row r="73" spans="1:14" x14ac:dyDescent="0.25">
      <c r="A73" s="64" t="s">
        <v>56</v>
      </c>
      <c r="B73" s="65">
        <v>3.9</v>
      </c>
      <c r="C73" s="65">
        <v>5639</v>
      </c>
      <c r="D73" s="65">
        <v>29408</v>
      </c>
      <c r="E73" s="65">
        <v>36729</v>
      </c>
      <c r="F73" s="65">
        <v>45238</v>
      </c>
      <c r="G73" s="65">
        <v>54470</v>
      </c>
      <c r="H73" s="65">
        <v>67219</v>
      </c>
      <c r="I73" s="65">
        <v>82852</v>
      </c>
      <c r="J73" s="65">
        <v>99902</v>
      </c>
      <c r="K73" s="65">
        <v>121827</v>
      </c>
      <c r="L73" s="65">
        <v>159114</v>
      </c>
      <c r="M73" s="65">
        <v>163531</v>
      </c>
      <c r="N73" s="65">
        <v>94.8</v>
      </c>
    </row>
    <row r="74" spans="1:14" x14ac:dyDescent="0.25">
      <c r="A74" s="64" t="s">
        <v>57</v>
      </c>
      <c r="B74" s="65">
        <v>2.1</v>
      </c>
      <c r="C74" s="65">
        <v>3497</v>
      </c>
      <c r="D74" s="65">
        <v>14216</v>
      </c>
      <c r="E74" s="65">
        <v>17555</v>
      </c>
      <c r="F74" s="65">
        <v>22941</v>
      </c>
      <c r="G74" s="65">
        <v>28764</v>
      </c>
      <c r="H74" s="65">
        <v>34258</v>
      </c>
      <c r="I74" s="65">
        <v>40631</v>
      </c>
      <c r="J74" s="65">
        <v>53983</v>
      </c>
      <c r="K74" s="65">
        <v>71212</v>
      </c>
      <c r="L74" s="65">
        <v>85505</v>
      </c>
      <c r="M74" s="65">
        <v>87795</v>
      </c>
      <c r="N74" s="65">
        <v>93.1</v>
      </c>
    </row>
    <row r="75" spans="1:14" x14ac:dyDescent="0.25">
      <c r="A75" s="63" t="s">
        <v>186</v>
      </c>
      <c r="B75" s="182">
        <v>20.5</v>
      </c>
      <c r="C75" s="182">
        <v>41302</v>
      </c>
      <c r="D75" s="182">
        <v>170163</v>
      </c>
      <c r="E75" s="182">
        <v>231655</v>
      </c>
      <c r="F75" s="182">
        <v>298638</v>
      </c>
      <c r="G75" s="182">
        <v>381196</v>
      </c>
      <c r="H75" s="182">
        <v>493156</v>
      </c>
      <c r="I75" s="182">
        <v>656692</v>
      </c>
      <c r="J75" s="182">
        <v>866635</v>
      </c>
      <c r="K75" s="182">
        <v>1128829</v>
      </c>
      <c r="L75" s="182">
        <v>1494728</v>
      </c>
      <c r="M75" s="182">
        <v>1510796</v>
      </c>
      <c r="N75" s="182">
        <v>91.8</v>
      </c>
    </row>
    <row r="76" spans="1:14" x14ac:dyDescent="0.25">
      <c r="A76" s="63" t="s">
        <v>161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</row>
    <row r="77" spans="1:14" x14ac:dyDescent="0.25">
      <c r="A77" s="64" t="s">
        <v>58</v>
      </c>
      <c r="B77" s="65">
        <v>1.6</v>
      </c>
      <c r="C77" s="65">
        <v>1681</v>
      </c>
      <c r="D77" s="65">
        <v>8490</v>
      </c>
      <c r="E77" s="65">
        <v>11329</v>
      </c>
      <c r="F77" s="65">
        <v>14519</v>
      </c>
      <c r="G77" s="65">
        <v>18091</v>
      </c>
      <c r="H77" s="65">
        <v>23284</v>
      </c>
      <c r="I77" s="65">
        <v>29271</v>
      </c>
      <c r="J77" s="65">
        <v>39879</v>
      </c>
      <c r="K77" s="65">
        <v>54618</v>
      </c>
      <c r="L77" s="65">
        <v>73301</v>
      </c>
      <c r="M77" s="65">
        <v>78739</v>
      </c>
      <c r="N77" s="65">
        <v>97.4</v>
      </c>
    </row>
    <row r="78" spans="1:14" x14ac:dyDescent="0.25">
      <c r="A78" s="64" t="s">
        <v>187</v>
      </c>
      <c r="B78" s="65">
        <v>7.1</v>
      </c>
      <c r="C78" s="65">
        <v>15413</v>
      </c>
      <c r="D78" s="65">
        <v>58666</v>
      </c>
      <c r="E78" s="65">
        <v>80787</v>
      </c>
      <c r="F78" s="65">
        <v>107718</v>
      </c>
      <c r="G78" s="65">
        <v>134139</v>
      </c>
      <c r="H78" s="65">
        <v>179045</v>
      </c>
      <c r="I78" s="65">
        <v>236855</v>
      </c>
      <c r="J78" s="65">
        <v>303376</v>
      </c>
      <c r="K78" s="65">
        <v>401294</v>
      </c>
      <c r="L78" s="65">
        <v>527212</v>
      </c>
      <c r="M78" s="65">
        <v>553186</v>
      </c>
      <c r="N78" s="65">
        <v>95.6</v>
      </c>
    </row>
    <row r="79" spans="1:14" x14ac:dyDescent="0.25">
      <c r="A79" s="64" t="s">
        <v>60</v>
      </c>
      <c r="B79" s="65">
        <v>6.2</v>
      </c>
      <c r="C79" s="65">
        <v>14524</v>
      </c>
      <c r="D79" s="65">
        <v>63359</v>
      </c>
      <c r="E79" s="65">
        <v>86580</v>
      </c>
      <c r="F79" s="65">
        <v>109663</v>
      </c>
      <c r="G79" s="65">
        <v>146362</v>
      </c>
      <c r="H79" s="65">
        <v>186293</v>
      </c>
      <c r="I79" s="65">
        <v>243614</v>
      </c>
      <c r="J79" s="65">
        <v>324694</v>
      </c>
      <c r="K79" s="65">
        <v>421225</v>
      </c>
      <c r="L79" s="65">
        <v>553252</v>
      </c>
      <c r="M79" s="65">
        <v>530566</v>
      </c>
      <c r="N79" s="65">
        <v>86.8</v>
      </c>
    </row>
    <row r="80" spans="1:14" x14ac:dyDescent="0.25">
      <c r="A80" s="64" t="s">
        <v>188</v>
      </c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</row>
    <row r="81" spans="1:14" ht="21" x14ac:dyDescent="0.25">
      <c r="A81" s="64" t="s">
        <v>189</v>
      </c>
      <c r="B81" s="65">
        <v>2.8</v>
      </c>
      <c r="C81" s="65">
        <v>6134</v>
      </c>
      <c r="D81" s="65">
        <v>29464</v>
      </c>
      <c r="E81" s="65">
        <v>41555</v>
      </c>
      <c r="F81" s="65">
        <v>53184</v>
      </c>
      <c r="G81" s="65">
        <v>75724</v>
      </c>
      <c r="H81" s="65">
        <v>98850</v>
      </c>
      <c r="I81" s="65">
        <v>128935</v>
      </c>
      <c r="J81" s="65">
        <v>172428</v>
      </c>
      <c r="K81" s="65">
        <v>223984</v>
      </c>
      <c r="L81" s="65">
        <v>288416</v>
      </c>
      <c r="M81" s="65">
        <v>270553</v>
      </c>
      <c r="N81" s="65">
        <v>83.4</v>
      </c>
    </row>
    <row r="82" spans="1:14" x14ac:dyDescent="0.25">
      <c r="A82" s="64" t="s">
        <v>190</v>
      </c>
      <c r="B82" s="183">
        <v>1.2</v>
      </c>
      <c r="C82" s="183">
        <v>3498</v>
      </c>
      <c r="D82" s="183">
        <v>12999</v>
      </c>
      <c r="E82" s="183">
        <v>17387</v>
      </c>
      <c r="F82" s="183">
        <v>22090</v>
      </c>
      <c r="G82" s="183">
        <v>27021</v>
      </c>
      <c r="H82" s="183">
        <v>34896</v>
      </c>
      <c r="I82" s="183">
        <v>47788</v>
      </c>
      <c r="J82" s="183">
        <v>61973</v>
      </c>
      <c r="K82" s="183">
        <v>78194</v>
      </c>
      <c r="L82" s="183">
        <v>100302</v>
      </c>
      <c r="M82" s="183">
        <v>97327</v>
      </c>
      <c r="N82" s="183">
        <v>89.2</v>
      </c>
    </row>
    <row r="83" spans="1:14" x14ac:dyDescent="0.25">
      <c r="A83" s="64" t="s">
        <v>172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</row>
    <row r="84" spans="1:14" x14ac:dyDescent="0.25">
      <c r="A84" s="64" t="s">
        <v>61</v>
      </c>
      <c r="B84" s="65">
        <v>5.6</v>
      </c>
      <c r="C84" s="65">
        <v>9684</v>
      </c>
      <c r="D84" s="65">
        <v>39648</v>
      </c>
      <c r="E84" s="65">
        <v>52959</v>
      </c>
      <c r="F84" s="65">
        <v>66738</v>
      </c>
      <c r="G84" s="65">
        <v>82603</v>
      </c>
      <c r="H84" s="65">
        <v>104535</v>
      </c>
      <c r="I84" s="65">
        <v>146952</v>
      </c>
      <c r="J84" s="65">
        <v>198686</v>
      </c>
      <c r="K84" s="65">
        <v>251691</v>
      </c>
      <c r="L84" s="65">
        <v>340964</v>
      </c>
      <c r="M84" s="65">
        <v>348304</v>
      </c>
      <c r="N84" s="65">
        <v>93</v>
      </c>
    </row>
    <row r="85" spans="1:14" x14ac:dyDescent="0.25">
      <c r="A85" s="63" t="s">
        <v>191</v>
      </c>
      <c r="B85" s="182">
        <v>32.799999999999997</v>
      </c>
      <c r="C85" s="182">
        <v>69453</v>
      </c>
      <c r="D85" s="182">
        <v>257688</v>
      </c>
      <c r="E85" s="182">
        <v>339771</v>
      </c>
      <c r="F85" s="182">
        <v>429810</v>
      </c>
      <c r="G85" s="182">
        <v>528961</v>
      </c>
      <c r="H85" s="182">
        <v>653544</v>
      </c>
      <c r="I85" s="182">
        <v>820481</v>
      </c>
      <c r="J85" s="182">
        <v>1027581</v>
      </c>
      <c r="K85" s="182">
        <v>1275824</v>
      </c>
      <c r="L85" s="182">
        <v>1613116</v>
      </c>
      <c r="M85" s="182">
        <v>1591535</v>
      </c>
      <c r="N85" s="182">
        <v>89.2</v>
      </c>
    </row>
    <row r="86" spans="1:14" x14ac:dyDescent="0.25">
      <c r="A86" s="63" t="s">
        <v>161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</row>
    <row r="87" spans="1:14" x14ac:dyDescent="0.25">
      <c r="A87" s="64" t="s">
        <v>62</v>
      </c>
      <c r="B87" s="65">
        <v>0.3</v>
      </c>
      <c r="C87" s="65">
        <v>357</v>
      </c>
      <c r="D87" s="65">
        <v>1303</v>
      </c>
      <c r="E87" s="65">
        <v>1779</v>
      </c>
      <c r="F87" s="65">
        <v>2189</v>
      </c>
      <c r="G87" s="65">
        <v>2807</v>
      </c>
      <c r="H87" s="65">
        <v>3352</v>
      </c>
      <c r="I87" s="65">
        <v>3961</v>
      </c>
      <c r="J87" s="65">
        <v>5165</v>
      </c>
      <c r="K87" s="65">
        <v>7303</v>
      </c>
      <c r="L87" s="65">
        <v>10557</v>
      </c>
      <c r="M87" s="65">
        <v>10896</v>
      </c>
      <c r="N87" s="65">
        <v>94.4</v>
      </c>
    </row>
    <row r="88" spans="1:14" x14ac:dyDescent="0.25">
      <c r="A88" s="64" t="s">
        <v>63</v>
      </c>
      <c r="B88" s="65">
        <v>1.6</v>
      </c>
      <c r="C88" s="65">
        <v>3049</v>
      </c>
      <c r="D88" s="65">
        <v>10969</v>
      </c>
      <c r="E88" s="65">
        <v>14546</v>
      </c>
      <c r="F88" s="65">
        <v>18006</v>
      </c>
      <c r="G88" s="65">
        <v>22318</v>
      </c>
      <c r="H88" s="65">
        <v>27745</v>
      </c>
      <c r="I88" s="65">
        <v>35340</v>
      </c>
      <c r="J88" s="65">
        <v>42270</v>
      </c>
      <c r="K88" s="65">
        <v>54455</v>
      </c>
      <c r="L88" s="65">
        <v>68254</v>
      </c>
      <c r="M88" s="65">
        <v>75366</v>
      </c>
      <c r="N88" s="65">
        <v>100.1</v>
      </c>
    </row>
    <row r="89" spans="1:14" x14ac:dyDescent="0.25">
      <c r="A89" s="64" t="s">
        <v>64</v>
      </c>
      <c r="B89" s="65">
        <v>0.4</v>
      </c>
      <c r="C89" s="65">
        <v>508</v>
      </c>
      <c r="D89" s="65">
        <v>1787</v>
      </c>
      <c r="E89" s="65">
        <v>2306</v>
      </c>
      <c r="F89" s="65">
        <v>2910</v>
      </c>
      <c r="G89" s="65">
        <v>3581</v>
      </c>
      <c r="H89" s="65">
        <v>4501</v>
      </c>
      <c r="I89" s="65">
        <v>5598</v>
      </c>
      <c r="J89" s="65">
        <v>6742</v>
      </c>
      <c r="K89" s="65">
        <v>7948</v>
      </c>
      <c r="L89" s="65">
        <v>9348</v>
      </c>
      <c r="M89" s="65">
        <v>10244</v>
      </c>
      <c r="N89" s="65">
        <v>99.4</v>
      </c>
    </row>
    <row r="90" spans="1:14" x14ac:dyDescent="0.25">
      <c r="A90" s="64" t="s">
        <v>65</v>
      </c>
      <c r="B90" s="65">
        <v>0.8</v>
      </c>
      <c r="C90" s="65">
        <v>1501</v>
      </c>
      <c r="D90" s="65">
        <v>5733</v>
      </c>
      <c r="E90" s="65">
        <v>6951</v>
      </c>
      <c r="F90" s="65">
        <v>7733</v>
      </c>
      <c r="G90" s="65">
        <v>9251</v>
      </c>
      <c r="H90" s="65">
        <v>10757</v>
      </c>
      <c r="I90" s="65">
        <v>12241</v>
      </c>
      <c r="J90" s="65">
        <v>16182</v>
      </c>
      <c r="K90" s="65">
        <v>21313</v>
      </c>
      <c r="L90" s="65">
        <v>24448</v>
      </c>
      <c r="M90" s="65">
        <v>25233</v>
      </c>
      <c r="N90" s="65">
        <v>91.5</v>
      </c>
    </row>
    <row r="91" spans="1:14" x14ac:dyDescent="0.25">
      <c r="A91" s="64" t="s">
        <v>66</v>
      </c>
      <c r="B91" s="65">
        <v>3.9</v>
      </c>
      <c r="C91" s="65">
        <v>6635</v>
      </c>
      <c r="D91" s="65">
        <v>24402</v>
      </c>
      <c r="E91" s="65">
        <v>32311</v>
      </c>
      <c r="F91" s="65">
        <v>41369</v>
      </c>
      <c r="G91" s="65">
        <v>53127</v>
      </c>
      <c r="H91" s="65">
        <v>66261</v>
      </c>
      <c r="I91" s="65">
        <v>82057</v>
      </c>
      <c r="J91" s="65">
        <v>105612</v>
      </c>
      <c r="K91" s="65">
        <v>132860</v>
      </c>
      <c r="L91" s="65">
        <v>171986</v>
      </c>
      <c r="M91" s="65">
        <v>159003</v>
      </c>
      <c r="N91" s="65">
        <v>82.5</v>
      </c>
    </row>
    <row r="92" spans="1:14" x14ac:dyDescent="0.25">
      <c r="A92" s="64" t="s">
        <v>73</v>
      </c>
      <c r="B92" s="65">
        <v>1.8</v>
      </c>
      <c r="C92" s="65">
        <v>3821</v>
      </c>
      <c r="D92" s="65">
        <v>9984</v>
      </c>
      <c r="E92" s="65">
        <v>14307</v>
      </c>
      <c r="F92" s="65">
        <v>19570</v>
      </c>
      <c r="G92" s="65">
        <v>26519</v>
      </c>
      <c r="H92" s="65">
        <v>33543</v>
      </c>
      <c r="I92" s="65">
        <v>39484</v>
      </c>
      <c r="J92" s="65">
        <v>47346</v>
      </c>
      <c r="K92" s="65">
        <v>56993</v>
      </c>
      <c r="L92" s="65">
        <v>75370</v>
      </c>
      <c r="M92" s="65">
        <v>84163</v>
      </c>
      <c r="N92" s="65">
        <v>98.6</v>
      </c>
    </row>
    <row r="93" spans="1:14" x14ac:dyDescent="0.25">
      <c r="A93" s="64" t="s">
        <v>67</v>
      </c>
      <c r="B93" s="65">
        <v>5.2</v>
      </c>
      <c r="C93" s="65">
        <v>12038</v>
      </c>
      <c r="D93" s="65">
        <v>48609</v>
      </c>
      <c r="E93" s="65">
        <v>63365</v>
      </c>
      <c r="F93" s="65">
        <v>75906</v>
      </c>
      <c r="G93" s="65">
        <v>89836</v>
      </c>
      <c r="H93" s="65">
        <v>105790</v>
      </c>
      <c r="I93" s="65">
        <v>126623</v>
      </c>
      <c r="J93" s="65">
        <v>162543</v>
      </c>
      <c r="K93" s="65">
        <v>213665</v>
      </c>
      <c r="L93" s="65">
        <v>276012</v>
      </c>
      <c r="M93" s="65">
        <v>279179</v>
      </c>
      <c r="N93" s="65">
        <v>92.2</v>
      </c>
    </row>
    <row r="94" spans="1:14" x14ac:dyDescent="0.25">
      <c r="A94" s="64" t="s">
        <v>68</v>
      </c>
      <c r="B94" s="65">
        <v>4.2</v>
      </c>
      <c r="C94" s="65">
        <v>10060</v>
      </c>
      <c r="D94" s="65">
        <v>41525</v>
      </c>
      <c r="E94" s="65">
        <v>50247</v>
      </c>
      <c r="F94" s="65">
        <v>58011</v>
      </c>
      <c r="G94" s="65">
        <v>67486</v>
      </c>
      <c r="H94" s="65">
        <v>83555</v>
      </c>
      <c r="I94" s="65">
        <v>104304</v>
      </c>
      <c r="J94" s="65">
        <v>128017</v>
      </c>
      <c r="K94" s="65">
        <v>151289</v>
      </c>
      <c r="L94" s="65">
        <v>192059</v>
      </c>
      <c r="M94" s="65">
        <v>191359</v>
      </c>
      <c r="N94" s="65">
        <v>89.5</v>
      </c>
    </row>
    <row r="95" spans="1:14" x14ac:dyDescent="0.25">
      <c r="A95" s="64" t="s">
        <v>69</v>
      </c>
      <c r="B95" s="65">
        <v>5.4</v>
      </c>
      <c r="C95" s="65">
        <v>14552</v>
      </c>
      <c r="D95" s="65">
        <v>38371</v>
      </c>
      <c r="E95" s="65">
        <v>54818</v>
      </c>
      <c r="F95" s="65">
        <v>72563</v>
      </c>
      <c r="G95" s="65">
        <v>88178</v>
      </c>
      <c r="H95" s="65">
        <v>110584</v>
      </c>
      <c r="I95" s="65">
        <v>140904</v>
      </c>
      <c r="J95" s="65">
        <v>178979</v>
      </c>
      <c r="K95" s="65">
        <v>223710</v>
      </c>
      <c r="L95" s="65">
        <v>273834</v>
      </c>
      <c r="M95" s="65">
        <v>234237</v>
      </c>
      <c r="N95" s="65">
        <v>77.8</v>
      </c>
    </row>
    <row r="96" spans="1:14" x14ac:dyDescent="0.25">
      <c r="A96" s="64" t="s">
        <v>192</v>
      </c>
      <c r="B96" s="65">
        <v>4.4000000000000004</v>
      </c>
      <c r="C96" s="65">
        <v>7649</v>
      </c>
      <c r="D96" s="65">
        <v>39644</v>
      </c>
      <c r="E96" s="65">
        <v>52248</v>
      </c>
      <c r="F96" s="65">
        <v>68012</v>
      </c>
      <c r="G96" s="65">
        <v>82947</v>
      </c>
      <c r="H96" s="65">
        <v>104234</v>
      </c>
      <c r="I96" s="65">
        <v>139864</v>
      </c>
      <c r="J96" s="65">
        <v>176559</v>
      </c>
      <c r="K96" s="65">
        <v>213552</v>
      </c>
      <c r="L96" s="65">
        <v>271533</v>
      </c>
      <c r="M96" s="65">
        <v>278437</v>
      </c>
      <c r="N96" s="65">
        <v>92.6</v>
      </c>
    </row>
    <row r="97" spans="1:14" x14ac:dyDescent="0.25">
      <c r="A97" s="64" t="s">
        <v>71</v>
      </c>
      <c r="B97" s="65">
        <v>3.2</v>
      </c>
      <c r="C97" s="65">
        <v>6289</v>
      </c>
      <c r="D97" s="65">
        <v>22281</v>
      </c>
      <c r="E97" s="65">
        <v>30664</v>
      </c>
      <c r="F97" s="65">
        <v>41798</v>
      </c>
      <c r="G97" s="65">
        <v>54125</v>
      </c>
      <c r="H97" s="65">
        <v>66508</v>
      </c>
      <c r="I97" s="65">
        <v>83375</v>
      </c>
      <c r="J97" s="65">
        <v>101514</v>
      </c>
      <c r="K97" s="65">
        <v>128359</v>
      </c>
      <c r="L97" s="65">
        <v>164345</v>
      </c>
      <c r="M97" s="65">
        <v>167764</v>
      </c>
      <c r="N97" s="65">
        <v>93.1</v>
      </c>
    </row>
    <row r="98" spans="1:14" x14ac:dyDescent="0.25">
      <c r="A98" s="64" t="s">
        <v>72</v>
      </c>
      <c r="B98" s="65">
        <v>1.6</v>
      </c>
      <c r="C98" s="65">
        <v>2994</v>
      </c>
      <c r="D98" s="65">
        <v>13081</v>
      </c>
      <c r="E98" s="65">
        <v>16227</v>
      </c>
      <c r="F98" s="65">
        <v>21743</v>
      </c>
      <c r="G98" s="65">
        <v>28787</v>
      </c>
      <c r="H98" s="65">
        <v>36714</v>
      </c>
      <c r="I98" s="65">
        <v>46731</v>
      </c>
      <c r="J98" s="65">
        <v>56651</v>
      </c>
      <c r="K98" s="65">
        <v>64378</v>
      </c>
      <c r="L98" s="65">
        <v>75370</v>
      </c>
      <c r="M98" s="65">
        <v>75654</v>
      </c>
      <c r="N98" s="65">
        <v>91.1</v>
      </c>
    </row>
    <row r="99" spans="1:14" x14ac:dyDescent="0.25">
      <c r="A99" s="63" t="s">
        <v>193</v>
      </c>
      <c r="B99" s="182">
        <v>15.5</v>
      </c>
      <c r="C99" s="182">
        <v>27151</v>
      </c>
      <c r="D99" s="182">
        <v>97588</v>
      </c>
      <c r="E99" s="182">
        <v>125402</v>
      </c>
      <c r="F99" s="182">
        <v>155140</v>
      </c>
      <c r="G99" s="182">
        <v>191149</v>
      </c>
      <c r="H99" s="182">
        <v>232340</v>
      </c>
      <c r="I99" s="182">
        <v>287616</v>
      </c>
      <c r="J99" s="182">
        <v>353613</v>
      </c>
      <c r="K99" s="182">
        <v>421960</v>
      </c>
      <c r="L99" s="182">
        <v>524637</v>
      </c>
      <c r="M99" s="182">
        <v>594223</v>
      </c>
      <c r="N99" s="182">
        <v>100.7</v>
      </c>
    </row>
    <row r="100" spans="1:14" x14ac:dyDescent="0.25">
      <c r="A100" s="63" t="s">
        <v>161</v>
      </c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</row>
    <row r="101" spans="1:14" x14ac:dyDescent="0.25">
      <c r="A101" s="64" t="s">
        <v>74</v>
      </c>
      <c r="B101" s="65">
        <v>2.2999999999999998</v>
      </c>
      <c r="C101" s="65">
        <v>4849</v>
      </c>
      <c r="D101" s="65">
        <v>20189</v>
      </c>
      <c r="E101" s="65">
        <v>24380</v>
      </c>
      <c r="F101" s="65">
        <v>29227</v>
      </c>
      <c r="G101" s="65">
        <v>40286</v>
      </c>
      <c r="H101" s="65">
        <v>45113</v>
      </c>
      <c r="I101" s="65">
        <v>52313</v>
      </c>
      <c r="J101" s="65">
        <v>63641</v>
      </c>
      <c r="K101" s="65">
        <v>74069</v>
      </c>
      <c r="L101" s="65">
        <v>87843</v>
      </c>
      <c r="M101" s="65">
        <v>100239</v>
      </c>
      <c r="N101" s="65">
        <v>102.1</v>
      </c>
    </row>
    <row r="102" spans="1:14" x14ac:dyDescent="0.25">
      <c r="A102" s="64" t="s">
        <v>75</v>
      </c>
      <c r="B102" s="65">
        <v>1.1000000000000001</v>
      </c>
      <c r="C102" s="65">
        <v>2193</v>
      </c>
      <c r="D102" s="65">
        <v>7128</v>
      </c>
      <c r="E102" s="65">
        <v>8487</v>
      </c>
      <c r="F102" s="65">
        <v>9638</v>
      </c>
      <c r="G102" s="65">
        <v>10897</v>
      </c>
      <c r="H102" s="65">
        <v>12327</v>
      </c>
      <c r="I102" s="65">
        <v>14422</v>
      </c>
      <c r="J102" s="65">
        <v>17621</v>
      </c>
      <c r="K102" s="65">
        <v>21616</v>
      </c>
      <c r="L102" s="65">
        <v>26600</v>
      </c>
      <c r="M102" s="65">
        <v>30603</v>
      </c>
      <c r="N102" s="65">
        <v>101.6</v>
      </c>
    </row>
    <row r="103" spans="1:14" x14ac:dyDescent="0.25">
      <c r="A103" s="64" t="s">
        <v>76</v>
      </c>
      <c r="B103" s="65">
        <v>4.2</v>
      </c>
      <c r="C103" s="65">
        <v>6856</v>
      </c>
      <c r="D103" s="65">
        <v>25182</v>
      </c>
      <c r="E103" s="65">
        <v>33838</v>
      </c>
      <c r="F103" s="65">
        <v>42346</v>
      </c>
      <c r="G103" s="65">
        <v>51279</v>
      </c>
      <c r="H103" s="65">
        <v>64628</v>
      </c>
      <c r="I103" s="65">
        <v>84077</v>
      </c>
      <c r="J103" s="65">
        <v>101578</v>
      </c>
      <c r="K103" s="65">
        <v>120838</v>
      </c>
      <c r="L103" s="65">
        <v>150010</v>
      </c>
      <c r="M103" s="65">
        <v>164582</v>
      </c>
      <c r="N103" s="65">
        <v>97.7</v>
      </c>
    </row>
    <row r="104" spans="1:14" x14ac:dyDescent="0.25">
      <c r="A104" s="64" t="s">
        <v>194</v>
      </c>
      <c r="B104" s="65">
        <v>3</v>
      </c>
      <c r="C104" s="65">
        <v>5161</v>
      </c>
      <c r="D104" s="65">
        <v>20130</v>
      </c>
      <c r="E104" s="65">
        <v>25795</v>
      </c>
      <c r="F104" s="65">
        <v>33013</v>
      </c>
      <c r="G104" s="65">
        <v>39441</v>
      </c>
      <c r="H104" s="65">
        <v>48357</v>
      </c>
      <c r="I104" s="65">
        <v>60480</v>
      </c>
      <c r="J104" s="65">
        <v>74310</v>
      </c>
      <c r="K104" s="65">
        <v>91404</v>
      </c>
      <c r="L104" s="65">
        <v>110977</v>
      </c>
      <c r="M104" s="65">
        <v>128533</v>
      </c>
      <c r="N104" s="65">
        <v>103.6</v>
      </c>
    </row>
    <row r="105" spans="1:14" x14ac:dyDescent="0.25">
      <c r="A105" s="64" t="s">
        <v>78</v>
      </c>
      <c r="B105" s="65">
        <v>1.7</v>
      </c>
      <c r="C105" s="65">
        <v>3491</v>
      </c>
      <c r="D105" s="65">
        <v>11433</v>
      </c>
      <c r="E105" s="65">
        <v>13562</v>
      </c>
      <c r="F105" s="65">
        <v>15613</v>
      </c>
      <c r="G105" s="65">
        <v>18227</v>
      </c>
      <c r="H105" s="65">
        <v>23592</v>
      </c>
      <c r="I105" s="65">
        <v>28481</v>
      </c>
      <c r="J105" s="65">
        <v>35042</v>
      </c>
      <c r="K105" s="65">
        <v>41872</v>
      </c>
      <c r="L105" s="65">
        <v>53929</v>
      </c>
      <c r="M105" s="65">
        <v>59491</v>
      </c>
      <c r="N105" s="65">
        <v>97.5</v>
      </c>
    </row>
    <row r="106" spans="1:14" x14ac:dyDescent="0.25">
      <c r="A106" s="64" t="s">
        <v>79</v>
      </c>
      <c r="B106" s="65">
        <v>1</v>
      </c>
      <c r="C106" s="65">
        <v>1356</v>
      </c>
      <c r="D106" s="65">
        <v>2932</v>
      </c>
      <c r="E106" s="65">
        <v>3755</v>
      </c>
      <c r="F106" s="65">
        <v>4447</v>
      </c>
      <c r="G106" s="65">
        <v>5311</v>
      </c>
      <c r="H106" s="65">
        <v>5954</v>
      </c>
      <c r="I106" s="65">
        <v>7048</v>
      </c>
      <c r="J106" s="65">
        <v>8338</v>
      </c>
      <c r="K106" s="65">
        <v>9877</v>
      </c>
      <c r="L106" s="65">
        <v>11390</v>
      </c>
      <c r="M106" s="65">
        <v>13198</v>
      </c>
      <c r="N106" s="65">
        <v>99.7</v>
      </c>
    </row>
    <row r="107" spans="1:14" x14ac:dyDescent="0.25">
      <c r="A107" s="64" t="s">
        <v>80</v>
      </c>
      <c r="B107" s="65">
        <v>1.5</v>
      </c>
      <c r="C107" s="65">
        <v>2405</v>
      </c>
      <c r="D107" s="65">
        <v>7990</v>
      </c>
      <c r="E107" s="65">
        <v>11817</v>
      </c>
      <c r="F107" s="65">
        <v>15568</v>
      </c>
      <c r="G107" s="65">
        <v>19232</v>
      </c>
      <c r="H107" s="65">
        <v>24400</v>
      </c>
      <c r="I107" s="65">
        <v>31442</v>
      </c>
      <c r="J107" s="65">
        <v>42580</v>
      </c>
      <c r="K107" s="65">
        <v>50352</v>
      </c>
      <c r="L107" s="65">
        <v>68244</v>
      </c>
      <c r="M107" s="65">
        <v>79158</v>
      </c>
      <c r="N107" s="65">
        <v>102.5</v>
      </c>
    </row>
    <row r="108" spans="1:14" x14ac:dyDescent="0.25">
      <c r="A108" s="64" t="s">
        <v>81</v>
      </c>
      <c r="B108" s="65">
        <v>0.4</v>
      </c>
      <c r="C108" s="65">
        <v>602</v>
      </c>
      <c r="D108" s="65">
        <v>1786</v>
      </c>
      <c r="E108" s="65">
        <v>2519</v>
      </c>
      <c r="F108" s="65">
        <v>3501</v>
      </c>
      <c r="G108" s="65">
        <v>4467</v>
      </c>
      <c r="H108" s="65">
        <v>5836</v>
      </c>
      <c r="I108" s="65">
        <v>7196</v>
      </c>
      <c r="J108" s="65">
        <v>8126</v>
      </c>
      <c r="K108" s="65">
        <v>9181</v>
      </c>
      <c r="L108" s="65">
        <v>11349</v>
      </c>
      <c r="M108" s="65">
        <v>13423</v>
      </c>
      <c r="N108" s="65">
        <v>101.9</v>
      </c>
    </row>
    <row r="109" spans="1:14" x14ac:dyDescent="0.25">
      <c r="A109" s="64" t="s">
        <v>82</v>
      </c>
      <c r="B109" s="65">
        <v>0.3</v>
      </c>
      <c r="C109" s="65">
        <v>238</v>
      </c>
      <c r="D109" s="65">
        <v>818</v>
      </c>
      <c r="E109" s="65">
        <v>1248</v>
      </c>
      <c r="F109" s="65">
        <v>1787</v>
      </c>
      <c r="G109" s="65">
        <v>2010</v>
      </c>
      <c r="H109" s="65">
        <v>2133</v>
      </c>
      <c r="I109" s="65">
        <v>2157</v>
      </c>
      <c r="J109" s="65">
        <v>2376</v>
      </c>
      <c r="K109" s="65">
        <v>2751</v>
      </c>
      <c r="L109" s="65">
        <v>4293</v>
      </c>
      <c r="M109" s="65">
        <v>4997</v>
      </c>
      <c r="N109" s="65">
        <v>103</v>
      </c>
    </row>
  </sheetData>
  <mergeCells count="128">
    <mergeCell ref="N85:N86"/>
    <mergeCell ref="H99:H100"/>
    <mergeCell ref="I99:I100"/>
    <mergeCell ref="J99:J100"/>
    <mergeCell ref="K99:K100"/>
    <mergeCell ref="L99:L100"/>
    <mergeCell ref="J85:J86"/>
    <mergeCell ref="K85:K86"/>
    <mergeCell ref="L85:L86"/>
    <mergeCell ref="M85:M86"/>
    <mergeCell ref="B99:B100"/>
    <mergeCell ref="C99:C100"/>
    <mergeCell ref="D99:D100"/>
    <mergeCell ref="E99:E100"/>
    <mergeCell ref="F99:F100"/>
    <mergeCell ref="M82:M83"/>
    <mergeCell ref="N82:N83"/>
    <mergeCell ref="B85:B86"/>
    <mergeCell ref="C85:C86"/>
    <mergeCell ref="D85:D86"/>
    <mergeCell ref="E85:E86"/>
    <mergeCell ref="F85:F86"/>
    <mergeCell ref="G85:G86"/>
    <mergeCell ref="H85:H86"/>
    <mergeCell ref="I85:I86"/>
    <mergeCell ref="G82:G83"/>
    <mergeCell ref="H82:H83"/>
    <mergeCell ref="I82:I83"/>
    <mergeCell ref="J82:J83"/>
    <mergeCell ref="K82:K83"/>
    <mergeCell ref="L82:L83"/>
    <mergeCell ref="M99:M100"/>
    <mergeCell ref="N99:N100"/>
    <mergeCell ref="G99:G100"/>
    <mergeCell ref="J75:J76"/>
    <mergeCell ref="K75:K76"/>
    <mergeCell ref="L75:L76"/>
    <mergeCell ref="M75:M76"/>
    <mergeCell ref="N75:N76"/>
    <mergeCell ref="B82:B83"/>
    <mergeCell ref="C82:C83"/>
    <mergeCell ref="D82:D83"/>
    <mergeCell ref="E82:E83"/>
    <mergeCell ref="F82:F83"/>
    <mergeCell ref="B75:B76"/>
    <mergeCell ref="C75:C76"/>
    <mergeCell ref="D75:D76"/>
    <mergeCell ref="E75:E76"/>
    <mergeCell ref="F75:F76"/>
    <mergeCell ref="G75:G76"/>
    <mergeCell ref="H75:H76"/>
    <mergeCell ref="I75:I76"/>
    <mergeCell ref="G59:G60"/>
    <mergeCell ref="H59:H60"/>
    <mergeCell ref="I59:I60"/>
    <mergeCell ref="M44:M45"/>
    <mergeCell ref="N44:N45"/>
    <mergeCell ref="B59:B60"/>
    <mergeCell ref="C59:C60"/>
    <mergeCell ref="D59:D60"/>
    <mergeCell ref="E59:E60"/>
    <mergeCell ref="F59:F60"/>
    <mergeCell ref="M59:M60"/>
    <mergeCell ref="N59:N60"/>
    <mergeCell ref="J59:J60"/>
    <mergeCell ref="K59:K60"/>
    <mergeCell ref="L59:L60"/>
    <mergeCell ref="B35:B36"/>
    <mergeCell ref="C35:C36"/>
    <mergeCell ref="D35:D36"/>
    <mergeCell ref="E35:E36"/>
    <mergeCell ref="F35:F36"/>
    <mergeCell ref="M35:M36"/>
    <mergeCell ref="N35:N36"/>
    <mergeCell ref="B44:B45"/>
    <mergeCell ref="C44:C45"/>
    <mergeCell ref="D44:D45"/>
    <mergeCell ref="E44:E45"/>
    <mergeCell ref="F44:F45"/>
    <mergeCell ref="G44:G45"/>
    <mergeCell ref="H44:H45"/>
    <mergeCell ref="I44:I45"/>
    <mergeCell ref="G35:G36"/>
    <mergeCell ref="H35:H36"/>
    <mergeCell ref="I35:I36"/>
    <mergeCell ref="J35:J36"/>
    <mergeCell ref="K35:K36"/>
    <mergeCell ref="L35:L36"/>
    <mergeCell ref="J44:J45"/>
    <mergeCell ref="K44:K45"/>
    <mergeCell ref="L44:L45"/>
    <mergeCell ref="M10:M11"/>
    <mergeCell ref="N10:N11"/>
    <mergeCell ref="B30:B31"/>
    <mergeCell ref="C30:C31"/>
    <mergeCell ref="D30:D31"/>
    <mergeCell ref="E30:E31"/>
    <mergeCell ref="F30:F31"/>
    <mergeCell ref="G30:G31"/>
    <mergeCell ref="H30:H31"/>
    <mergeCell ref="I30:I31"/>
    <mergeCell ref="G10:G11"/>
    <mergeCell ref="H10:H11"/>
    <mergeCell ref="I10:I11"/>
    <mergeCell ref="J10:J11"/>
    <mergeCell ref="K10:K11"/>
    <mergeCell ref="L10:L11"/>
    <mergeCell ref="J30:J31"/>
    <mergeCell ref="K30:K31"/>
    <mergeCell ref="L30:L31"/>
    <mergeCell ref="M30:M31"/>
    <mergeCell ref="N30:N31"/>
    <mergeCell ref="H1:H8"/>
    <mergeCell ref="I1:I8"/>
    <mergeCell ref="J1:J8"/>
    <mergeCell ref="K1:K8"/>
    <mergeCell ref="L1:L8"/>
    <mergeCell ref="B10:B11"/>
    <mergeCell ref="C10:C11"/>
    <mergeCell ref="D10:D11"/>
    <mergeCell ref="E10:E11"/>
    <mergeCell ref="F10:F11"/>
    <mergeCell ref="B1:B8"/>
    <mergeCell ref="C1:C8"/>
    <mergeCell ref="D1:D8"/>
    <mergeCell ref="E1:E8"/>
    <mergeCell ref="F1:F8"/>
    <mergeCell ref="G1:G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R83"/>
  <sheetViews>
    <sheetView topLeftCell="G1" workbookViewId="0">
      <selection activeCell="R25" sqref="R25:R26"/>
    </sheetView>
  </sheetViews>
  <sheetFormatPr defaultRowHeight="15.75" x14ac:dyDescent="0.25"/>
  <cols>
    <col min="1" max="1" width="6.28515625" style="79" customWidth="1"/>
    <col min="2" max="2" width="36.28515625" style="80" customWidth="1"/>
    <col min="3" max="18" width="9.140625" style="79"/>
    <col min="19" max="16384" width="9.140625" style="80"/>
  </cols>
  <sheetData>
    <row r="1" spans="1:18" x14ac:dyDescent="0.25">
      <c r="A1" s="85" t="s">
        <v>0</v>
      </c>
      <c r="B1" s="84" t="s">
        <v>83</v>
      </c>
      <c r="C1" s="85">
        <v>2005</v>
      </c>
      <c r="D1" s="85">
        <v>2006</v>
      </c>
      <c r="E1" s="85">
        <v>2007</v>
      </c>
      <c r="F1" s="85">
        <v>2008</v>
      </c>
      <c r="G1" s="85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5">
        <v>1</v>
      </c>
      <c r="B2" s="84" t="s">
        <v>1</v>
      </c>
      <c r="C2" s="85">
        <f>'Налоговые поступл в бюджет'!B2/ВРП!C2*100</f>
        <v>20.102863827163393</v>
      </c>
      <c r="D2" s="85">
        <f>'Налоговые поступл в бюджет'!C2/ВРП!D2*100</f>
        <v>16.728572778495028</v>
      </c>
      <c r="E2" s="85">
        <f>'Налоговые поступл в бюджет'!D2/ВРП!E2*100</f>
        <v>17.275359652812732</v>
      </c>
      <c r="F2" s="85">
        <f>'Налоговые поступл в бюджет'!E2/ВРП!F2*100</f>
        <v>15.596888838659897</v>
      </c>
      <c r="G2" s="85">
        <f>'Налоговые поступл в бюджет'!F2/ВРП!G2*100</f>
        <v>10.730377633562931</v>
      </c>
      <c r="H2" s="85">
        <f>'Налоговые поступл в бюджет'!G2/ВРП!H2*100</f>
        <v>12.353280212390054</v>
      </c>
      <c r="I2" s="85">
        <f>'Налоговые поступл в бюджет'!H2/ВРП!I2*100</f>
        <v>13.444101860468596</v>
      </c>
      <c r="J2" s="85">
        <f>'Налоговые поступл в бюджет'!I2/ВРП!J2*100</f>
        <v>12.056152766585546</v>
      </c>
      <c r="K2" s="85">
        <f>'Налоговые поступл в бюджет'!J2/ВРП!K2*100</f>
        <v>10.920002305773714</v>
      </c>
      <c r="L2" s="85">
        <f>'Налоговые поступл в бюджет'!K2/ВРП!L2*100</f>
        <v>10.352817279046835</v>
      </c>
      <c r="M2" s="85">
        <f>'Налоговые поступл в бюджет'!L2/ВРП!M2*100</f>
        <v>10.114361632318467</v>
      </c>
      <c r="N2" s="85">
        <f>'Налоговые поступл в бюджет'!M2/ВРП!N2*100</f>
        <v>9.3885229653984901</v>
      </c>
      <c r="O2" s="85">
        <f>'Налоговые поступл в бюджет'!N2/ВРП!O2*100</f>
        <v>11.627179023961798</v>
      </c>
      <c r="P2" s="85">
        <f>'Налоговые поступл в бюджет'!O2/ВРП!P2*100</f>
        <v>13.144233289721807</v>
      </c>
      <c r="Q2" s="85">
        <f>'Налоговые поступл в бюджет'!P2/ВРП!Q2*100</f>
        <v>12.964505734390736</v>
      </c>
      <c r="R2" s="85">
        <f>'Налоговые поступл в бюджет'!Q2/ВРП!R2*100</f>
        <v>11.531639520383663</v>
      </c>
    </row>
    <row r="3" spans="1:18" x14ac:dyDescent="0.25">
      <c r="A3" s="85">
        <v>2</v>
      </c>
      <c r="B3" s="84" t="s">
        <v>2</v>
      </c>
      <c r="C3" s="85">
        <f>'Налоговые поступл в бюджет'!B3/ВРП!C3*100</f>
        <v>18.045711423957489</v>
      </c>
      <c r="D3" s="85">
        <f>'Налоговые поступл в бюджет'!C3/ВРП!D3*100</f>
        <v>17.727562837696283</v>
      </c>
      <c r="E3" s="85">
        <f>'Налоговые поступл в бюджет'!D3/ВРП!E3*100</f>
        <v>15.969921971604439</v>
      </c>
      <c r="F3" s="85">
        <f>'Налоговые поступл в бюджет'!E3/ВРП!F3*100</f>
        <v>15.260612360372045</v>
      </c>
      <c r="G3" s="85">
        <f>'Налоговые поступл в бюджет'!F3/ВРП!G3*100</f>
        <v>18.643093548728864</v>
      </c>
      <c r="H3" s="85">
        <f>'Налоговые поступл в бюджет'!G3/ВРП!H3*100</f>
        <v>11.53124659919469</v>
      </c>
      <c r="I3" s="85">
        <f>'Налоговые поступл в бюджет'!H3/ВРП!I3*100</f>
        <v>15.932732455551232</v>
      </c>
      <c r="J3" s="85">
        <f>'Налоговые поступл в бюджет'!I3/ВРП!J3*100</f>
        <v>18.92341710965658</v>
      </c>
      <c r="K3" s="85">
        <f>'Налоговые поступл в бюджет'!J3/ВРП!K3*100</f>
        <v>15.19264036722994</v>
      </c>
      <c r="L3" s="85">
        <f>'Налоговые поступл в бюджет'!K3/ВРП!L3*100</f>
        <v>13.104600152272718</v>
      </c>
      <c r="M3" s="85">
        <f>'Налоговые поступл в бюджет'!L3/ВРП!M3*100</f>
        <v>12.554229944900793</v>
      </c>
      <c r="N3" s="85">
        <f>'Налоговые поступл в бюджет'!M3/ВРП!N3*100</f>
        <v>17.921289363321726</v>
      </c>
      <c r="O3" s="85">
        <f>'Налоговые поступл в бюджет'!N3/ВРП!O3*100</f>
        <v>14.399907750437416</v>
      </c>
      <c r="P3" s="85">
        <f>'Налоговые поступл в бюджет'!O3/ВРП!P3*100</f>
        <v>15.712378426709325</v>
      </c>
      <c r="Q3" s="85">
        <f>'Налоговые поступл в бюджет'!P3/ВРП!Q3*100</f>
        <v>13.560035432469991</v>
      </c>
      <c r="R3" s="85">
        <f>'Налоговые поступл в бюджет'!Q3/ВРП!R3*100</f>
        <v>12.676616942817443</v>
      </c>
    </row>
    <row r="4" spans="1:18" x14ac:dyDescent="0.25">
      <c r="A4" s="85">
        <v>3</v>
      </c>
      <c r="B4" s="84" t="s">
        <v>3</v>
      </c>
      <c r="C4" s="85">
        <f>'Налоговые поступл в бюджет'!B4/ВРП!C4*100</f>
        <v>19.185452587694474</v>
      </c>
      <c r="D4" s="85">
        <f>'Налоговые поступл в бюджет'!C4/ВРП!D4*100</f>
        <v>18.436446810000202</v>
      </c>
      <c r="E4" s="85">
        <f>'Налоговые поступл в бюджет'!D4/ВРП!E4*100</f>
        <v>18.284025282450244</v>
      </c>
      <c r="F4" s="85">
        <f>'Налоговые поступл в бюджет'!E4/ВРП!F4*100</f>
        <v>17.83795155753533</v>
      </c>
      <c r="G4" s="85">
        <f>'Налоговые поступл в бюджет'!F4/ВРП!G4*100</f>
        <v>17.58254827401754</v>
      </c>
      <c r="H4" s="85">
        <f>'Налоговые поступл в бюджет'!G4/ВРП!H4*100</f>
        <v>16.813238345749586</v>
      </c>
      <c r="I4" s="85">
        <f>'Налоговые поступл в бюджет'!H4/ВРП!I4*100</f>
        <v>16.461860497522036</v>
      </c>
      <c r="J4" s="85">
        <f>'Налоговые поступл в бюджет'!I4/ВРП!J4*100</f>
        <v>16.382767064799282</v>
      </c>
      <c r="K4" s="85">
        <f>'Налоговые поступл в бюджет'!J4/ВРП!K4*100</f>
        <v>15.762307698829966</v>
      </c>
      <c r="L4" s="85">
        <f>'Налоговые поступл в бюджет'!K4/ВРП!L4*100</f>
        <v>16.739589385248372</v>
      </c>
      <c r="M4" s="85">
        <f>'Налоговые поступл в бюджет'!L4/ВРП!M4*100</f>
        <v>15.862174522346923</v>
      </c>
      <c r="N4" s="85">
        <f>'Налоговые поступл в бюджет'!M4/ВРП!N4*100</f>
        <v>16.873971970294722</v>
      </c>
      <c r="O4" s="85">
        <f>'Налоговые поступл в бюджет'!N4/ВРП!O4*100</f>
        <v>17.132691775396442</v>
      </c>
      <c r="P4" s="85">
        <f>'Налоговые поступл в бюджет'!O4/ВРП!P4*100</f>
        <v>18.152461848219129</v>
      </c>
      <c r="Q4" s="85">
        <f>'Налоговые поступл в бюджет'!P4/ВРП!Q4*100</f>
        <v>15.762010856762851</v>
      </c>
      <c r="R4" s="85">
        <f>'Налоговые поступл в бюджет'!Q4/ВРП!R4*100</f>
        <v>16.54809266366356</v>
      </c>
    </row>
    <row r="5" spans="1:18" x14ac:dyDescent="0.25">
      <c r="A5" s="85">
        <v>4</v>
      </c>
      <c r="B5" s="84" t="s">
        <v>4</v>
      </c>
      <c r="C5" s="85">
        <f>'Налоговые поступл в бюджет'!B5/ВРП!C5*100</f>
        <v>15.014829331684465</v>
      </c>
      <c r="D5" s="85">
        <f>'Налоговые поступл в бюджет'!C5/ВРП!D5*100</f>
        <v>14.810337201710229</v>
      </c>
      <c r="E5" s="85">
        <f>'Налоговые поступл в бюджет'!D5/ВРП!E5*100</f>
        <v>14.507438785809915</v>
      </c>
      <c r="F5" s="85">
        <f>'Налоговые поступл в бюджет'!E5/ВРП!F5*100</f>
        <v>13.557883193803926</v>
      </c>
      <c r="G5" s="85">
        <f>'Налоговые поступл в бюджет'!F5/ВРП!G5*100</f>
        <v>11.947936079085512</v>
      </c>
      <c r="H5" s="85">
        <f>'Налоговые поступл в бюджет'!G5/ВРП!H5*100</f>
        <v>12.677677871195339</v>
      </c>
      <c r="I5" s="85">
        <f>'Налоговые поступл в бюджет'!H5/ВРП!I5*100</f>
        <v>11.006794268063992</v>
      </c>
      <c r="J5" s="85">
        <f>'Налоговые поступл в бюджет'!I5/ВРП!J5*100</f>
        <v>11.388483761592466</v>
      </c>
      <c r="K5" s="85">
        <f>'Налоговые поступл в бюджет'!J5/ВРП!K5*100</f>
        <v>11.688561310036414</v>
      </c>
      <c r="L5" s="85">
        <f>'Налоговые поступл в бюджет'!K5/ВРП!L5*100</f>
        <v>10.571752478028815</v>
      </c>
      <c r="M5" s="85">
        <f>'Налоговые поступл в бюджет'!L5/ВРП!M5*100</f>
        <v>9.8122063164665256</v>
      </c>
      <c r="N5" s="85">
        <f>'Налоговые поступл в бюджет'!M5/ВРП!N5*100</f>
        <v>10.813231157383672</v>
      </c>
      <c r="O5" s="85">
        <f>'Налоговые поступл в бюджет'!N5/ВРП!O5*100</f>
        <v>11.281211612794149</v>
      </c>
      <c r="P5" s="85">
        <f>'Налоговые поступл в бюджет'!O5/ВРП!P5*100</f>
        <v>12.628026243445817</v>
      </c>
      <c r="Q5" s="85">
        <f>'Налоговые поступл в бюджет'!P5/ВРП!Q5*100</f>
        <v>12.791710972406978</v>
      </c>
      <c r="R5" s="85">
        <f>'Налоговые поступл в бюджет'!Q5/ВРП!R5*100</f>
        <v>13.762998937894469</v>
      </c>
    </row>
    <row r="6" spans="1:18" x14ac:dyDescent="0.25">
      <c r="A6" s="85">
        <v>5</v>
      </c>
      <c r="B6" s="84" t="s">
        <v>5</v>
      </c>
      <c r="C6" s="85">
        <f>'Налоговые поступл в бюджет'!B6/ВРП!C6*100</f>
        <v>19.825556000846554</v>
      </c>
      <c r="D6" s="85">
        <f>'Налоговые поступл в бюджет'!C6/ВРП!D6*100</f>
        <v>19.017970593574152</v>
      </c>
      <c r="E6" s="85">
        <f>'Налоговые поступл в бюджет'!D6/ВРП!E6*100</f>
        <v>16.007866010273975</v>
      </c>
      <c r="F6" s="85">
        <f>'Налоговые поступл в бюджет'!E6/ВРП!F6*100</f>
        <v>17.360712713108601</v>
      </c>
      <c r="G6" s="85">
        <f>'Налоговые поступл в бюджет'!F6/ВРП!G6*100</f>
        <v>15.387213005918779</v>
      </c>
      <c r="H6" s="85">
        <f>'Налоговые поступл в бюджет'!G6/ВРП!H6*100</f>
        <v>15.430656735026323</v>
      </c>
      <c r="I6" s="85">
        <f>'Налоговые поступл в бюджет'!H6/ВРП!I6*100</f>
        <v>14.892626685926269</v>
      </c>
      <c r="J6" s="85">
        <f>'Налоговые поступл в бюджет'!I6/ВРП!J6*100</f>
        <v>17.139240348234949</v>
      </c>
      <c r="K6" s="85">
        <f>'Налоговые поступл в бюджет'!J6/ВРП!K6*100</f>
        <v>15.887313110706211</v>
      </c>
      <c r="L6" s="85">
        <f>'Налоговые поступл в бюджет'!K6/ВРП!L6*100</f>
        <v>17.118282713357143</v>
      </c>
      <c r="M6" s="85">
        <f>'Налоговые поступл в бюджет'!L6/ВРП!M6*100</f>
        <v>13.666431232428987</v>
      </c>
      <c r="N6" s="85">
        <f>'Налоговые поступл в бюджет'!M6/ВРП!N6*100</f>
        <v>15.418296338820511</v>
      </c>
      <c r="O6" s="85">
        <f>'Налоговые поступл в бюджет'!N6/ВРП!O6*100</f>
        <v>15.619159447423527</v>
      </c>
      <c r="P6" s="85">
        <f>'Налоговые поступл в бюджет'!O6/ВРП!P6*100</f>
        <v>15.864755221143573</v>
      </c>
      <c r="Q6" s="85">
        <f>'Налоговые поступл в бюджет'!P6/ВРП!Q6*100</f>
        <v>13.420829466222608</v>
      </c>
      <c r="R6" s="85">
        <f>'Налоговые поступл в бюджет'!Q6/ВРП!R6*100</f>
        <v>14.92943403286819</v>
      </c>
    </row>
    <row r="7" spans="1:18" x14ac:dyDescent="0.25">
      <c r="A7" s="85">
        <v>6</v>
      </c>
      <c r="B7" s="84" t="s">
        <v>6</v>
      </c>
      <c r="C7" s="85">
        <f>'Налоговые поступл в бюджет'!B7/ВРП!C7*100</f>
        <v>20.43679064857605</v>
      </c>
      <c r="D7" s="85">
        <f>'Налоговые поступл в бюджет'!C7/ВРП!D7*100</f>
        <v>20.625068920087518</v>
      </c>
      <c r="E7" s="85">
        <f>'Налоговые поступл в бюджет'!D7/ВРП!E7*100</f>
        <v>21.682771813460384</v>
      </c>
      <c r="F7" s="85">
        <f>'Налоговые поступл в бюджет'!E7/ВРП!F7*100</f>
        <v>19.119195927507938</v>
      </c>
      <c r="G7" s="85">
        <f>'Налоговые поступл в бюджет'!F7/ВРП!G7*100</f>
        <v>15.493904009200618</v>
      </c>
      <c r="H7" s="85">
        <f>'Налоговые поступл в бюджет'!G7/ВРП!H7*100</f>
        <v>19.907338920781566</v>
      </c>
      <c r="I7" s="85">
        <f>'Налоговые поступл в бюджет'!H7/ВРП!I7*100</f>
        <v>19.624577740480255</v>
      </c>
      <c r="J7" s="85">
        <f>'Налоговые поступл в бюджет'!I7/ВРП!J7*100</f>
        <v>22.351143146205906</v>
      </c>
      <c r="K7" s="85">
        <f>'Налоговые поступл в бюджет'!J7/ВРП!K7*100</f>
        <v>19.826994512380438</v>
      </c>
      <c r="L7" s="85">
        <f>'Налоговые поступл в бюджет'!K7/ВРП!L7*100</f>
        <v>22.57538837129874</v>
      </c>
      <c r="M7" s="85">
        <f>'Налоговые поступл в бюджет'!L7/ВРП!M7*100</f>
        <v>20.432492506492807</v>
      </c>
      <c r="N7" s="85">
        <f>'Налоговые поступл в бюджет'!M7/ВРП!N7*100</f>
        <v>19.774451174461539</v>
      </c>
      <c r="O7" s="85">
        <f>'Налоговые поступл в бюджет'!N7/ВРП!O7*100</f>
        <v>22.131651403826318</v>
      </c>
      <c r="P7" s="85">
        <f>'Налоговые поступл в бюджет'!O7/ВРП!P7*100</f>
        <v>25.394973041122348</v>
      </c>
      <c r="Q7" s="85">
        <f>'Налоговые поступл в бюджет'!P7/ВРП!Q7*100</f>
        <v>24.015307752902444</v>
      </c>
      <c r="R7" s="85">
        <f>'Налоговые поступл в бюджет'!Q7/ВРП!R7*100</f>
        <v>25.872706397107052</v>
      </c>
    </row>
    <row r="8" spans="1:18" x14ac:dyDescent="0.25">
      <c r="A8" s="85">
        <v>7</v>
      </c>
      <c r="B8" s="84" t="s">
        <v>7</v>
      </c>
      <c r="C8" s="85">
        <f>'Налоговые поступл в бюджет'!B8/ВРП!C8*100</f>
        <v>14.973133980982306</v>
      </c>
      <c r="D8" s="85">
        <f>'Налоговые поступл в бюджет'!C8/ВРП!D8*100</f>
        <v>16.667555946429786</v>
      </c>
      <c r="E8" s="85">
        <f>'Налоговые поступл в бюджет'!D8/ВРП!E8*100</f>
        <v>16.35088979671357</v>
      </c>
      <c r="F8" s="85">
        <f>'Налоговые поступл в бюджет'!E8/ВРП!F8*100</f>
        <v>16.758122770410424</v>
      </c>
      <c r="G8" s="85">
        <f>'Налоговые поступл в бюджет'!F8/ВРП!G8*100</f>
        <v>15.337167561869066</v>
      </c>
      <c r="H8" s="85">
        <f>'Налоговые поступл в бюджет'!G8/ВРП!H8*100</f>
        <v>14.803624146164248</v>
      </c>
      <c r="I8" s="85">
        <f>'Налоговые поступл в бюджет'!H8/ВРП!I8*100</f>
        <v>13.442104847989105</v>
      </c>
      <c r="J8" s="85">
        <f>'Налоговые поступл в бюджет'!I8/ВРП!J8*100</f>
        <v>13.99406452441295</v>
      </c>
      <c r="K8" s="85">
        <f>'Налоговые поступл в бюджет'!J8/ВРП!K8*100</f>
        <v>14.030953293831857</v>
      </c>
      <c r="L8" s="85">
        <f>'Налоговые поступл в бюджет'!K8/ВРП!L8*100</f>
        <v>13.691334171599145</v>
      </c>
      <c r="M8" s="85">
        <f>'Налоговые поступл в бюджет'!L8/ВРП!M8*100</f>
        <v>12.874657958223887</v>
      </c>
      <c r="N8" s="85">
        <f>'Налоговые поступл в бюджет'!M8/ВРП!N8*100</f>
        <v>14.424119776762423</v>
      </c>
      <c r="O8" s="85">
        <f>'Налоговые поступл в бюджет'!N8/ВРП!O8*100</f>
        <v>15.002878188244892</v>
      </c>
      <c r="P8" s="85">
        <f>'Налоговые поступл в бюджет'!O8/ВРП!P8*100</f>
        <v>16.094431551435708</v>
      </c>
      <c r="Q8" s="85">
        <f>'Налоговые поступл в бюджет'!P8/ВРП!Q8*100</f>
        <v>16.976032161461735</v>
      </c>
      <c r="R8" s="85">
        <f>'Налоговые поступл в бюджет'!Q8/ВРП!R8*100</f>
        <v>17.323128674806632</v>
      </c>
    </row>
    <row r="9" spans="1:18" x14ac:dyDescent="0.25">
      <c r="A9" s="85">
        <v>8</v>
      </c>
      <c r="B9" s="84" t="s">
        <v>8</v>
      </c>
      <c r="C9" s="85">
        <f>'Налоговые поступл в бюджет'!B9/ВРП!C9*100</f>
        <v>18.255951810622584</v>
      </c>
      <c r="D9" s="85">
        <f>'Налоговые поступл в бюджет'!C9/ВРП!D9*100</f>
        <v>16.741080225345723</v>
      </c>
      <c r="E9" s="85">
        <f>'Налоговые поступл в бюджет'!D9/ВРП!E9*100</f>
        <v>16.337393923865871</v>
      </c>
      <c r="F9" s="85">
        <f>'Налоговые поступл в бюджет'!E9/ВРП!F9*100</f>
        <v>16.255187179282501</v>
      </c>
      <c r="G9" s="85">
        <f>'Налоговые поступл в бюджет'!F9/ВРП!G9*100</f>
        <v>12.375681511955433</v>
      </c>
      <c r="H9" s="85">
        <f>'Налоговые поступл в бюджет'!G9/ВРП!H9*100</f>
        <v>14.453344873136187</v>
      </c>
      <c r="I9" s="85">
        <f>'Налоговые поступл в бюджет'!H9/ВРП!I9*100</f>
        <v>13.082288332079244</v>
      </c>
      <c r="J9" s="85">
        <f>'Налоговые поступл в бюджет'!I9/ВРП!J9*100</f>
        <v>14.725808589474124</v>
      </c>
      <c r="K9" s="85">
        <f>'Налоговые поступл в бюджет'!J9/ВРП!K9*100</f>
        <v>14.654893432888038</v>
      </c>
      <c r="L9" s="85">
        <f>'Налоговые поступл в бюджет'!K9/ВРП!L9*100</f>
        <v>13.581503469976766</v>
      </c>
      <c r="M9" s="85">
        <f>'Налоговые поступл в бюджет'!L9/ВРП!M9*100</f>
        <v>13.653852202704217</v>
      </c>
      <c r="N9" s="85">
        <f>'Налоговые поступл в бюджет'!M9/ВРП!N9*100</f>
        <v>12.905573991608025</v>
      </c>
      <c r="O9" s="85">
        <f>'Налоговые поступл в бюджет'!N9/ВРП!O9*100</f>
        <v>14.564361655708169</v>
      </c>
      <c r="P9" s="85">
        <f>'Налоговые поступл в бюджет'!O9/ВРП!P9*100</f>
        <v>13.50163954782137</v>
      </c>
      <c r="Q9" s="85">
        <f>'Налоговые поступл в бюджет'!P9/ВРП!Q9*100</f>
        <v>13.455864855081362</v>
      </c>
      <c r="R9" s="85">
        <f>'Налоговые поступл в бюджет'!Q9/ВРП!R9*100</f>
        <v>11.794063196430706</v>
      </c>
    </row>
    <row r="10" spans="1:18" x14ac:dyDescent="0.25">
      <c r="A10" s="85">
        <v>9</v>
      </c>
      <c r="B10" s="84" t="s">
        <v>9</v>
      </c>
      <c r="C10" s="85">
        <f>'Налоговые поступл в бюджет'!B10/ВРП!C10*100</f>
        <v>16.702710297366842</v>
      </c>
      <c r="D10" s="85">
        <f>'Налоговые поступл в бюджет'!C10/ВРП!D10*100</f>
        <v>17.787099436884173</v>
      </c>
      <c r="E10" s="85">
        <f>'Налоговые поступл в бюджет'!D10/ВРП!E10*100</f>
        <v>12.960349630519275</v>
      </c>
      <c r="F10" s="85">
        <f>'Налоговые поступл в бюджет'!E10/ВРП!F10*100</f>
        <v>11.646146412660933</v>
      </c>
      <c r="G10" s="85">
        <f>'Налоговые поступл в бюджет'!F10/ВРП!G10*100</f>
        <v>9.362310400508246</v>
      </c>
      <c r="H10" s="85">
        <f>'Налоговые поступл в бюджет'!G10/ВРП!H10*100</f>
        <v>8.7424445241081195</v>
      </c>
      <c r="I10" s="85">
        <f>'Налоговые поступл в бюджет'!H10/ВРП!I10*100</f>
        <v>7.2680955385509112</v>
      </c>
      <c r="J10" s="85">
        <f>'Налоговые поступл в бюджет'!I10/ВРП!J10*100</f>
        <v>8.2901811209155909</v>
      </c>
      <c r="K10" s="85">
        <f>'Налоговые поступл в бюджет'!J10/ВРП!K10*100</f>
        <v>8.9482275708664378</v>
      </c>
      <c r="L10" s="85">
        <f>'Налоговые поступл в бюджет'!K10/ВРП!L10*100</f>
        <v>9.9701228089327909</v>
      </c>
      <c r="M10" s="85">
        <f>'Налоговые поступл в бюджет'!L10/ВРП!M10*100</f>
        <v>10.254673611669459</v>
      </c>
      <c r="N10" s="85">
        <f>'Налоговые поступл в бюджет'!M10/ВРП!N10*100</f>
        <v>8.8909762426928545</v>
      </c>
      <c r="O10" s="85">
        <f>'Налоговые поступл в бюджет'!N10/ВРП!O10*100</f>
        <v>8.6620169628935475</v>
      </c>
      <c r="P10" s="85">
        <f>'Налоговые поступл в бюджет'!O10/ВРП!P10*100</f>
        <v>9.644946460317243</v>
      </c>
      <c r="Q10" s="85">
        <f>'Налоговые поступл в бюджет'!P10/ВРП!Q10*100</f>
        <v>10.386514253655458</v>
      </c>
      <c r="R10" s="85">
        <f>'Налоговые поступл в бюджет'!Q10/ВРП!R10*100</f>
        <v>9.018456636370189</v>
      </c>
    </row>
    <row r="11" spans="1:18" x14ac:dyDescent="0.25">
      <c r="A11" s="85">
        <v>10</v>
      </c>
      <c r="B11" s="84" t="s">
        <v>10</v>
      </c>
      <c r="C11" s="85">
        <f>'Налоговые поступл в бюджет'!B11/ВРП!C11*100</f>
        <v>22.267241813959537</v>
      </c>
      <c r="D11" s="85">
        <f>'Налоговые поступл в бюджет'!C11/ВРП!D11*100</f>
        <v>21.193350649862165</v>
      </c>
      <c r="E11" s="85">
        <f>'Налоговые поступл в бюджет'!D11/ВРП!E11*100</f>
        <v>21.35492774707118</v>
      </c>
      <c r="F11" s="85">
        <f>'Налоговые поступл в бюджет'!E11/ВРП!F11*100</f>
        <v>20.489873024688396</v>
      </c>
      <c r="G11" s="85">
        <f>'Налоговые поступл в бюджет'!F11/ВРП!G11*100</f>
        <v>20.91059749857563</v>
      </c>
      <c r="H11" s="85">
        <f>'Налоговые поступл в бюджет'!G11/ВРП!H11*100</f>
        <v>20.696168238693545</v>
      </c>
      <c r="I11" s="85">
        <f>'Налоговые поступл в бюджет'!H11/ВРП!I11*100</f>
        <v>20.414128972071925</v>
      </c>
      <c r="J11" s="85">
        <f>'Налоговые поступл в бюджет'!I11/ВРП!J11*100</f>
        <v>21.656115216021981</v>
      </c>
      <c r="K11" s="85">
        <f>'Налоговые поступл в бюджет'!J11/ВРП!K11*100</f>
        <v>21.432688368179832</v>
      </c>
      <c r="L11" s="85">
        <f>'Налоговые поступл в бюджет'!K11/ВРП!L11*100</f>
        <v>21.882148150446348</v>
      </c>
      <c r="M11" s="85">
        <f>'Налоговые поступл в бюджет'!L11/ВРП!M11*100</f>
        <v>20.227543274681832</v>
      </c>
      <c r="N11" s="85">
        <f>'Налоговые поступл в бюджет'!M11/ВРП!N11*100</f>
        <v>20.052918660564053</v>
      </c>
      <c r="O11" s="85">
        <f>'Налоговые поступл в бюджет'!N11/ВРП!O11*100</f>
        <v>22.023846638962191</v>
      </c>
      <c r="P11" s="85">
        <f>'Налоговые поступл в бюджет'!O11/ВРП!P11*100</f>
        <v>21.897049642521978</v>
      </c>
      <c r="Q11" s="85">
        <f>'Налоговые поступл в бюджет'!P11/ВРП!Q11*100</f>
        <v>21.051120603148039</v>
      </c>
      <c r="R11" s="85">
        <f>'Налоговые поступл в бюджет'!Q11/ВРП!R11*100</f>
        <v>21.103386000346983</v>
      </c>
    </row>
    <row r="12" spans="1:18" x14ac:dyDescent="0.25">
      <c r="A12" s="85">
        <v>11</v>
      </c>
      <c r="B12" s="84" t="s">
        <v>11</v>
      </c>
      <c r="C12" s="85">
        <f>'Налоговые поступл в бюджет'!B12/ВРП!C12*100</f>
        <v>18.921851231339986</v>
      </c>
      <c r="D12" s="85">
        <f>'Налоговые поступл в бюджет'!C12/ВРП!D12*100</f>
        <v>21.044850744426064</v>
      </c>
      <c r="E12" s="85">
        <f>'Налоговые поступл в бюджет'!D12/ВРП!E12*100</f>
        <v>15.670832619985161</v>
      </c>
      <c r="F12" s="85">
        <f>'Налоговые поступл в бюджет'!E12/ВРП!F12*100</f>
        <v>16.371590329564839</v>
      </c>
      <c r="G12" s="85">
        <f>'Налоговые поступл в бюджет'!F12/ВРП!G12*100</f>
        <v>14.460140625620699</v>
      </c>
      <c r="H12" s="85">
        <f>'Налоговые поступл в бюджет'!G12/ВРП!H12*100</f>
        <v>15.518467146342587</v>
      </c>
      <c r="I12" s="85">
        <f>'Налоговые поступл в бюджет'!H12/ВРП!I12*100</f>
        <v>14.480762693390609</v>
      </c>
      <c r="J12" s="85">
        <f>'Налоговые поступл в бюджет'!I12/ВРП!J12*100</f>
        <v>13.110881897179528</v>
      </c>
      <c r="K12" s="85">
        <f>'Налоговые поступл в бюджет'!J12/ВРП!K12*100</f>
        <v>11.830054551963933</v>
      </c>
      <c r="L12" s="85">
        <f>'Налоговые поступл в бюджет'!K12/ВРП!L12*100</f>
        <v>11.733758335779893</v>
      </c>
      <c r="M12" s="85">
        <f>'Налоговые поступл в бюджет'!L12/ВРП!M12*100</f>
        <v>9.9996206262164566</v>
      </c>
      <c r="N12" s="85">
        <f>'Налоговые поступл в бюджет'!M12/ВРП!N12*100</f>
        <v>10.579852477171574</v>
      </c>
      <c r="O12" s="85">
        <f>'Налоговые поступл в бюджет'!N12/ВРП!O12*100</f>
        <v>11.789635532237089</v>
      </c>
      <c r="P12" s="85">
        <f>'Налоговые поступл в бюджет'!O12/ВРП!P12*100</f>
        <v>10.825976935166892</v>
      </c>
      <c r="Q12" s="85">
        <f>'Налоговые поступл в бюджет'!P12/ВРП!Q12*100</f>
        <v>10.20797394689029</v>
      </c>
      <c r="R12" s="85">
        <f>'Налоговые поступл в бюджет'!Q12/ВРП!R12*100</f>
        <v>11.316631977245736</v>
      </c>
    </row>
    <row r="13" spans="1:18" x14ac:dyDescent="0.25">
      <c r="A13" s="85">
        <v>12</v>
      </c>
      <c r="B13" s="84" t="s">
        <v>12</v>
      </c>
      <c r="C13" s="85">
        <f>'Налоговые поступл в бюджет'!B13/ВРП!C13*100</f>
        <v>22.659028450144405</v>
      </c>
      <c r="D13" s="85">
        <f>'Налоговые поступл в бюджет'!C13/ВРП!D13*100</f>
        <v>23.568349797472603</v>
      </c>
      <c r="E13" s="85">
        <f>'Налоговые поступл в бюджет'!D13/ВРП!E13*100</f>
        <v>25.333786185588085</v>
      </c>
      <c r="F13" s="85">
        <f>'Налоговые поступл в бюджет'!E13/ВРП!F13*100</f>
        <v>24.517552973269609</v>
      </c>
      <c r="G13" s="85">
        <f>'Налоговые поступл в бюджет'!F13/ВРП!G13*100</f>
        <v>23.786581234244224</v>
      </c>
      <c r="H13" s="85">
        <f>'Налоговые поступл в бюджет'!G13/ВРП!H13*100</f>
        <v>25.052992861525205</v>
      </c>
      <c r="I13" s="85">
        <f>'Налоговые поступл в бюджет'!H13/ВРП!I13*100</f>
        <v>26.216922742135377</v>
      </c>
      <c r="J13" s="85">
        <f>'Налоговые поступл в бюджет'!I13/ВРП!J13*100</f>
        <v>26.96703581512012</v>
      </c>
      <c r="K13" s="85">
        <f>'Налоговые поступл в бюджет'!J13/ВРП!K13*100</f>
        <v>32.264544115093287</v>
      </c>
      <c r="L13" s="85">
        <f>'Налоговые поступл в бюджет'!K13/ВРП!L13*100</f>
        <v>25.777734778427241</v>
      </c>
      <c r="M13" s="85">
        <f>'Налоговые поступл в бюджет'!L13/ВРП!M13*100</f>
        <v>24.468065352899345</v>
      </c>
      <c r="N13" s="85">
        <f>'Налоговые поступл в бюджет'!M13/ВРП!N13*100</f>
        <v>29.646983793854069</v>
      </c>
      <c r="O13" s="85">
        <f>'Налоговые поступл в бюджет'!N13/ВРП!O13*100</f>
        <v>30.805470282490887</v>
      </c>
      <c r="P13" s="85">
        <f>'Налоговые поступл в бюджет'!O13/ВРП!P13*100</f>
        <v>30.046080736038871</v>
      </c>
      <c r="Q13" s="85">
        <f>'Налоговые поступл в бюджет'!P13/ВРП!Q13*100</f>
        <v>33.348920473934697</v>
      </c>
      <c r="R13" s="85">
        <f>'Налоговые поступл в бюджет'!Q13/ВРП!R13*100</f>
        <v>32.550264181452945</v>
      </c>
    </row>
    <row r="14" spans="1:18" x14ac:dyDescent="0.25">
      <c r="A14" s="85">
        <v>13</v>
      </c>
      <c r="B14" s="84" t="s">
        <v>13</v>
      </c>
      <c r="C14" s="85">
        <f>'Налоговые поступл в бюджет'!B14/ВРП!C14*100</f>
        <v>19.060336723356976</v>
      </c>
      <c r="D14" s="85">
        <f>'Налоговые поступл в бюджет'!C14/ВРП!D14*100</f>
        <v>18.944023156898616</v>
      </c>
      <c r="E14" s="85">
        <f>'Налоговые поступл в бюджет'!D14/ВРП!E14*100</f>
        <v>18.380747183485646</v>
      </c>
      <c r="F14" s="85">
        <f>'Налоговые поступл в бюджет'!E14/ВРП!F14*100</f>
        <v>15.711920842951516</v>
      </c>
      <c r="G14" s="85">
        <f>'Налоговые поступл в бюджет'!F14/ВРП!G14*100</f>
        <v>15.11804251971896</v>
      </c>
      <c r="H14" s="85">
        <f>'Налоговые поступл в бюджет'!G14/ВРП!H14*100</f>
        <v>14.846998114184604</v>
      </c>
      <c r="I14" s="85">
        <f>'Налоговые поступл в бюджет'!H14/ВРП!I14*100</f>
        <v>14.097941779145684</v>
      </c>
      <c r="J14" s="85">
        <f>'Налоговые поступл в бюджет'!I14/ВРП!J14*100</f>
        <v>14.069829102602855</v>
      </c>
      <c r="K14" s="85">
        <f>'Налоговые поступл в бюджет'!J14/ВРП!K14*100</f>
        <v>15.15817105093651</v>
      </c>
      <c r="L14" s="85">
        <f>'Налоговые поступл в бюджет'!K14/ВРП!L14*100</f>
        <v>16.983759966017654</v>
      </c>
      <c r="M14" s="85">
        <f>'Налоговые поступл в бюджет'!L14/ВРП!M14*100</f>
        <v>17.396383734283628</v>
      </c>
      <c r="N14" s="85">
        <f>'Налоговые поступл в бюджет'!M14/ВРП!N14*100</f>
        <v>17.011898142662258</v>
      </c>
      <c r="O14" s="85">
        <f>'Налоговые поступл в бюджет'!N14/ВРП!O14*100</f>
        <v>15.632691261320538</v>
      </c>
      <c r="P14" s="85">
        <f>'Налоговые поступл в бюджет'!O14/ВРП!P14*100</f>
        <v>15.345349472762315</v>
      </c>
      <c r="Q14" s="85">
        <f>'Налоговые поступл в бюджет'!P14/ВРП!Q14*100</f>
        <v>14.588513811495957</v>
      </c>
      <c r="R14" s="85">
        <f>'Налоговые поступл в бюджет'!Q14/ВРП!R14*100</f>
        <v>17.289993588009363</v>
      </c>
    </row>
    <row r="15" spans="1:18" x14ac:dyDescent="0.25">
      <c r="A15" s="85">
        <v>14</v>
      </c>
      <c r="B15" s="84" t="s">
        <v>14</v>
      </c>
      <c r="C15" s="85">
        <f>'Налоговые поступл в бюджет'!B15/ВРП!C15*100</f>
        <v>14.630400472845942</v>
      </c>
      <c r="D15" s="85">
        <f>'Налоговые поступл в бюджет'!C15/ВРП!D15*100</f>
        <v>13.022182327853152</v>
      </c>
      <c r="E15" s="85">
        <f>'Налоговые поступл в бюджет'!D15/ВРП!E15*100</f>
        <v>11.849629760957225</v>
      </c>
      <c r="F15" s="85">
        <f>'Налоговые поступл в бюджет'!E15/ВРП!F15*100</f>
        <v>11.003591644874042</v>
      </c>
      <c r="G15" s="85">
        <f>'Налоговые поступл в бюджет'!F15/ВРП!G15*100</f>
        <v>10.436174434563565</v>
      </c>
      <c r="H15" s="85">
        <f>'Налоговые поступл в бюджет'!G15/ВРП!H15*100</f>
        <v>11.111836911684588</v>
      </c>
      <c r="I15" s="85">
        <f>'Налоговые поступл в бюджет'!H15/ВРП!I15*100</f>
        <v>9.5491712694428941</v>
      </c>
      <c r="J15" s="85">
        <f>'Налоговые поступл в бюджет'!I15/ВРП!J15*100</f>
        <v>8.7097557436993274</v>
      </c>
      <c r="K15" s="85">
        <f>'Налоговые поступл в бюджет'!J15/ВРП!K15*100</f>
        <v>8.2768758364683492</v>
      </c>
      <c r="L15" s="85">
        <f>'Налоговые поступл в бюджет'!K15/ВРП!L15*100</f>
        <v>8.494257963673153</v>
      </c>
      <c r="M15" s="85">
        <f>'Налоговые поступл в бюджет'!L15/ВРП!M15*100</f>
        <v>9.3965046276374569</v>
      </c>
      <c r="N15" s="85">
        <f>'Налоговые поступл в бюджет'!M15/ВРП!N15*100</f>
        <v>10.156975779555465</v>
      </c>
      <c r="O15" s="85">
        <f>'Налоговые поступл в бюджет'!N15/ВРП!O15*100</f>
        <v>9.6934948865612132</v>
      </c>
      <c r="P15" s="85">
        <f>'Налоговые поступл в бюджет'!O15/ВРП!P15*100</f>
        <v>9.412473856500835</v>
      </c>
      <c r="Q15" s="85">
        <f>'Налоговые поступл в бюджет'!P15/ВРП!Q15*100</f>
        <v>8.9962286389738928</v>
      </c>
      <c r="R15" s="85">
        <f>'Налоговые поступл в бюджет'!Q15/ВРП!R15*100</f>
        <v>10.110264693842336</v>
      </c>
    </row>
    <row r="16" spans="1:18" x14ac:dyDescent="0.25">
      <c r="A16" s="85">
        <v>15</v>
      </c>
      <c r="B16" s="84" t="s">
        <v>15</v>
      </c>
      <c r="C16" s="85">
        <f>'Налоговые поступл в бюджет'!B16/ВРП!C16*100</f>
        <v>19.624778373826338</v>
      </c>
      <c r="D16" s="85">
        <f>'Налоговые поступл в бюджет'!C16/ВРП!D16*100</f>
        <v>18.605679164723416</v>
      </c>
      <c r="E16" s="85">
        <f>'Налоговые поступл в бюджет'!D16/ВРП!E16*100</f>
        <v>17.339231170522435</v>
      </c>
      <c r="F16" s="85">
        <f>'Налоговые поступл в бюджет'!E16/ВРП!F16*100</f>
        <v>15.844926488561132</v>
      </c>
      <c r="G16" s="85">
        <f>'Налоговые поступл в бюджет'!F16/ВРП!G16*100</f>
        <v>16.306838588273383</v>
      </c>
      <c r="H16" s="85">
        <f>'Налоговые поступл в бюджет'!G16/ВРП!H16*100</f>
        <v>16.877841546011073</v>
      </c>
      <c r="I16" s="85">
        <f>'Налоговые поступл в бюджет'!H16/ВРП!I16*100</f>
        <v>14.901930035715266</v>
      </c>
      <c r="J16" s="85">
        <f>'Налоговые поступл в бюджет'!I16/ВРП!J16*100</f>
        <v>16.897366635343285</v>
      </c>
      <c r="K16" s="85">
        <f>'Налоговые поступл в бюджет'!J16/ВРП!K16*100</f>
        <v>15.961053232137761</v>
      </c>
      <c r="L16" s="85">
        <f>'Налоговые поступл в бюджет'!K16/ВРП!L16*100</f>
        <v>16.302542029201561</v>
      </c>
      <c r="M16" s="85">
        <f>'Налоговые поступл в бюджет'!L16/ВРП!M16*100</f>
        <v>15.910514052715888</v>
      </c>
      <c r="N16" s="85">
        <f>'Налоговые поступл в бюджет'!M16/ВРП!N16*100</f>
        <v>14.945001994345022</v>
      </c>
      <c r="O16" s="85">
        <f>'Налоговые поступл в бюджет'!N16/ВРП!O16*100</f>
        <v>16.060748612540767</v>
      </c>
      <c r="P16" s="85">
        <f>'Налоговые поступл в бюджет'!O16/ВРП!P16*100</f>
        <v>16.081856912295066</v>
      </c>
      <c r="Q16" s="85">
        <f>'Налоговые поступл в бюджет'!P16/ВРП!Q16*100</f>
        <v>15.352396475767293</v>
      </c>
      <c r="R16" s="85">
        <f>'Налоговые поступл в бюджет'!Q16/ВРП!R16*100</f>
        <v>15.149755883910318</v>
      </c>
    </row>
    <row r="17" spans="1:18" x14ac:dyDescent="0.25">
      <c r="A17" s="85">
        <v>16</v>
      </c>
      <c r="B17" s="84" t="s">
        <v>16</v>
      </c>
      <c r="C17" s="85">
        <f>'Налоговые поступл в бюджет'!B17/ВРП!C17*100</f>
        <v>13.457269413841882</v>
      </c>
      <c r="D17" s="85">
        <f>'Налоговые поступл в бюджет'!C17/ВРП!D17*100</f>
        <v>13.358609843497016</v>
      </c>
      <c r="E17" s="85">
        <f>'Налоговые поступл в бюджет'!D17/ВРП!E17*100</f>
        <v>14.400476937400244</v>
      </c>
      <c r="F17" s="85">
        <f>'Налоговые поступл в бюджет'!E17/ВРП!F17*100</f>
        <v>14.351609712649333</v>
      </c>
      <c r="G17" s="85">
        <f>'Налоговые поступл в бюджет'!F17/ВРП!G17*100</f>
        <v>12.832917840329717</v>
      </c>
      <c r="H17" s="85">
        <f>'Налоговые поступл в бюджет'!G17/ВРП!H17*100</f>
        <v>11.854477480040332</v>
      </c>
      <c r="I17" s="85">
        <f>'Налоговые поступл в бюджет'!H17/ВРП!I17*100</f>
        <v>12.6324812160099</v>
      </c>
      <c r="J17" s="85">
        <f>'Налоговые поступл в бюджет'!I17/ВРП!J17*100</f>
        <v>12.577236302625336</v>
      </c>
      <c r="K17" s="85">
        <f>'Налоговые поступл в бюджет'!J17/ВРП!K17*100</f>
        <v>13.051169021028933</v>
      </c>
      <c r="L17" s="85">
        <f>'Налоговые поступл в бюджет'!K17/ВРП!L17*100</f>
        <v>14.879586925836911</v>
      </c>
      <c r="M17" s="85">
        <f>'Налоговые поступл в бюджет'!L17/ВРП!M17*100</f>
        <v>11.901047414466458</v>
      </c>
      <c r="N17" s="85">
        <f>'Налоговые поступл в бюджет'!M17/ВРП!N17*100</f>
        <v>11.176716911464172</v>
      </c>
      <c r="O17" s="85">
        <f>'Налоговые поступл в бюджет'!N17/ВРП!O17*100</f>
        <v>11.525060132247839</v>
      </c>
      <c r="P17" s="85">
        <f>'Налоговые поступл в бюджет'!O17/ВРП!P17*100</f>
        <v>11.896932987515047</v>
      </c>
      <c r="Q17" s="85">
        <f>'Налоговые поступл в бюджет'!P17/ВРП!Q17*100</f>
        <v>12.719958251927086</v>
      </c>
      <c r="R17" s="85">
        <f>'Налоговые поступл в бюджет'!Q17/ВРП!R17*100</f>
        <v>13.606309170628153</v>
      </c>
    </row>
    <row r="18" spans="1:18" x14ac:dyDescent="0.25">
      <c r="A18" s="85">
        <v>17</v>
      </c>
      <c r="B18" s="84" t="s">
        <v>17</v>
      </c>
      <c r="C18" s="85">
        <f>'Налоговые поступл в бюджет'!B18/ВРП!C18*100</f>
        <v>23.410368291250194</v>
      </c>
      <c r="D18" s="85">
        <f>'Налоговые поступл в бюджет'!C18/ВРП!D18*100</f>
        <v>20.555492115900986</v>
      </c>
      <c r="E18" s="85">
        <f>'Налоговые поступл в бюджет'!D18/ВРП!E18*100</f>
        <v>24.074767857860675</v>
      </c>
      <c r="F18" s="85">
        <f>'Налоговые поступл в бюджет'!E18/ВРП!F18*100</f>
        <v>23.288514387081801</v>
      </c>
      <c r="G18" s="85">
        <f>'Налоговые поступл в бюджет'!F18/ВРП!G18*100</f>
        <v>21.926949038105288</v>
      </c>
      <c r="H18" s="85">
        <f>'Налоговые поступл в бюджет'!G18/ВРП!H18*100</f>
        <v>24.101041544958353</v>
      </c>
      <c r="I18" s="85">
        <f>'Налоговые поступл в бюджет'!H18/ВРП!I18*100</f>
        <v>24.653384094017614</v>
      </c>
      <c r="J18" s="85">
        <f>'Налоговые поступл в бюджет'!I18/ВРП!J18*100</f>
        <v>26.861575240253295</v>
      </c>
      <c r="K18" s="85">
        <f>'Налоговые поступл в бюджет'!J18/ВРП!K18*100</f>
        <v>27.794253900520804</v>
      </c>
      <c r="L18" s="85">
        <f>'Налоговые поступл в бюджет'!K18/ВРП!L18*100</f>
        <v>27.568187832917967</v>
      </c>
      <c r="M18" s="85">
        <f>'Налоговые поступл в бюджет'!L18/ВРП!M18*100</f>
        <v>23.866588752931076</v>
      </c>
      <c r="N18" s="85">
        <f>'Налоговые поступл в бюджет'!M18/ВРП!N18*100</f>
        <v>26.598580695425365</v>
      </c>
      <c r="O18" s="85">
        <f>'Налоговые поступл в бюджет'!N18/ВРП!O18*100</f>
        <v>27.794546506745949</v>
      </c>
      <c r="P18" s="85">
        <f>'Налоговые поступл в бюджет'!O18/ВРП!P18*100</f>
        <v>24.178512923895141</v>
      </c>
      <c r="Q18" s="85">
        <f>'Налоговые поступл в бюджет'!P18/ВРП!Q18*100</f>
        <v>25.217547786356004</v>
      </c>
      <c r="R18" s="85">
        <f>'Налоговые поступл в бюджет'!Q18/ВРП!R18*100</f>
        <v>23.514196109785797</v>
      </c>
    </row>
    <row r="19" spans="1:18" x14ac:dyDescent="0.25">
      <c r="A19" s="85">
        <v>18</v>
      </c>
      <c r="B19" s="84" t="s">
        <v>18</v>
      </c>
      <c r="C19" s="85">
        <f>'Налоговые поступл в бюджет'!B19/ВРП!C19*100</f>
        <v>19.391207284003357</v>
      </c>
      <c r="D19" s="85">
        <f>'Налоговые поступл в бюджет'!C19/ВРП!D19*100</f>
        <v>20.361798435993176</v>
      </c>
      <c r="E19" s="85">
        <f>'Налоговые поступл в бюджет'!D19/ВРП!E19*100</f>
        <v>29.926875141375582</v>
      </c>
      <c r="F19" s="85">
        <f>'Налоговые поступл в бюджет'!E19/ВРП!F19*100</f>
        <v>22.239034935647666</v>
      </c>
      <c r="G19" s="85">
        <f>'Налоговые поступл в бюджет'!F19/ВРП!G19*100</f>
        <v>19.832608023008479</v>
      </c>
      <c r="H19" s="85">
        <f>'Налоговые поступл в бюджет'!G19/ВРП!H19*100</f>
        <v>19.951549355422902</v>
      </c>
      <c r="I19" s="85">
        <f>'Налоговые поступл в бюджет'!H19/ВРП!I19*100</f>
        <v>20.488616445236339</v>
      </c>
      <c r="J19" s="85">
        <f>'Налоговые поступл в бюджет'!I19/ВРП!J19*100</f>
        <v>20.31241848300305</v>
      </c>
      <c r="K19" s="85">
        <f>'Налоговые поступл в бюджет'!J19/ВРП!K19*100</f>
        <v>17.924025434194625</v>
      </c>
      <c r="L19" s="85">
        <f>'Налоговые поступл в бюджет'!K19/ВРП!L19*100</f>
        <v>17.479803651867925</v>
      </c>
      <c r="M19" s="85">
        <f>'Налоговые поступл в бюджет'!L19/ВРП!M19*100</f>
        <v>18.390330694056516</v>
      </c>
      <c r="N19" s="85">
        <f>'Налоговые поступл в бюджет'!M19/ВРП!N19*100</f>
        <v>18.606373998252955</v>
      </c>
      <c r="O19" s="85">
        <f>'Налоговые поступл в бюджет'!N19/ВРП!O19*100</f>
        <v>19.56062376596585</v>
      </c>
      <c r="P19" s="85">
        <f>'Налоговые поступл в бюджет'!O19/ВРП!P19*100</f>
        <v>19.504554652921435</v>
      </c>
      <c r="Q19" s="85">
        <f>'Налоговые поступл в бюджет'!P19/ВРП!Q19*100</f>
        <v>19.536005787423214</v>
      </c>
      <c r="R19" s="85">
        <f>'Налоговые поступл в бюджет'!Q19/ВРП!R19*100</f>
        <v>19.835512214097385</v>
      </c>
    </row>
    <row r="20" spans="1:18" x14ac:dyDescent="0.25">
      <c r="A20" s="85">
        <v>19</v>
      </c>
      <c r="B20" s="84" t="s">
        <v>19</v>
      </c>
      <c r="C20" s="85">
        <f>'Налоговые поступл в бюджет'!B20/ВРП!C20*100</f>
        <v>14.969503972781778</v>
      </c>
      <c r="D20" s="85">
        <f>'Налоговые поступл в бюджет'!C20/ВРП!D20*100</f>
        <v>13.862561633085319</v>
      </c>
      <c r="E20" s="85">
        <f>'Налоговые поступл в бюджет'!D20/ВРП!E20*100</f>
        <v>12.288522446232577</v>
      </c>
      <c r="F20" s="85">
        <f>'Налоговые поступл в бюджет'!E20/ВРП!F20*100</f>
        <v>15.018549026892183</v>
      </c>
      <c r="G20" s="85">
        <f>'Налоговые поступл в бюджет'!F20/ВРП!G20*100</f>
        <v>10.714747635335112</v>
      </c>
      <c r="H20" s="85">
        <f>'Налоговые поступл в бюджет'!G20/ВРП!H20*100</f>
        <v>14.17983209873265</v>
      </c>
      <c r="I20" s="85">
        <f>'Налоговые поступл в бюджет'!H20/ВРП!I20*100</f>
        <v>13.550886490609773</v>
      </c>
      <c r="J20" s="85">
        <f>'Налоговые поступл в бюджет'!I20/ВРП!J20*100</f>
        <v>14.013625214885462</v>
      </c>
      <c r="K20" s="85">
        <f>'Налоговые поступл в бюджет'!J20/ВРП!K20*100</f>
        <v>11.264460954722502</v>
      </c>
      <c r="L20" s="85">
        <f>'Налоговые поступл в бюджет'!K20/ВРП!L20*100</f>
        <v>11.377980575557253</v>
      </c>
      <c r="M20" s="85">
        <f>'Налоговые поступл в бюджет'!L20/ВРП!M20*100</f>
        <v>11.257843097955902</v>
      </c>
      <c r="N20" s="85">
        <f>'Налоговые поступл в бюджет'!M20/ВРП!N20*100</f>
        <v>11.025654874426142</v>
      </c>
      <c r="O20" s="85">
        <f>'Налоговые поступл в бюджет'!N20/ВРП!O20*100</f>
        <v>10.467062453814133</v>
      </c>
      <c r="P20" s="85">
        <f>'Налоговые поступл в бюджет'!O20/ВРП!P20*100</f>
        <v>11.759943488216951</v>
      </c>
      <c r="Q20" s="85">
        <f>'Налоговые поступл в бюджет'!P20/ВРП!Q20*100</f>
        <v>13.21990241238287</v>
      </c>
      <c r="R20" s="85">
        <f>'Налоговые поступл в бюджет'!Q20/ВРП!R20*100</f>
        <v>11.371782639150805</v>
      </c>
    </row>
    <row r="21" spans="1:18" x14ac:dyDescent="0.25">
      <c r="A21" s="85">
        <v>20</v>
      </c>
      <c r="B21" s="84" t="s">
        <v>20</v>
      </c>
      <c r="C21" s="85">
        <f>'Налоговые поступл в бюджет'!B21/ВРП!C21*100</f>
        <v>35.129580076027153</v>
      </c>
      <c r="D21" s="85">
        <f>'Налоговые поступл в бюджет'!C21/ВРП!D21*100</f>
        <v>34.99499063346861</v>
      </c>
      <c r="E21" s="85">
        <f>'Налоговые поступл в бюджет'!D21/ВРП!E21*100</f>
        <v>32.209885527917216</v>
      </c>
      <c r="F21" s="85">
        <f>'Налоговые поступл в бюджет'!E21/ВРП!F21*100</f>
        <v>35.456240505448541</v>
      </c>
      <c r="G21" s="85">
        <f>'Налоговые поступл в бюджет'!F21/ВРП!G21*100</f>
        <v>23.044471584367933</v>
      </c>
      <c r="H21" s="85">
        <f>'Налоговые поступл в бюджет'!G21/ВРП!H21*100</f>
        <v>22.736418795375481</v>
      </c>
      <c r="I21" s="85">
        <f>'Налоговые поступл в бюджет'!H21/ВРП!I21*100</f>
        <v>24.599245847032051</v>
      </c>
      <c r="J21" s="85">
        <f>'Налоговые поступл в бюджет'!I21/ВРП!J21*100</f>
        <v>24.431220414181112</v>
      </c>
      <c r="K21" s="85">
        <f>'Налоговые поступл в бюджет'!J21/ВРП!K21*100</f>
        <v>24.947111717519483</v>
      </c>
      <c r="L21" s="85">
        <f>'Налоговые поступл в бюджет'!K21/ВРП!L21*100</f>
        <v>26.656367179472351</v>
      </c>
      <c r="M21" s="85">
        <f>'Налоговые поступл в бюджет'!L21/ВРП!M21*100</f>
        <v>28.78189277358927</v>
      </c>
      <c r="N21" s="85">
        <f>'Налоговые поступл в бюджет'!M21/ВРП!N21*100</f>
        <v>27.117670752981653</v>
      </c>
      <c r="O21" s="85">
        <f>'Налоговые поступл в бюджет'!N21/ВРП!O21*100</f>
        <v>31.053148247005442</v>
      </c>
      <c r="P21" s="85">
        <f>'Налоговые поступл в бюджет'!O21/ВРП!P21*100</f>
        <v>35.759551425588263</v>
      </c>
      <c r="Q21" s="85">
        <f>'Налоговые поступл в бюджет'!P21/ВРП!Q21*100</f>
        <v>33.957760974477331</v>
      </c>
      <c r="R21" s="85">
        <f>'Налоговые поступл в бюджет'!Q21/ВРП!R21*100</f>
        <v>23.264991137095848</v>
      </c>
    </row>
    <row r="22" spans="1:18" x14ac:dyDescent="0.25">
      <c r="A22" s="85">
        <v>21</v>
      </c>
      <c r="B22" s="84" t="s">
        <v>21</v>
      </c>
      <c r="C22" s="85">
        <f>'Налоговые поступл в бюджет'!B22/ВРП!C22*100</f>
        <v>10.161902598877388</v>
      </c>
      <c r="D22" s="85">
        <f>'Налоговые поступл в бюджет'!C22/ВРП!D22*100</f>
        <v>24.935639669211749</v>
      </c>
      <c r="E22" s="85">
        <f>'Налоговые поступл в бюджет'!D22/ВРП!E22*100</f>
        <v>21.852101502165652</v>
      </c>
      <c r="F22" s="85">
        <f>'Налоговые поступл в бюджет'!E22/ВРП!F22*100</f>
        <v>23.139580591801582</v>
      </c>
      <c r="G22" s="85">
        <f>'Налоговые поступл в бюджет'!F22/ВРП!G22*100</f>
        <v>15.082192339592371</v>
      </c>
      <c r="H22" s="85">
        <f>'Налоговые поступл в бюджет'!G22/ВРП!H22*100</f>
        <v>18.55365059677343</v>
      </c>
      <c r="I22" s="85">
        <f>'Налоговые поступл в бюджет'!H22/ВРП!I22*100</f>
        <v>19.668525549466569</v>
      </c>
      <c r="J22" s="85">
        <f>'Налоговые поступл в бюджет'!I22/ВРП!J22*100</f>
        <v>20.461916278865004</v>
      </c>
      <c r="K22" s="85">
        <f>'Налоговые поступл в бюджет'!J22/ВРП!K22*100</f>
        <v>19.438542789161502</v>
      </c>
      <c r="L22" s="85">
        <f>'Налоговые поступл в бюджет'!K22/ВРП!L22*100</f>
        <v>8.9949185113635579</v>
      </c>
      <c r="M22" s="85">
        <f>'Налоговые поступл в бюджет'!L22/ВРП!M22*100</f>
        <v>10.063739240249415</v>
      </c>
      <c r="N22" s="85">
        <f>'Налоговые поступл в бюджет'!M22/ВРП!N22*100</f>
        <v>7.7946920882438819</v>
      </c>
      <c r="O22" s="85">
        <f>'Налоговые поступл в бюджет'!N22/ВРП!O22*100</f>
        <v>9.5027195412482115</v>
      </c>
      <c r="P22" s="85">
        <f>'Налоговые поступл в бюджет'!O22/ВРП!P22*100</f>
        <v>9.0180739142163464</v>
      </c>
      <c r="Q22" s="85">
        <f>'Налоговые поступл в бюджет'!P22/ВРП!Q22*100</f>
        <v>10.243667898084235</v>
      </c>
      <c r="R22" s="85">
        <f>'Налоговые поступл в бюджет'!Q22/ВРП!R22*100</f>
        <v>7.8931649138544735</v>
      </c>
    </row>
    <row r="23" spans="1:18" x14ac:dyDescent="0.25">
      <c r="A23" s="85">
        <v>22</v>
      </c>
      <c r="B23" s="84" t="s">
        <v>22</v>
      </c>
      <c r="C23" s="85">
        <f>'Налоговые поступл в бюджет'!B23/ВРП!C23*100</f>
        <v>16.732408395075222</v>
      </c>
      <c r="D23" s="85">
        <f>'Налоговые поступл в бюджет'!C23/ВРП!D23*100</f>
        <v>17.158332805121539</v>
      </c>
      <c r="E23" s="85">
        <f>'Налоговые поступл в бюджет'!D23/ВРП!E23*100</f>
        <v>19.67971897328923</v>
      </c>
      <c r="F23" s="85">
        <f>'Налоговые поступл в бюджет'!E23/ВРП!F23*100</f>
        <v>21.481611331919645</v>
      </c>
      <c r="G23" s="85">
        <f>'Налоговые поступл в бюджет'!F23/ВРП!G23*100</f>
        <v>13.148035421320554</v>
      </c>
      <c r="H23" s="85">
        <f>'Налоговые поступл в бюджет'!G23/ВРП!H23*100</f>
        <v>13.800414353851483</v>
      </c>
      <c r="I23" s="85">
        <f>'Налоговые поступл в бюджет'!H23/ВРП!I23*100</f>
        <v>12.468617278287319</v>
      </c>
      <c r="J23" s="85">
        <f>'Налоговые поступл в бюджет'!I23/ВРП!J23*100</f>
        <v>12.366936088781234</v>
      </c>
      <c r="K23" s="85">
        <f>'Налоговые поступл в бюджет'!J23/ВРП!K23*100</f>
        <v>11.61399004585423</v>
      </c>
      <c r="L23" s="85">
        <f>'Налоговые поступл в бюджет'!K23/ВРП!L23*100</f>
        <v>14.070390951513087</v>
      </c>
      <c r="M23" s="85">
        <f>'Налоговые поступл в бюджет'!L23/ВРП!M23*100</f>
        <v>11.681085336390385</v>
      </c>
      <c r="N23" s="85">
        <f>'Налоговые поступл в бюджет'!M23/ВРП!N23*100</f>
        <v>12.67772710470885</v>
      </c>
      <c r="O23" s="85">
        <f>'Налоговые поступл в бюджет'!N23/ВРП!O23*100</f>
        <v>13.892155496506559</v>
      </c>
      <c r="P23" s="85">
        <f>'Налоговые поступл в бюджет'!O23/ВРП!P23*100</f>
        <v>14.794044389032909</v>
      </c>
      <c r="Q23" s="85">
        <f>'Налоговые поступл в бюджет'!P23/ВРП!Q23*100</f>
        <v>15.663040462669692</v>
      </c>
      <c r="R23" s="85">
        <f>'Налоговые поступл в бюджет'!Q23/ВРП!R23*100</f>
        <v>12.890380017063308</v>
      </c>
    </row>
    <row r="24" spans="1:18" x14ac:dyDescent="0.25">
      <c r="A24" s="85">
        <v>23</v>
      </c>
      <c r="B24" s="84" t="s">
        <v>23</v>
      </c>
      <c r="C24" s="85">
        <f>'Налоговые поступл в бюджет'!B24/ВРП!C24*100</f>
        <v>22.471455663411437</v>
      </c>
      <c r="D24" s="85">
        <f>'Налоговые поступл в бюджет'!C24/ВРП!D24*100</f>
        <v>23.907417875152586</v>
      </c>
      <c r="E24" s="85">
        <f>'Налоговые поступл в бюджет'!D24/ВРП!E24*100</f>
        <v>23.096110060815253</v>
      </c>
      <c r="F24" s="85">
        <f>'Налоговые поступл в бюджет'!E24/ВРП!F24*100</f>
        <v>22.847355364939499</v>
      </c>
      <c r="G24" s="85">
        <f>'Налоговые поступл в бюджет'!F24/ВРП!G24*100</f>
        <v>21.907142300949271</v>
      </c>
      <c r="H24" s="85">
        <f>'Налоговые поступл в бюджет'!G24/ВРП!H24*100</f>
        <v>24.984789202095946</v>
      </c>
      <c r="I24" s="85">
        <f>'Налоговые поступл в бюджет'!H24/ВРП!I24*100</f>
        <v>27.210619871471437</v>
      </c>
      <c r="J24" s="85">
        <f>'Налоговые поступл в бюджет'!I24/ВРП!J24*100</f>
        <v>29.034300417694826</v>
      </c>
      <c r="K24" s="85">
        <f>'Налоговые поступл в бюджет'!J24/ВРП!K24*100</f>
        <v>30.470819085288191</v>
      </c>
      <c r="L24" s="85">
        <f>'Налоговые поступл в бюджет'!K24/ВРП!L24*100</f>
        <v>31.288144130169766</v>
      </c>
      <c r="M24" s="85">
        <f>'Налоговые поступл в бюджет'!L24/ВРП!M24*100</f>
        <v>25.102638910566792</v>
      </c>
      <c r="N24" s="85">
        <f>'Налоговые поступл в бюджет'!M24/ВРП!N24*100</f>
        <v>26.201669472120688</v>
      </c>
      <c r="O24" s="85">
        <f>'Налоговые поступл в бюджет'!N24/ВРП!O24*100</f>
        <v>28.772804143717838</v>
      </c>
      <c r="P24" s="85">
        <f>'Налоговые поступл в бюджет'!O24/ВРП!P24*100</f>
        <v>34.669415471116835</v>
      </c>
      <c r="Q24" s="85">
        <f>'Налоговые поступл в бюджет'!P24/ВРП!Q24*100</f>
        <v>28.958130897421313</v>
      </c>
      <c r="R24" s="85">
        <f>'Налоговые поступл в бюджет'!Q24/ВРП!R24*100</f>
        <v>28.659051302537559</v>
      </c>
    </row>
    <row r="25" spans="1:18" x14ac:dyDescent="0.25">
      <c r="A25" s="85">
        <v>24</v>
      </c>
      <c r="B25" s="84" t="s">
        <v>24</v>
      </c>
      <c r="C25" s="85">
        <f>'Налоговые поступл в бюджет'!B25/ВРП!C25*100</f>
        <v>19.076521941476095</v>
      </c>
      <c r="D25" s="85">
        <f>'Налоговые поступл в бюджет'!C25/ВРП!D25*100</f>
        <v>20.007396505471604</v>
      </c>
      <c r="E25" s="85">
        <f>'Налоговые поступл в бюджет'!D25/ВРП!E25*100</f>
        <v>20.152115370551467</v>
      </c>
      <c r="F25" s="85">
        <f>'Налоговые поступл в бюджет'!E25/ВРП!F25*100</f>
        <v>20.433188938759898</v>
      </c>
      <c r="G25" s="85">
        <f>'Налоговые поступл в бюджет'!F25/ВРП!G25*100</f>
        <v>19.348506199530433</v>
      </c>
      <c r="H25" s="85">
        <f>'Налоговые поступл в бюджет'!G25/ВРП!H25*100</f>
        <v>19.992608662753309</v>
      </c>
      <c r="I25" s="85">
        <f>'Налоговые поступл в бюджет'!H25/ВРП!I25*100</f>
        <v>19.579637346315703</v>
      </c>
      <c r="J25" s="85">
        <f>'Налоговые поступл в бюджет'!I25/ВРП!J25*100</f>
        <v>20.315414283905366</v>
      </c>
      <c r="K25" s="85">
        <f>'Налоговые поступл в бюджет'!J25/ВРП!K25*100</f>
        <v>24.781883293849596</v>
      </c>
      <c r="L25" s="85">
        <f>'Налоговые поступл в бюджет'!K25/ВРП!L25*100</f>
        <v>29.383616919389826</v>
      </c>
      <c r="M25" s="85">
        <f>'Налоговые поступл в бюджет'!L25/ВРП!M25*100</f>
        <v>27.08638225759713</v>
      </c>
      <c r="N25" s="85">
        <f>'Налоговые поступл в бюджет'!M25/ВРП!N25*100</f>
        <v>27.88342790450919</v>
      </c>
      <c r="O25" s="85">
        <f>'Налоговые поступл в бюджет'!N25/ВРП!O25*100</f>
        <v>33.453499523399003</v>
      </c>
      <c r="P25" s="85">
        <f>'Налоговые поступл в бюджет'!O25/ВРП!P25*100</f>
        <v>29.613144592637745</v>
      </c>
      <c r="Q25" s="85">
        <f>'Налоговые поступл в бюджет'!P25/ВРП!Q25*100</f>
        <v>67.522177615255771</v>
      </c>
      <c r="R25" s="85">
        <f>'Налоговые поступл в бюджет'!Q25/ВРП!R25*100</f>
        <v>49.097485587128105</v>
      </c>
    </row>
    <row r="26" spans="1:18" x14ac:dyDescent="0.25">
      <c r="A26" s="85">
        <v>25</v>
      </c>
      <c r="B26" s="84" t="s">
        <v>25</v>
      </c>
      <c r="C26" s="85">
        <f>'Налоговые поступл в бюджет'!B26/ВРП!C26*100</f>
        <v>16.112416478638551</v>
      </c>
      <c r="D26" s="85">
        <f>'Налоговые поступл в бюджет'!C26/ВРП!D26*100</f>
        <v>17.883410170306146</v>
      </c>
      <c r="E26" s="85">
        <f>'Налоговые поступл в бюджет'!D26/ВРП!E26*100</f>
        <v>19.485386612493905</v>
      </c>
      <c r="F26" s="85">
        <f>'Налоговые поступл в бюджет'!E26/ВРП!F26*100</f>
        <v>18.69234350253938</v>
      </c>
      <c r="G26" s="85">
        <f>'Налоговые поступл в бюджет'!F26/ВРП!G26*100</f>
        <v>16.985692422942559</v>
      </c>
      <c r="H26" s="85">
        <f>'Налоговые поступл в бюджет'!G26/ВРП!H26*100</f>
        <v>18.669296334072857</v>
      </c>
      <c r="I26" s="85">
        <f>'Налоговые поступл в бюджет'!H26/ВРП!I26*100</f>
        <v>18.787377512066371</v>
      </c>
      <c r="J26" s="85">
        <f>'Налоговые поступл в бюджет'!I26/ВРП!J26*100</f>
        <v>16.122365915062449</v>
      </c>
      <c r="K26" s="85">
        <f>'Налоговые поступл в бюджет'!J26/ВРП!K26*100</f>
        <v>16.248250775412643</v>
      </c>
      <c r="L26" s="85">
        <f>'Налоговые поступл в бюджет'!K26/ВРП!L26*100</f>
        <v>15.877886684955275</v>
      </c>
      <c r="M26" s="85">
        <f>'Налоговые поступл в бюджет'!L26/ВРП!M26*100</f>
        <v>15.626071541428452</v>
      </c>
      <c r="N26" s="85">
        <f>'Налоговые поступл в бюджет'!M26/ВРП!N26*100</f>
        <v>18.348548950094688</v>
      </c>
      <c r="O26" s="85">
        <f>'Налоговые поступл в бюджет'!N26/ВРП!O26*100</f>
        <v>17.748982398935766</v>
      </c>
      <c r="P26" s="85">
        <f>'Налоговые поступл в бюджет'!O26/ВРП!P26*100</f>
        <v>15.771967922769948</v>
      </c>
      <c r="Q26" s="85">
        <f>'Налоговые поступл в бюджет'!P26/ВРП!Q26*100</f>
        <v>5.2233943243283187</v>
      </c>
      <c r="R26" s="85">
        <f>'Налоговые поступл в бюджет'!Q26/ВРП!R26*100</f>
        <v>9.0453714838638009E-9</v>
      </c>
    </row>
    <row r="27" spans="1:18" x14ac:dyDescent="0.25">
      <c r="A27" s="85">
        <v>26</v>
      </c>
      <c r="B27" s="84" t="s">
        <v>26</v>
      </c>
      <c r="C27" s="85">
        <f>'Налоговые поступл в бюджет'!B27/ВРП!C27*100</f>
        <v>15.153418336901689</v>
      </c>
      <c r="D27" s="85">
        <f>'Налоговые поступл в бюджет'!C27/ВРП!D27*100</f>
        <v>13.580064011702556</v>
      </c>
      <c r="E27" s="85">
        <f>'Налоговые поступл в бюджет'!D27/ВРП!E27*100</f>
        <v>12.977572235126333</v>
      </c>
      <c r="F27" s="85">
        <f>'Налоговые поступл в бюджет'!E27/ВРП!F27*100</f>
        <v>15.85026397999675</v>
      </c>
      <c r="G27" s="85">
        <f>'Налоговые поступл в бюджет'!F27/ВРП!G27*100</f>
        <v>14.330558151389006</v>
      </c>
      <c r="H27" s="85">
        <f>'Налоговые поступл в бюджет'!G27/ВРП!H27*100</f>
        <v>13.452708546886452</v>
      </c>
      <c r="I27" s="85">
        <f>'Налоговые поступл в бюджет'!H27/ВРП!I27*100</f>
        <v>13.352522524812654</v>
      </c>
      <c r="J27" s="85">
        <f>'Налоговые поступл в бюджет'!I27/ВРП!J27*100</f>
        <v>12.77951205616225</v>
      </c>
      <c r="K27" s="85">
        <f>'Налоговые поступл в бюджет'!J27/ВРП!K27*100</f>
        <v>12.225366447803662</v>
      </c>
      <c r="L27" s="85">
        <f>'Налоговые поступл в бюджет'!K27/ВРП!L27*100</f>
        <v>11.029008468049406</v>
      </c>
      <c r="M27" s="85">
        <f>'Налоговые поступл в бюджет'!L27/ВРП!M27*100</f>
        <v>9.5687420778833499</v>
      </c>
      <c r="N27" s="85">
        <f>'Налоговые поступл в бюджет'!M27/ВРП!N27*100</f>
        <v>11.774172541598379</v>
      </c>
      <c r="O27" s="85">
        <f>'Налоговые поступл в бюджет'!N27/ВРП!O27*100</f>
        <v>10.359421840948473</v>
      </c>
      <c r="P27" s="85">
        <f>'Налоговые поступл в бюджет'!O27/ВРП!P27*100</f>
        <v>10.620744404751001</v>
      </c>
      <c r="Q27" s="85">
        <f>'Налоговые поступл в бюджет'!P27/ВРП!Q27*100</f>
        <v>5.235958625988598</v>
      </c>
      <c r="R27" s="85">
        <f>'Налоговые поступл в бюджет'!Q27/ВРП!R27*100</f>
        <v>5.7224334372113379</v>
      </c>
    </row>
    <row r="28" spans="1:18" x14ac:dyDescent="0.25">
      <c r="A28" s="85">
        <v>27</v>
      </c>
      <c r="B28" s="84" t="s">
        <v>27</v>
      </c>
      <c r="C28" s="85">
        <f>'Налоговые поступл в бюджет'!B28/ВРП!C28*100</f>
        <v>15.399835891471531</v>
      </c>
      <c r="D28" s="85">
        <f>'Налоговые поступл в бюджет'!C28/ВРП!D28*100</f>
        <v>14.562740819471134</v>
      </c>
      <c r="E28" s="85">
        <f>'Налоговые поступл в бюджет'!D28/ВРП!E28*100</f>
        <v>14.815981962869893</v>
      </c>
      <c r="F28" s="85">
        <f>'Налоговые поступл в бюджет'!E28/ВРП!F28*100</f>
        <v>13.740393432601197</v>
      </c>
      <c r="G28" s="85">
        <f>'Налоговые поступл в бюджет'!F28/ВРП!G28*100</f>
        <v>13.590219671577728</v>
      </c>
      <c r="H28" s="85">
        <f>'Налоговые поступл в бюджет'!G28/ВРП!H28*100</f>
        <v>13.705349964394827</v>
      </c>
      <c r="I28" s="85">
        <f>'Налоговые поступл в бюджет'!H28/ВРП!I28*100</f>
        <v>13.393632740787176</v>
      </c>
      <c r="J28" s="85">
        <f>'Налоговые поступл в бюджет'!I28/ВРП!J28*100</f>
        <v>13.561298031102536</v>
      </c>
      <c r="K28" s="85">
        <f>'Налоговые поступл в бюджет'!J28/ВРП!K28*100</f>
        <v>13.768388732797215</v>
      </c>
      <c r="L28" s="85">
        <f>'Налоговые поступл в бюджет'!K28/ВРП!L28*100</f>
        <v>13.799650476153557</v>
      </c>
      <c r="M28" s="85">
        <f>'Налоговые поступл в бюджет'!L28/ВРП!M28*100</f>
        <v>11.768307336244218</v>
      </c>
      <c r="N28" s="85">
        <f>'Налоговые поступл в бюджет'!M28/ВРП!N28*100</f>
        <v>11.88719520782994</v>
      </c>
      <c r="O28" s="85">
        <f>'Налоговые поступл в бюджет'!N28/ВРП!O28*100</f>
        <v>12.534376990268518</v>
      </c>
      <c r="P28" s="85">
        <f>'Налоговые поступл в бюджет'!O28/ВРП!P28*100</f>
        <v>14.00487735076433</v>
      </c>
      <c r="Q28" s="85">
        <f>'Налоговые поступл в бюджет'!P28/ВРП!Q28*100</f>
        <v>8.8111762845763106</v>
      </c>
      <c r="R28" s="85">
        <f>'Налоговые поступл в бюджет'!Q28/ВРП!R28*100</f>
        <v>8.8409991807359845</v>
      </c>
    </row>
    <row r="29" spans="1:18" x14ac:dyDescent="0.25">
      <c r="A29" s="85">
        <v>28</v>
      </c>
      <c r="B29" s="84" t="s">
        <v>28</v>
      </c>
      <c r="C29" s="85">
        <f>'Налоговые поступл в бюджет'!B29/ВРП!C29*100</f>
        <v>23.42745900015726</v>
      </c>
      <c r="D29" s="85">
        <f>'Налоговые поступл в бюджет'!C29/ВРП!D29*100</f>
        <v>28.380929249621534</v>
      </c>
      <c r="E29" s="85">
        <f>'Налоговые поступл в бюджет'!D29/ВРП!E29*100</f>
        <v>25.929605613416857</v>
      </c>
      <c r="F29" s="85">
        <f>'Налоговые поступл в бюджет'!E29/ВРП!F29*100</f>
        <v>23.872541309794755</v>
      </c>
      <c r="G29" s="85">
        <f>'Налоговые поступл в бюджет'!F29/ВРП!G29*100</f>
        <v>20.827964230783017</v>
      </c>
      <c r="H29" s="85">
        <f>'Налоговые поступл в бюджет'!G29/ВРП!H29*100</f>
        <v>20.241226996579677</v>
      </c>
      <c r="I29" s="85">
        <f>'Налоговые поступл в бюджет'!H29/ВРП!I29*100</f>
        <v>21.172745938970827</v>
      </c>
      <c r="J29" s="85">
        <f>'Налоговые поступл в бюджет'!I29/ВРП!J29*100</f>
        <v>19.887995883225326</v>
      </c>
      <c r="K29" s="85">
        <f>'Налоговые поступл в бюджет'!J29/ВРП!K29*100</f>
        <v>22.662455392465827</v>
      </c>
      <c r="L29" s="85">
        <f>'Налоговые поступл в бюджет'!K29/ВРП!L29*100</f>
        <v>25.528624197263657</v>
      </c>
      <c r="M29" s="85">
        <f>'Налоговые поступл в бюджет'!L29/ВРП!M29*100</f>
        <v>22.069377508418874</v>
      </c>
      <c r="N29" s="85">
        <f>'Налоговые поступл в бюджет'!M29/ВРП!N29*100</f>
        <v>24.967431282864165</v>
      </c>
      <c r="O29" s="85">
        <f>'Налоговые поступл в бюджет'!N29/ВРП!O29*100</f>
        <v>28.657161286068263</v>
      </c>
      <c r="P29" s="85">
        <f>'Налоговые поступл в бюджет'!O29/ВРП!P29*100</f>
        <v>29.011647698175945</v>
      </c>
      <c r="Q29" s="85">
        <f>'Налоговые поступл в бюджет'!P29/ВРП!Q29*100</f>
        <v>663.42390995568394</v>
      </c>
      <c r="R29" s="85">
        <f>'Налоговые поступл в бюджет'!Q29/ВРП!R29*100</f>
        <v>119.09866973606462</v>
      </c>
    </row>
    <row r="30" spans="1:18" x14ac:dyDescent="0.25">
      <c r="A30" s="85">
        <v>29</v>
      </c>
      <c r="B30" s="84" t="s">
        <v>29</v>
      </c>
      <c r="C30" s="85">
        <f>'Налоговые поступл в бюджет'!B30/ВРП!C30*100</f>
        <v>13.256132150260438</v>
      </c>
      <c r="D30" s="85">
        <f>'Налоговые поступл в бюджет'!C30/ВРП!D30*100</f>
        <v>1.3339163470985325</v>
      </c>
      <c r="E30" s="85">
        <f>'Налоговые поступл в бюджет'!D30/ВРП!E30*100</f>
        <v>1.343326088216185</v>
      </c>
      <c r="F30" s="85">
        <f>'Налоговые поступл в бюджет'!E30/ВРП!F30*100</f>
        <v>1.4006215792289733</v>
      </c>
      <c r="G30" s="85">
        <f>'Налоговые поступл в бюджет'!F30/ВРП!G30*100</f>
        <v>2.0622605108134189</v>
      </c>
      <c r="H30" s="85">
        <f>'Налоговые поступл в бюджет'!G30/ВРП!H30*100</f>
        <v>10.821176196378815</v>
      </c>
      <c r="I30" s="85">
        <f>'Налоговые поступл в бюджет'!H30/ВРП!I30*100</f>
        <v>11.335080884385237</v>
      </c>
      <c r="J30" s="85">
        <f>'Налоговые поступл в бюджет'!I30/ВРП!J30*100</f>
        <v>11.542488254283281</v>
      </c>
      <c r="K30" s="85">
        <f>'Налоговые поступл в бюджет'!J30/ВРП!K30*100</f>
        <v>11.964899530497879</v>
      </c>
      <c r="L30" s="85">
        <f>'Налоговые поступл в бюджет'!K30/ВРП!L30*100</f>
        <v>12.601276075242158</v>
      </c>
      <c r="M30" s="85">
        <f>'Налоговые поступл в бюджет'!L30/ВРП!M30*100</f>
        <v>12.764690532109221</v>
      </c>
      <c r="N30" s="85">
        <f>'Налоговые поступл в бюджет'!M30/ВРП!N30*100</f>
        <v>14.07769729410372</v>
      </c>
      <c r="O30" s="85">
        <f>'Налоговые поступл в бюджет'!N30/ВРП!O30*100</f>
        <v>16.915923920253757</v>
      </c>
      <c r="P30" s="85">
        <f>'Налоговые поступл в бюджет'!O30/ВРП!P30*100</f>
        <v>18.638947919894925</v>
      </c>
      <c r="Q30" s="85">
        <f>'Налоговые поступл в бюджет'!P30/ВРП!Q30*100</f>
        <v>0.43819471357145567</v>
      </c>
      <c r="R30" s="85">
        <f>'Налоговые поступл в бюджет'!Q30/ВРП!R30*100</f>
        <v>0.53072335017234606</v>
      </c>
    </row>
    <row r="31" spans="1:18" x14ac:dyDescent="0.25">
      <c r="A31" s="85">
        <v>30</v>
      </c>
      <c r="B31" s="84" t="s">
        <v>30</v>
      </c>
      <c r="C31" s="85">
        <f>'Налоговые поступл в бюджет'!B31/ВРП!C31*100</f>
        <v>33.904622278203952</v>
      </c>
      <c r="D31" s="85">
        <f>'Налоговые поступл в бюджет'!C31/ВРП!D31*100</f>
        <v>0.90043795393969484</v>
      </c>
      <c r="E31" s="85">
        <f>'Налоговые поступл в бюджет'!D31/ВРП!E31*100</f>
        <v>3.3885763477079118</v>
      </c>
      <c r="F31" s="85">
        <f>'Налоговые поступл в бюджет'!E31/ВРП!F31*100</f>
        <v>1.8176828156037901</v>
      </c>
      <c r="G31" s="85">
        <f>'Налоговые поступл в бюджет'!F31/ВРП!G31*100</f>
        <v>2.3089955379790887</v>
      </c>
      <c r="H31" s="85">
        <f>'Налоговые поступл в бюджет'!G31/ВРП!H31*100</f>
        <v>12.846611839813802</v>
      </c>
      <c r="I31" s="85">
        <f>'Налоговые поступл в бюджет'!H31/ВРП!I31*100</f>
        <v>11.80338828119937</v>
      </c>
      <c r="J31" s="85">
        <f>'Налоговые поступл в бюджет'!I31/ВРП!J31*100</f>
        <v>15.916526918084115</v>
      </c>
      <c r="K31" s="85">
        <f>'Налоговые поступл в бюджет'!J31/ВРП!K31*100</f>
        <v>10.648342438766067</v>
      </c>
      <c r="L31" s="85">
        <f>'Налоговые поступл в бюджет'!K31/ВРП!L31*100</f>
        <v>9.7200978564971319</v>
      </c>
      <c r="M31" s="85">
        <f>'Налоговые поступл в бюджет'!L31/ВРП!M31*100</f>
        <v>7.8487639173571209</v>
      </c>
      <c r="N31" s="85">
        <f>'Налоговые поступл в бюджет'!M31/ВРП!N31*100</f>
        <v>7.8809968177657908</v>
      </c>
      <c r="O31" s="85">
        <f>'Налоговые поступл в бюджет'!N31/ВРП!O31*100</f>
        <v>11.352132334805713</v>
      </c>
      <c r="P31" s="85">
        <f>'Налоговые поступл в бюджет'!O31/ВРП!P31*100</f>
        <v>13.191898192753099</v>
      </c>
      <c r="Q31" s="85">
        <f>'Налоговые поступл в бюджет'!P31/ВРП!Q31*100</f>
        <v>6.7698864753515693</v>
      </c>
      <c r="R31" s="85">
        <f>'Налоговые поступл в бюджет'!Q31/ВРП!R31*100</f>
        <v>6.3775498428559976</v>
      </c>
    </row>
    <row r="32" spans="1:18" x14ac:dyDescent="0.25">
      <c r="A32" s="85">
        <v>31</v>
      </c>
      <c r="B32" s="84" t="s">
        <v>31</v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85">
        <f>'Налоговые поступл в бюджет'!L32/ВРП!M32*100</f>
        <v>15.078959854961413</v>
      </c>
      <c r="N32" s="85">
        <f>'Налоговые поступл в бюджет'!M32/ВРП!N32*100</f>
        <v>15.137824484277596</v>
      </c>
      <c r="O32" s="85">
        <f>'Налоговые поступл в бюджет'!N32/ВРП!O32*100</f>
        <v>19.934995741120208</v>
      </c>
      <c r="P32" s="85">
        <f>'Налоговые поступл в бюджет'!O32/ВРП!P32*100</f>
        <v>13.823981149964604</v>
      </c>
      <c r="Q32" s="85">
        <f>'Налоговые поступл в бюджет'!P32/ВРП!Q32*100</f>
        <v>83.941791298149852</v>
      </c>
      <c r="R32" s="85">
        <f>'Налоговые поступл в бюджет'!Q32/ВРП!R32*100</f>
        <v>37.155528672141251</v>
      </c>
    </row>
    <row r="33" spans="1:18" x14ac:dyDescent="0.25">
      <c r="A33" s="85">
        <v>32</v>
      </c>
      <c r="B33" s="84" t="s">
        <v>32</v>
      </c>
      <c r="C33" s="85">
        <f>'Налоговые поступл в бюджет'!B33/ВРП!C33*100</f>
        <v>18.668634150448689</v>
      </c>
      <c r="D33" s="85">
        <f>'Налоговые поступл в бюджет'!C33/ВРП!D33*100</f>
        <v>55.810582632946939</v>
      </c>
      <c r="E33" s="85">
        <f>'Налоговые поступл в бюджет'!D33/ВРП!E33*100</f>
        <v>61.012471774871258</v>
      </c>
      <c r="F33" s="85">
        <f>'Налоговые поступл в бюджет'!E33/ВРП!F33*100</f>
        <v>62.248594628357282</v>
      </c>
      <c r="G33" s="85">
        <f>'Налоговые поступл в бюджет'!F33/ВРП!G33*100</f>
        <v>65.72139906198467</v>
      </c>
      <c r="H33" s="85">
        <f>'Налоговые поступл в бюджет'!G33/ВРП!H33*100</f>
        <v>13.757701483329321</v>
      </c>
      <c r="I33" s="85">
        <f>'Налоговые поступл в бюджет'!H33/ВРП!I33*100</f>
        <v>13.194113249895873</v>
      </c>
      <c r="J33" s="85">
        <f>'Налоговые поступл в бюджет'!I33/ВРП!J33*100</f>
        <v>13.55648764623936</v>
      </c>
      <c r="K33" s="85">
        <f>'Налоговые поступл в бюджет'!J33/ВРП!K33*100</f>
        <v>12.400482245881777</v>
      </c>
      <c r="L33" s="85">
        <f>'Налоговые поступл в бюджет'!K33/ВРП!L33*100</f>
        <v>12.228317095123998</v>
      </c>
      <c r="M33" s="85">
        <f>'Налоговые поступл в бюджет'!L33/ВРП!M33*100</f>
        <v>13.326350530725925</v>
      </c>
      <c r="N33" s="85">
        <f>'Налоговые поступл в бюджет'!M33/ВРП!N33*100</f>
        <v>14.118061423175668</v>
      </c>
      <c r="O33" s="85">
        <f>'Налоговые поступл в бюджет'!N33/ВРП!O33*100</f>
        <v>15.182088545053196</v>
      </c>
      <c r="P33" s="85">
        <f>'Налоговые поступл в бюджет'!O33/ВРП!P33*100</f>
        <v>14.757167332012378</v>
      </c>
      <c r="Q33" s="85">
        <f>'Налоговые поступл в бюджет'!P33/ВРП!Q33*100</f>
        <v>84.417512481319832</v>
      </c>
      <c r="R33" s="85">
        <f>'Налоговые поступл в бюджет'!Q33/ВРП!R33*100</f>
        <v>37.629404790106598</v>
      </c>
    </row>
    <row r="34" spans="1:18" x14ac:dyDescent="0.25">
      <c r="A34" s="85">
        <v>33</v>
      </c>
      <c r="B34" s="84" t="s">
        <v>33</v>
      </c>
      <c r="C34" s="85">
        <f>'Налоговые поступл в бюджет'!B34/ВРП!C34*100</f>
        <v>20.109486136699388</v>
      </c>
      <c r="D34" s="85">
        <f>'Налоговые поступл в бюджет'!C34/ВРП!D34*100</f>
        <v>22.444403513970194</v>
      </c>
      <c r="E34" s="85">
        <f>'Налоговые поступл в бюджет'!D34/ВРП!E34*100</f>
        <v>27.745488658038031</v>
      </c>
      <c r="F34" s="85">
        <f>'Налоговые поступл в бюджет'!E34/ВРП!F34*100</f>
        <v>26.251570895933952</v>
      </c>
      <c r="G34" s="85">
        <f>'Налоговые поступл в бюджет'!F34/ВРП!G34*100</f>
        <v>19.390790926854134</v>
      </c>
      <c r="H34" s="85">
        <f>'Налоговые поступл в бюджет'!G34/ВРП!H34*100</f>
        <v>15.791144657143963</v>
      </c>
      <c r="I34" s="85">
        <f>'Налоговые поступл в бюджет'!H34/ВРП!I34*100</f>
        <v>17.513495225835754</v>
      </c>
      <c r="J34" s="85">
        <f>'Налоговые поступл в бюджет'!I34/ВРП!J34*100</f>
        <v>22.288955061281808</v>
      </c>
      <c r="K34" s="85">
        <f>'Налоговые поступл в бюджет'!J34/ВРП!K34*100</f>
        <v>17.160845744935241</v>
      </c>
      <c r="L34" s="85">
        <f>'Налоговые поступл в бюджет'!K34/ВРП!L34*100</f>
        <v>19.15015322997861</v>
      </c>
      <c r="M34" s="85">
        <f>'Налоговые поступл в бюджет'!L34/ВРП!M34*100</f>
        <v>21.177928843355478</v>
      </c>
      <c r="N34" s="85">
        <f>'Налоговые поступл в бюджет'!M34/ВРП!N34*100</f>
        <v>24.710781551614655</v>
      </c>
      <c r="O34" s="85">
        <f>'Налоговые поступл в бюджет'!N34/ВРП!O34*100</f>
        <v>27.32575736141818</v>
      </c>
      <c r="P34" s="85">
        <f>'Налоговые поступл в бюджет'!O34/ВРП!P34*100</f>
        <v>29.032047050600507</v>
      </c>
      <c r="Q34" s="85">
        <f>'Налоговые поступл в бюджет'!P34/ВРП!Q34*100</f>
        <v>6.9170036532262849</v>
      </c>
      <c r="R34" s="85">
        <f>'Налоговые поступл в бюджет'!Q34/ВРП!R34*100</f>
        <v>5.9854972572260774</v>
      </c>
    </row>
    <row r="35" spans="1:18" x14ac:dyDescent="0.25">
      <c r="A35" s="85">
        <v>34</v>
      </c>
      <c r="B35" s="84" t="s">
        <v>34</v>
      </c>
      <c r="C35" s="85">
        <f>'Налоговые поступл в бюджет'!B35/ВРП!C35*100</f>
        <v>20.91902759503661</v>
      </c>
      <c r="D35" s="144">
        <f>'Налоговые поступл в бюджет'!C35/ВРП!D35*100</f>
        <v>22.324263204923241</v>
      </c>
      <c r="E35" s="144">
        <f>'Налоговые поступл в бюджет'!D35/ВРП!E35*100</f>
        <v>20.115725865276453</v>
      </c>
      <c r="F35" s="144">
        <f>'Налоговые поступл в бюджет'!E35/ВРП!F35*100</f>
        <v>19.170271564287571</v>
      </c>
      <c r="G35" s="144">
        <f>'Налоговые поступл в бюджет'!F35/ВРП!G35*100</f>
        <v>18.004245137204077</v>
      </c>
      <c r="H35" s="85">
        <f>'Налоговые поступл в бюджет'!G35/ВРП!H35*100</f>
        <v>18.574667851821232</v>
      </c>
      <c r="I35" s="85">
        <f>'Налоговые поступл в бюджет'!H35/ВРП!I35*100</f>
        <v>18.269712074327156</v>
      </c>
      <c r="J35" s="85">
        <f>'Налоговые поступл в бюджет'!I35/ВРП!J35*100</f>
        <v>16.668976604508604</v>
      </c>
      <c r="K35" s="85">
        <f>'Налоговые поступл в бюджет'!J35/ВРП!K35*100</f>
        <v>17.074496577785784</v>
      </c>
      <c r="L35" s="85">
        <f>'Налоговые поступл в бюджет'!K35/ВРП!L35*100</f>
        <v>15.340917986004103</v>
      </c>
      <c r="M35" s="85">
        <f>'Налоговые поступл в бюджет'!L35/ВРП!M35*100</f>
        <v>16.069824351955141</v>
      </c>
      <c r="N35" s="85">
        <f>'Налоговые поступл в бюджет'!M35/ВРП!N35*100</f>
        <v>17.643387447261279</v>
      </c>
      <c r="O35" s="85">
        <f>'Налоговые поступл в бюджет'!N35/ВРП!O35*100</f>
        <v>20.736834285024983</v>
      </c>
      <c r="P35" s="85">
        <f>'Налоговые поступл в бюджет'!O35/ВРП!P35*100</f>
        <v>22.116569795896524</v>
      </c>
      <c r="Q35" s="85">
        <f>'Налоговые поступл в бюджет'!P35/ВРП!Q35*100</f>
        <v>27.606765788924481</v>
      </c>
      <c r="R35" s="85">
        <f>'Налоговые поступл в бюджет'!Q35/ВРП!R35*100</f>
        <v>32.28281357774074</v>
      </c>
    </row>
    <row r="36" spans="1:18" x14ac:dyDescent="0.25">
      <c r="A36" s="85">
        <v>35</v>
      </c>
      <c r="B36" s="84" t="s">
        <v>35</v>
      </c>
      <c r="C36" s="85">
        <f>'Налоговые поступл в бюджет'!B36/ВРП!C36*100</f>
        <v>15.698218789856741</v>
      </c>
      <c r="D36" s="85">
        <f>'Налоговые поступл в бюджет'!C36/ВРП!D36*100</f>
        <v>6.454496612117067</v>
      </c>
      <c r="E36" s="85">
        <f>'Налоговые поступл в бюджет'!D36/ВРП!E36*100</f>
        <v>6.2592823912752822</v>
      </c>
      <c r="F36" s="85">
        <f>'Налоговые поступл в бюджет'!E36/ВРП!F36*100</f>
        <v>5.8972667050136058</v>
      </c>
      <c r="G36" s="85">
        <f>'Налоговые поступл в бюджет'!F36/ВРП!G36*100</f>
        <v>5.6306749948655153</v>
      </c>
      <c r="H36" s="85">
        <f>'Налоговые поступл в бюджет'!G36/ВРП!H36*100</f>
        <v>14.816724306824923</v>
      </c>
      <c r="I36" s="85">
        <f>'Налоговые поступл в бюджет'!H36/ВРП!I36*100</f>
        <v>14.865884596625026</v>
      </c>
      <c r="J36" s="85">
        <f>'Налоговые поступл в бюджет'!I36/ВРП!J36*100</f>
        <v>15.835680507961314</v>
      </c>
      <c r="K36" s="85">
        <f>'Налоговые поступл в бюджет'!J36/ВРП!K36*100</f>
        <v>15.63191858767855</v>
      </c>
      <c r="L36" s="85">
        <f>'Налоговые поступл в бюджет'!K36/ВРП!L36*100</f>
        <v>15.902148410909433</v>
      </c>
      <c r="M36" s="85">
        <f>'Налоговые поступл в бюджет'!L36/ВРП!M36*100</f>
        <v>14.223037748161701</v>
      </c>
      <c r="N36" s="85">
        <f>'Налоговые поступл в бюджет'!M36/ВРП!N36*100</f>
        <v>15.28355913438158</v>
      </c>
      <c r="O36" s="85">
        <f>'Налоговые поступл в бюджет'!N36/ВРП!O36*100</f>
        <v>15.217086996816365</v>
      </c>
      <c r="P36" s="85">
        <f>'Налоговые поступл в бюджет'!O36/ВРП!P36*100</f>
        <v>16.983223790794607</v>
      </c>
      <c r="Q36" s="85">
        <f>'Налоговые поступл в бюджет'!P36/ВРП!Q36*100</f>
        <v>23.898691644894033</v>
      </c>
      <c r="R36" s="85">
        <f>'Налоговые поступл в бюджет'!Q36/ВРП!R36*100</f>
        <v>21.630431584618066</v>
      </c>
    </row>
    <row r="37" spans="1:18" x14ac:dyDescent="0.25">
      <c r="A37" s="85">
        <v>36</v>
      </c>
      <c r="B37" s="84" t="s">
        <v>36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85">
        <f>'Налоговые поступл в бюджет'!L37/ВРП!M37*100</f>
        <v>19.449564661664947</v>
      </c>
      <c r="N37" s="85">
        <f>'Налоговые поступл в бюджет'!M37/ВРП!N37*100</f>
        <v>19.210885510531597</v>
      </c>
      <c r="O37" s="85">
        <f>'Налоговые поступл в бюджет'!N37/ВРП!O37*100</f>
        <v>19.728230406541591</v>
      </c>
      <c r="P37" s="85">
        <f>'Налоговые поступл в бюджет'!O37/ВРП!P37*100</f>
        <v>19.630280135159346</v>
      </c>
      <c r="Q37" s="85">
        <f>'Налоговые поступл в бюджет'!P37/ВРП!Q37*100</f>
        <v>1.1059820493762136</v>
      </c>
      <c r="R37" s="85">
        <f>'Налоговые поступл в бюджет'!Q37/ВРП!R37*100</f>
        <v>1.3624421939964007</v>
      </c>
    </row>
    <row r="38" spans="1:18" x14ac:dyDescent="0.25">
      <c r="A38" s="85">
        <v>37</v>
      </c>
      <c r="B38" s="84" t="s">
        <v>37</v>
      </c>
      <c r="C38" s="85">
        <f>'Налоговые поступл в бюджет'!B38/ВРП!C38*100</f>
        <v>7.0373916716237703</v>
      </c>
      <c r="D38" s="85">
        <f>'Налоговые поступл в бюджет'!C38/ВРП!D38*100</f>
        <v>6.9351246642261399</v>
      </c>
      <c r="E38" s="85">
        <f>'Налоговые поступл в бюджет'!D38/ВРП!E38*100</f>
        <v>6.7312692125346016</v>
      </c>
      <c r="F38" s="85">
        <f>'Налоговые поступл в бюджет'!E38/ВРП!F38*100</f>
        <v>7.4987099888476445</v>
      </c>
      <c r="G38" s="85">
        <f>'Налоговые поступл в бюджет'!F38/ВРП!G38*100</f>
        <v>5.495928173579224</v>
      </c>
      <c r="H38" s="85">
        <f>'Налоговые поступл в бюджет'!G38/ВРП!H38*100</f>
        <v>5.8680348250546199</v>
      </c>
      <c r="I38" s="85">
        <f>'Налоговые поступл в бюджет'!H38/ВРП!I38*100</f>
        <v>5.3804642004729928</v>
      </c>
      <c r="J38" s="85">
        <f>'Налоговые поступл в бюджет'!I38/ВРП!J38*100</f>
        <v>5.7297573618873043</v>
      </c>
      <c r="K38" s="85">
        <f>'Налоговые поступл в бюджет'!J38/ВРП!K38*100</f>
        <v>5.3283756791501187</v>
      </c>
      <c r="L38" s="85">
        <f>'Налоговые поступл в бюджет'!K38/ВРП!L38*100</f>
        <v>5.0479871198696227</v>
      </c>
      <c r="M38" s="85">
        <f>'Налоговые поступл в бюджет'!L38/ВРП!M38*100</f>
        <v>4.8319393048236829</v>
      </c>
      <c r="N38" s="85">
        <f>'Налоговые поступл в бюджет'!M38/ВРП!N38*100</f>
        <v>5.4491242938337727</v>
      </c>
      <c r="O38" s="85">
        <f>'Налоговые поступл в бюджет'!N38/ВРП!O38*100</f>
        <v>5.5780030676702088</v>
      </c>
      <c r="P38" s="85">
        <f>'Налоговые поступл в бюджет'!O38/ВРП!P38*100</f>
        <v>6.2836825832387557</v>
      </c>
      <c r="Q38" s="85">
        <f>'Налоговые поступл в бюджет'!P38/ВРП!Q38*100</f>
        <v>6.3031508238438585</v>
      </c>
      <c r="R38" s="85">
        <f>'Налоговые поступл в бюджет'!Q38/ВРП!R38*100</f>
        <v>6.7688922221717354</v>
      </c>
    </row>
    <row r="39" spans="1:18" x14ac:dyDescent="0.25">
      <c r="A39" s="85">
        <v>38</v>
      </c>
      <c r="B39" s="84" t="s">
        <v>38</v>
      </c>
      <c r="C39" s="85">
        <f>'Налоговые поступл в бюджет'!B39/ВРП!C39*100</f>
        <v>9.7960724057525628</v>
      </c>
      <c r="D39" s="85">
        <f>'Налоговые поступл в бюджет'!C39/ВРП!D39*100</f>
        <v>9.0197597830298335</v>
      </c>
      <c r="E39" s="85">
        <f>'Налоговые поступл в бюджет'!D39/ВРП!E39*100</f>
        <v>5.5845685327496364</v>
      </c>
      <c r="F39" s="85">
        <f>'Налоговые поступл в бюджет'!E39/ВРП!F39*100</f>
        <v>6.0919318412968302</v>
      </c>
      <c r="G39" s="85">
        <f>'Налоговые поступл в бюджет'!F39/ВРП!G39*100</f>
        <v>7.5037064785551859</v>
      </c>
      <c r="H39" s="85">
        <f>'Налоговые поступл в бюджет'!G39/ВРП!H39*100</f>
        <v>8.9507303390519386</v>
      </c>
      <c r="I39" s="85">
        <f>'Налоговые поступл в бюджет'!H39/ВРП!I39*100</f>
        <v>9.9698796302156829</v>
      </c>
      <c r="J39" s="85">
        <f>'Налоговые поступл в бюджет'!I39/ВРП!J39*100</f>
        <v>6.9384800836052918</v>
      </c>
      <c r="K39" s="85">
        <f>'Налоговые поступл в бюджет'!J39/ВРП!K39*100</f>
        <v>6.3342932743676084</v>
      </c>
      <c r="L39" s="85">
        <f>'Налоговые поступл в бюджет'!K39/ВРП!L39*100</f>
        <v>6.3280945977706811</v>
      </c>
      <c r="M39" s="85">
        <f>'Налоговые поступл в бюджет'!L39/ВРП!M39*100</f>
        <v>7.3039068894611798</v>
      </c>
      <c r="N39" s="85">
        <f>'Налоговые поступл в бюджет'!M39/ВРП!N39*100</f>
        <v>7.5894225464353591</v>
      </c>
      <c r="O39" s="85">
        <f>'Налоговые поступл в бюджет'!N39/ВРП!O39*100</f>
        <v>7.6936503479521283</v>
      </c>
      <c r="P39" s="85">
        <f>'Налоговые поступл в бюджет'!O39/ВРП!P39*100</f>
        <v>7.5279810880843039</v>
      </c>
      <c r="Q39" s="85">
        <f>'Налоговые поступл в бюджет'!P39/ВРП!Q39*100</f>
        <v>6.6626039644140072</v>
      </c>
      <c r="R39" s="85">
        <f>'Налоговые поступл в бюджет'!Q39/ВРП!R39*100</f>
        <v>7.4111389267152772</v>
      </c>
    </row>
    <row r="40" spans="1:18" x14ac:dyDescent="0.25">
      <c r="A40" s="85">
        <v>39</v>
      </c>
      <c r="B40" s="84" t="s">
        <v>42</v>
      </c>
      <c r="C40" s="85">
        <f>'Налоговые поступл в бюджет'!B40/ВРП!C40*100</f>
        <v>6.741978747549779</v>
      </c>
      <c r="D40" s="85">
        <f>'Налоговые поступл в бюджет'!C40/ВРП!D40*100</f>
        <v>8.6414821621946114</v>
      </c>
      <c r="E40" s="85">
        <f>'Налоговые поступл в бюджет'!D40/ВРП!E40*100</f>
        <v>11.666022609474389</v>
      </c>
      <c r="F40" s="85">
        <f>'Налоговые поступл в бюджет'!E40/ВРП!F40*100</f>
        <v>12.60074294153897</v>
      </c>
      <c r="G40" s="85">
        <f>'Налоговые поступл в бюджет'!F40/ВРП!G40*100</f>
        <v>11.567298861865881</v>
      </c>
      <c r="H40" s="85">
        <f>'Налоговые поступл в бюджет'!G40/ВРП!H40*100</f>
        <v>9.9145893439050212</v>
      </c>
      <c r="I40" s="85">
        <f>'Налоговые поступл в бюджет'!H40/ВРП!I40*100</f>
        <v>9.0059551076500224</v>
      </c>
      <c r="J40" s="85">
        <f>'Налоговые поступл в бюджет'!I40/ВРП!J40*100</f>
        <v>8.3288239659941983</v>
      </c>
      <c r="K40" s="85">
        <f>'Налоговые поступл в бюджет'!J40/ВРП!K40*100</f>
        <v>9.0088536245792845</v>
      </c>
      <c r="L40" s="85">
        <f>'Налоговые поступл в бюджет'!K40/ВРП!L40*100</f>
        <v>10.64815290111733</v>
      </c>
      <c r="M40" s="85">
        <f>'Налоговые поступл в бюджет'!L40/ВРП!M40*100</f>
        <v>12.750728456601243</v>
      </c>
      <c r="N40" s="85">
        <f>'Налоговые поступл в бюджет'!M40/ВРП!N40*100</f>
        <v>12.15957854533451</v>
      </c>
      <c r="O40" s="85">
        <f>'Налоговые поступл в бюджет'!N40/ВРП!O40*100</f>
        <v>9.3609048643397408</v>
      </c>
      <c r="P40" s="85">
        <f>'Налоговые поступл в бюджет'!O40/ВРП!P40*100</f>
        <v>9.9005068029125702</v>
      </c>
      <c r="Q40" s="85">
        <f>'Налоговые поступл в бюджет'!P40/ВРП!Q40*100</f>
        <v>8.8320927197850381</v>
      </c>
      <c r="R40" s="85">
        <f>'Налоговые поступл в бюджет'!Q40/ВРП!R40*100</f>
        <v>9.0599442819833591</v>
      </c>
    </row>
    <row r="41" spans="1:18" x14ac:dyDescent="0.25">
      <c r="A41" s="85">
        <v>40</v>
      </c>
      <c r="B41" s="84" t="s">
        <v>39</v>
      </c>
      <c r="C41" s="85">
        <f>'Налоговые поступл в бюджет'!B41/ВРП!C41*100</f>
        <v>16.724765760001915</v>
      </c>
      <c r="D41" s="85">
        <f>'Налоговые поступл в бюджет'!C41/ВРП!D41*100</f>
        <v>13.020150386283808</v>
      </c>
      <c r="E41" s="85">
        <f>'Налоговые поступл в бюджет'!D41/ВРП!E41*100</f>
        <v>11.228371624007542</v>
      </c>
      <c r="F41" s="85">
        <f>'Налоговые поступл в бюджет'!E41/ВРП!F41*100</f>
        <v>9.1434219442126672</v>
      </c>
      <c r="G41" s="85">
        <f>'Налоговые поступл в бюджет'!F41/ВРП!G41*100</f>
        <v>8.6758535251567359</v>
      </c>
      <c r="H41" s="85">
        <f>'Налоговые поступл в бюджет'!G41/ВРП!H41*100</f>
        <v>9.3710410867896865</v>
      </c>
      <c r="I41" s="85">
        <f>'Налоговые поступл в бюджет'!H41/ВРП!I41*100</f>
        <v>9.8148099268863671</v>
      </c>
      <c r="J41" s="85">
        <f>'Налоговые поступл в бюджет'!I41/ВРП!J41*100</f>
        <v>9.5320674954566442</v>
      </c>
      <c r="K41" s="85">
        <f>'Налоговые поступл в бюджет'!J41/ВРП!K41*100</f>
        <v>10.599941609461082</v>
      </c>
      <c r="L41" s="85">
        <f>'Налоговые поступл в бюджет'!K41/ВРП!L41*100</f>
        <v>11.045424069215297</v>
      </c>
      <c r="M41" s="85">
        <f>'Налоговые поступл в бюджет'!L41/ВРП!M41*100</f>
        <v>11.407812669024803</v>
      </c>
      <c r="N41" s="85">
        <f>'Налоговые поступл в бюджет'!M41/ВРП!N41*100</f>
        <v>13.081010505434834</v>
      </c>
      <c r="O41" s="85">
        <f>'Налоговые поступл в бюджет'!N41/ВРП!O41*100</f>
        <v>13.747359403958976</v>
      </c>
      <c r="P41" s="85">
        <f>'Налоговые поступл в бюджет'!O41/ВРП!P41*100</f>
        <v>13.074346204814505</v>
      </c>
      <c r="Q41" s="85">
        <f>'Налоговые поступл в бюджет'!P41/ВРП!Q41*100</f>
        <v>9.8264488855562444</v>
      </c>
      <c r="R41" s="85">
        <f>'Налоговые поступл в бюджет'!Q41/ВРП!R41*100</f>
        <v>11.075283063882049</v>
      </c>
    </row>
    <row r="42" spans="1:18" x14ac:dyDescent="0.25">
      <c r="A42" s="85">
        <v>41</v>
      </c>
      <c r="B42" s="84" t="s">
        <v>43</v>
      </c>
      <c r="C42" s="85">
        <f>'Налоговые поступл в бюджет'!B42/ВРП!C42*100</f>
        <v>12.70821173618282</v>
      </c>
      <c r="D42" s="85">
        <f>'Налоговые поступл в бюджет'!C42/ВРП!D42*100</f>
        <v>15.683460541009477</v>
      </c>
      <c r="E42" s="85">
        <f>'Налоговые поступл в бюджет'!D42/ВРП!E42*100</f>
        <v>14.647910795988242</v>
      </c>
      <c r="F42" s="85">
        <f>'Налоговые поступл в бюджет'!E42/ВРП!F42*100</f>
        <v>10.960466075408007</v>
      </c>
      <c r="G42" s="85">
        <f>'Налоговые поступл в бюджет'!F42/ВРП!G42*100</f>
        <v>9.213281857137952</v>
      </c>
      <c r="H42" s="85">
        <f>'Налоговые поступл в бюджет'!G42/ВРП!H42*100</f>
        <v>8.1729888460241575</v>
      </c>
      <c r="I42" s="85">
        <f>'Налоговые поступл в бюджет'!H42/ВРП!I42*100</f>
        <v>7.0617524893248111</v>
      </c>
      <c r="J42" s="85">
        <f>'Налоговые поступл в бюджет'!I42/ВРП!J42*100</f>
        <v>8.5400487230217301</v>
      </c>
      <c r="K42" s="85">
        <f>'Налоговые поступл в бюджет'!J42/ВРП!K42*100</f>
        <v>8.7334881466652607</v>
      </c>
      <c r="L42" s="85">
        <f>'Налоговые поступл в бюджет'!K42/ВРП!L42*100</f>
        <v>8.4733706201547321</v>
      </c>
      <c r="M42" s="85">
        <f>'Налоговые поступл в бюджет'!L42/ВРП!M42*100</f>
        <v>8.7868263055012559</v>
      </c>
      <c r="N42" s="85">
        <f>'Налоговые поступл в бюджет'!M42/ВРП!N42*100</f>
        <v>11.977881188466778</v>
      </c>
      <c r="O42" s="85">
        <f>'Налоговые поступл в бюджет'!N42/ВРП!O42*100</f>
        <v>13.755499913780389</v>
      </c>
      <c r="P42" s="85">
        <f>'Налоговые поступл в бюджет'!O42/ВРП!P42*100</f>
        <v>14.377815406241304</v>
      </c>
      <c r="Q42" s="85">
        <f>'Налоговые поступл в бюджет'!P42/ВРП!Q42*100</f>
        <v>8.6178690960392625</v>
      </c>
      <c r="R42" s="85">
        <f>'Налоговые поступл в бюджет'!Q42/ВРП!R42*100</f>
        <v>9.9418467956807834</v>
      </c>
    </row>
    <row r="43" spans="1:18" x14ac:dyDescent="0.25">
      <c r="A43" s="85">
        <v>42</v>
      </c>
      <c r="B43" s="84" t="s">
        <v>40</v>
      </c>
      <c r="C43" s="85">
        <f>'Налоговые поступл в бюджет'!B43/ВРП!C43*100</f>
        <v>27.851119486088848</v>
      </c>
      <c r="D43" s="85">
        <f>'Налоговые поступл в бюджет'!C43/ВРП!D43*100</f>
        <v>27.87437701735076</v>
      </c>
      <c r="E43" s="85">
        <f>'Налоговые поступл в бюджет'!D43/ВРП!E43*100</f>
        <v>21.280336939535253</v>
      </c>
      <c r="F43" s="85">
        <f>'Налоговые поступл в бюджет'!E43/ВРП!F43*100</f>
        <v>19.35229306302038</v>
      </c>
      <c r="G43" s="85">
        <f>'Налоговые поступл в бюджет'!F43/ВРП!G43*100</f>
        <v>15.885041277719983</v>
      </c>
      <c r="H43" s="85">
        <f>'Налоговые поступл в бюджет'!G43/ВРП!H43*100</f>
        <v>13.965929649805009</v>
      </c>
      <c r="I43" s="85">
        <f>'Налоговые поступл в бюджет'!H43/ВРП!I43*100</f>
        <v>11.212264641030673</v>
      </c>
      <c r="J43" s="85">
        <f>'Налоговые поступл в бюджет'!I43/ВРП!J43*100</f>
        <v>10.164480868440528</v>
      </c>
      <c r="K43" s="85">
        <f>'Налоговые поступл в бюджет'!J43/ВРП!K43*100</f>
        <v>9.9098321280232149</v>
      </c>
      <c r="L43" s="85">
        <f>'Налоговые поступл в бюджет'!K43/ВРП!L43*100</f>
        <v>8.835916775713514</v>
      </c>
      <c r="M43" s="85">
        <f>'Налоговые поступл в бюджет'!L43/ВРП!M43*100</f>
        <v>8.1778403563698276</v>
      </c>
      <c r="N43" s="85">
        <f>'Налоговые поступл в бюджет'!M43/ВРП!N43*100</f>
        <v>6.6875545739380549</v>
      </c>
      <c r="O43" s="85">
        <f>'Налоговые поступл в бюджет'!N43/ВРП!O43*100</f>
        <v>7.4793999223218499</v>
      </c>
      <c r="P43" s="85">
        <f>'Налоговые поступл в бюджет'!O43/ВРП!P43*100</f>
        <v>6.8180535133374187</v>
      </c>
      <c r="Q43" s="85">
        <f>'Налоговые поступл в бюджет'!P43/ВРП!Q43*100</f>
        <v>6.8842403063175519</v>
      </c>
      <c r="R43" s="85">
        <f>'Налоговые поступл в бюджет'!Q43/ВРП!R43*100</f>
        <v>7.5842551250749954</v>
      </c>
    </row>
    <row r="44" spans="1:18" x14ac:dyDescent="0.25">
      <c r="A44" s="85">
        <v>43</v>
      </c>
      <c r="B44" s="84" t="s">
        <v>41</v>
      </c>
      <c r="C44" s="85">
        <f>'Налоговые поступл в бюджет'!B44/ВРП!C44*100</f>
        <v>16.657990452297994</v>
      </c>
      <c r="D44" s="85">
        <f>'Налоговые поступл в бюджет'!C44/ВРП!D44*100</f>
        <v>17.919681893666219</v>
      </c>
      <c r="E44" s="85">
        <f>'Налоговые поступл в бюджет'!D44/ВРП!E44*100</f>
        <v>17.280133693545167</v>
      </c>
      <c r="F44" s="85">
        <f>'Налоговые поступл в бюджет'!E44/ВРП!F44*100</f>
        <v>17.42530691801943</v>
      </c>
      <c r="G44" s="85">
        <f>'Налоговые поступл в бюджет'!F44/ВРП!G44*100</f>
        <v>15.585949194051599</v>
      </c>
      <c r="H44" s="85">
        <f>'Налоговые поступл в бюджет'!G44/ВРП!H44*100</f>
        <v>15.478030223331485</v>
      </c>
      <c r="I44" s="85">
        <f>'Налоговые поступл в бюджет'!H44/ВРП!I44*100</f>
        <v>14.324043150107007</v>
      </c>
      <c r="J44" s="85">
        <f>'Налоговые поступл в бюджет'!I44/ВРП!J44*100</f>
        <v>14.833001430909402</v>
      </c>
      <c r="K44" s="85">
        <f>'Налоговые поступл в бюджет'!J44/ВРП!K44*100</f>
        <v>14.502347135704262</v>
      </c>
      <c r="L44" s="85">
        <f>'Налоговые поступл в бюджет'!K44/ВРП!L44*100</f>
        <v>13.371362404511267</v>
      </c>
      <c r="M44" s="85">
        <f>'Налоговые поступл в бюджет'!L44/ВРП!M44*100</f>
        <v>11.278153851998628</v>
      </c>
      <c r="N44" s="85">
        <f>'Налоговые поступл в бюджет'!M44/ВРП!N44*100</f>
        <v>12.989860090748834</v>
      </c>
      <c r="O44" s="85">
        <f>'Налоговые поступл в бюджет'!N44/ВРП!O44*100</f>
        <v>14.705078775834538</v>
      </c>
      <c r="P44" s="85">
        <f>'Налоговые поступл в бюджет'!O44/ВРП!P44*100</f>
        <v>15.179576453988014</v>
      </c>
      <c r="Q44" s="85">
        <f>'Налоговые поступл в бюджет'!P44/ВРП!Q44*100</f>
        <v>15.007428863553155</v>
      </c>
      <c r="R44" s="85">
        <f>'Налоговые поступл в бюджет'!Q44/ВРП!R44*100</f>
        <v>13.364820106727365</v>
      </c>
    </row>
    <row r="45" spans="1:18" x14ac:dyDescent="0.25">
      <c r="A45" s="85">
        <v>44</v>
      </c>
      <c r="B45" s="84" t="s">
        <v>44</v>
      </c>
      <c r="C45" s="85">
        <f>'Налоговые поступл в бюджет'!B45/ВРП!C45*100</f>
        <v>26.581221103822518</v>
      </c>
      <c r="D45" s="85">
        <f>'Налоговые поступл в бюджет'!C45/ВРП!D45*100</f>
        <v>21.390847056783592</v>
      </c>
      <c r="E45" s="85">
        <f>'Налоговые поступл в бюджет'!D45/ВРП!E45*100</f>
        <v>24.109484198143864</v>
      </c>
      <c r="F45" s="85">
        <f>'Налоговые поступл в бюджет'!E45/ВРП!F45*100</f>
        <v>21.629669720133691</v>
      </c>
      <c r="G45" s="85">
        <f>'Налоговые поступл в бюджет'!F45/ВРП!G45*100</f>
        <v>21.778399741816671</v>
      </c>
      <c r="H45" s="85">
        <f>'Налоговые поступл в бюджет'!G45/ВРП!H45*100</f>
        <v>21.584021038896957</v>
      </c>
      <c r="I45" s="85">
        <f>'Налоговые поступл в бюджет'!H45/ВРП!I45*100</f>
        <v>20.922100147116396</v>
      </c>
      <c r="J45" s="85">
        <f>'Налоговые поступл в бюджет'!I45/ВРП!J45*100</f>
        <v>18.77465080008902</v>
      </c>
      <c r="K45" s="85">
        <f>'Налоговые поступл в бюджет'!J45/ВРП!K45*100</f>
        <v>20.33068175468248</v>
      </c>
      <c r="L45" s="85">
        <f>'Налоговые поступл в бюджет'!K45/ВРП!L45*100</f>
        <v>19.548513250366824</v>
      </c>
      <c r="M45" s="85">
        <f>'Налоговые поступл в бюджет'!L45/ВРП!M45*100</f>
        <v>20.223571608743534</v>
      </c>
      <c r="N45" s="85">
        <f>'Налоговые поступл в бюджет'!M45/ВРП!N45*100</f>
        <v>20.815692280648044</v>
      </c>
      <c r="O45" s="85">
        <f>'Налоговые поступл в бюджет'!N45/ВРП!O45*100</f>
        <v>23.869783607102352</v>
      </c>
      <c r="P45" s="85">
        <f>'Налоговые поступл в бюджет'!O45/ВРП!P45*100</f>
        <v>25.277663957811207</v>
      </c>
      <c r="Q45" s="85">
        <f>'Налоговые поступл в бюджет'!P45/ВРП!Q45*100</f>
        <v>21.577141701715551</v>
      </c>
      <c r="R45" s="85">
        <f>'Налоговые поступл в бюджет'!Q45/ВРП!R45*100</f>
        <v>19.397492074976622</v>
      </c>
    </row>
    <row r="46" spans="1:18" x14ac:dyDescent="0.25">
      <c r="A46" s="85">
        <v>45</v>
      </c>
      <c r="B46" s="84" t="s">
        <v>45</v>
      </c>
      <c r="C46" s="85">
        <f>'Налоговые поступл в бюджет'!B46/ВРП!C46*100</f>
        <v>16.632034709916134</v>
      </c>
      <c r="D46" s="85">
        <f>'Налоговые поступл в бюджет'!C46/ВРП!D46*100</f>
        <v>16.460583963337967</v>
      </c>
      <c r="E46" s="85">
        <f>'Налоговые поступл в бюджет'!D46/ВРП!E46*100</f>
        <v>16.37176497933509</v>
      </c>
      <c r="F46" s="85">
        <f>'Налоговые поступл в бюджет'!E46/ВРП!F46*100</f>
        <v>15.76104723919757</v>
      </c>
      <c r="G46" s="85">
        <f>'Налоговые поступл в бюджет'!F46/ВРП!G46*100</f>
        <v>14.405347076358963</v>
      </c>
      <c r="H46" s="85">
        <f>'Налоговые поступл в бюджет'!G46/ВРП!H46*100</f>
        <v>13.665774803822547</v>
      </c>
      <c r="I46" s="85">
        <f>'Налоговые поступл в бюджет'!H46/ВРП!I46*100</f>
        <v>12.128133756253641</v>
      </c>
      <c r="J46" s="85">
        <f>'Налоговые поступл в бюджет'!I46/ВРП!J46*100</f>
        <v>12.211032149015665</v>
      </c>
      <c r="K46" s="85">
        <f>'Налоговые поступл в бюджет'!J46/ВРП!K46*100</f>
        <v>11.562577907776248</v>
      </c>
      <c r="L46" s="85">
        <f>'Налоговые поступл в бюджет'!K46/ВРП!L46*100</f>
        <v>11.334617887097346</v>
      </c>
      <c r="M46" s="85">
        <f>'Налоговые поступл в бюджет'!L46/ВРП!M46*100</f>
        <v>10.617888688591904</v>
      </c>
      <c r="N46" s="85">
        <f>'Налоговые поступл в бюджет'!M46/ВРП!N46*100</f>
        <v>12.658340300674094</v>
      </c>
      <c r="O46" s="85">
        <f>'Налоговые поступл в бюджет'!N46/ВРП!O46*100</f>
        <v>15.355810653195201</v>
      </c>
      <c r="P46" s="85">
        <f>'Налоговые поступл в бюджет'!O46/ВРП!P46*100</f>
        <v>13.502490031154224</v>
      </c>
      <c r="Q46" s="85">
        <f>'Налоговые поступл в бюджет'!P46/ВРП!Q46*100</f>
        <v>13.985588061199291</v>
      </c>
      <c r="R46" s="85">
        <f>'Налоговые поступл в бюджет'!Q46/ВРП!R46*100</f>
        <v>12.092081179507758</v>
      </c>
    </row>
    <row r="47" spans="1:18" x14ac:dyDescent="0.25">
      <c r="A47" s="85">
        <v>46</v>
      </c>
      <c r="B47" s="84" t="s">
        <v>46</v>
      </c>
      <c r="C47" s="85">
        <f>'Налоговые поступл в бюджет'!B47/ВРП!C47*100</f>
        <v>63.486118327422233</v>
      </c>
      <c r="D47" s="85">
        <f>'Налоговые поступл в бюджет'!C47/ВРП!D47*100</f>
        <v>22.070679716149595</v>
      </c>
      <c r="E47" s="85">
        <f>'Налоговые поступл в бюджет'!D47/ВРП!E47*100</f>
        <v>20.888579705329608</v>
      </c>
      <c r="F47" s="85">
        <f>'Налоговые поступл в бюджет'!E47/ВРП!F47*100</f>
        <v>18.678521725355445</v>
      </c>
      <c r="G47" s="85">
        <f>'Налоговые поступл в бюджет'!F47/ВРП!G47*100</f>
        <v>13.274357710119919</v>
      </c>
      <c r="H47" s="85">
        <f>'Налоговые поступл в бюджет'!G47/ВРП!H47*100</f>
        <v>14.858112200243392</v>
      </c>
      <c r="I47" s="85">
        <f>'Налоговые поступл в бюджет'!H47/ВРП!I47*100</f>
        <v>15.700361468281493</v>
      </c>
      <c r="J47" s="85">
        <f>'Налоговые поступл в бюджет'!I47/ВРП!J47*100</f>
        <v>15.909833258385472</v>
      </c>
      <c r="K47" s="85">
        <f>'Налоговые поступл в бюджет'!J47/ВРП!K47*100</f>
        <v>15.498475848605667</v>
      </c>
      <c r="L47" s="85">
        <f>'Налоговые поступл в бюджет'!K47/ВРП!L47*100</f>
        <v>20.706068290191617</v>
      </c>
      <c r="M47" s="85">
        <f>'Налоговые поступл в бюджет'!L47/ВРП!M47*100</f>
        <v>18.045181569627893</v>
      </c>
      <c r="N47" s="85">
        <f>'Налоговые поступл в бюджет'!M47/ВРП!N47*100</f>
        <v>18.12585733286997</v>
      </c>
      <c r="O47" s="85">
        <f>'Налоговые поступл в бюджет'!N47/ВРП!O47*100</f>
        <v>18.675748367299935</v>
      </c>
      <c r="P47" s="85">
        <f>'Налоговые поступл в бюджет'!O47/ВРП!P47*100</f>
        <v>15.889208210214722</v>
      </c>
      <c r="Q47" s="85">
        <f>'Налоговые поступл в бюджет'!P47/ВРП!Q47*100</f>
        <v>13.588155954147574</v>
      </c>
      <c r="R47" s="85">
        <f>'Налоговые поступл в бюджет'!Q47/ВРП!R47*100</f>
        <v>14.790474189676104</v>
      </c>
    </row>
    <row r="48" spans="1:18" x14ac:dyDescent="0.25">
      <c r="A48" s="85">
        <v>47</v>
      </c>
      <c r="B48" s="84" t="s">
        <v>47</v>
      </c>
      <c r="C48" s="85">
        <f>'Налоговые поступл в бюджет'!B48/ВРП!C48*100</f>
        <v>29.163877146204563</v>
      </c>
      <c r="D48" s="85">
        <f>'Налоговые поступл в бюджет'!C48/ВРП!D48*100</f>
        <v>26.370039188891447</v>
      </c>
      <c r="E48" s="85">
        <f>'Налоговые поступл в бюджет'!D48/ВРП!E48*100</f>
        <v>23.951553297894616</v>
      </c>
      <c r="F48" s="85">
        <f>'Налоговые поступл в бюджет'!E48/ВРП!F48*100</f>
        <v>24.57104408401775</v>
      </c>
      <c r="G48" s="85">
        <f>'Налоговые поступл в бюджет'!F48/ВРП!G48*100</f>
        <v>18.403437491526038</v>
      </c>
      <c r="H48" s="85">
        <f>'Налоговые поступл в бюджет'!G48/ВРП!H48*100</f>
        <v>21.134253333690086</v>
      </c>
      <c r="I48" s="85">
        <f>'Налоговые поступл в бюджет'!H48/ВРП!I48*100</f>
        <v>21.619231102027879</v>
      </c>
      <c r="J48" s="85">
        <f>'Налоговые поступл в бюджет'!I48/ВРП!J48*100</f>
        <v>23.236341519595324</v>
      </c>
      <c r="K48" s="85">
        <f>'Налоговые поступл в бюджет'!J48/ВРП!K48*100</f>
        <v>22.251766435245592</v>
      </c>
      <c r="L48" s="85">
        <f>'Налоговые поступл в бюджет'!K48/ВРП!L48*100</f>
        <v>23.864554393372682</v>
      </c>
      <c r="M48" s="85">
        <f>'Налоговые поступл в бюджет'!L48/ВРП!M48*100</f>
        <v>23.218437809394061</v>
      </c>
      <c r="N48" s="85">
        <f>'Налоговые поступл в бюджет'!M48/ВРП!N48*100</f>
        <v>23.509911455303588</v>
      </c>
      <c r="O48" s="85">
        <f>'Налоговые поступл в бюджет'!N48/ВРП!O48*100</f>
        <v>27.288947918027283</v>
      </c>
      <c r="P48" s="85">
        <f>'Налоговые поступл в бюджет'!O48/ВРП!P48*100</f>
        <v>31.287200551883366</v>
      </c>
      <c r="Q48" s="85">
        <f>'Налоговые поступл в бюджет'!P48/ВРП!Q48*100</f>
        <v>29.987793339171986</v>
      </c>
      <c r="R48" s="85">
        <f>'Налоговые поступл в бюджет'!Q48/ВРП!R48*100</f>
        <v>22.723222809085254</v>
      </c>
    </row>
    <row r="49" spans="1:18" x14ac:dyDescent="0.25">
      <c r="A49" s="85">
        <v>48</v>
      </c>
      <c r="B49" s="84" t="s">
        <v>48</v>
      </c>
      <c r="C49" s="85">
        <f>'Налоговые поступл в бюджет'!B49/ВРП!C49*100</f>
        <v>33.035180466772815</v>
      </c>
      <c r="D49" s="85">
        <f>'Налоговые поступл в бюджет'!C49/ВРП!D49*100</f>
        <v>38.484547933405523</v>
      </c>
      <c r="E49" s="85">
        <f>'Налоговые поступл в бюджет'!D49/ВРП!E49*100</f>
        <v>32.564330985949738</v>
      </c>
      <c r="F49" s="85">
        <f>'Налоговые поступл в бюджет'!E49/ВРП!F49*100</f>
        <v>34.442687308105974</v>
      </c>
      <c r="G49" s="85">
        <f>'Налоговые поступл в бюджет'!F49/ВРП!G49*100</f>
        <v>26.320363491027692</v>
      </c>
      <c r="H49" s="85">
        <f>'Налоговые поступл в бюджет'!G49/ВРП!H49*100</f>
        <v>26.692150612157345</v>
      </c>
      <c r="I49" s="85">
        <f>'Налоговые поступл в бюджет'!H49/ВРП!I49*100</f>
        <v>27.924335682651559</v>
      </c>
      <c r="J49" s="85">
        <f>'Налоговые поступл в бюджет'!I49/ВРП!J49*100</f>
        <v>30.084522699148859</v>
      </c>
      <c r="K49" s="85">
        <f>'Налоговые поступл в бюджет'!J49/ВРП!K49*100</f>
        <v>29.374147920254025</v>
      </c>
      <c r="L49" s="85">
        <f>'Налоговые поступл в бюджет'!K49/ВРП!L49*100</f>
        <v>28.276642113652922</v>
      </c>
      <c r="M49" s="85">
        <f>'Налоговые поступл в бюджет'!L49/ВРП!M49*100</f>
        <v>26.571960066393853</v>
      </c>
      <c r="N49" s="85">
        <f>'Налоговые поступл в бюджет'!M49/ВРП!N49*100</f>
        <v>26.392473298213538</v>
      </c>
      <c r="O49" s="85">
        <f>'Налоговые поступл в бюджет'!N49/ВРП!O49*100</f>
        <v>30.492781595626322</v>
      </c>
      <c r="P49" s="85">
        <f>'Налоговые поступл в бюджет'!O49/ВРП!P49*100</f>
        <v>34.608709650789713</v>
      </c>
      <c r="Q49" s="85">
        <f>'Налоговые поступл в бюджет'!P49/ВРП!Q49*100</f>
        <v>31.655236862356173</v>
      </c>
      <c r="R49" s="85">
        <f>'Налоговые поступл в бюджет'!Q49/ВРП!R49*100</f>
        <v>23.189629907311492</v>
      </c>
    </row>
    <row r="50" spans="1:18" x14ac:dyDescent="0.25">
      <c r="A50" s="85">
        <v>49</v>
      </c>
      <c r="B50" s="84" t="s">
        <v>49</v>
      </c>
      <c r="C50" s="85">
        <f>'Налоговые поступл в бюджет'!B50/ВРП!C50*100</f>
        <v>19.304065621775543</v>
      </c>
      <c r="D50" s="85">
        <f>'Налоговые поступл в бюджет'!C50/ВРП!D50*100</f>
        <v>18.673206542738164</v>
      </c>
      <c r="E50" s="85">
        <f>'Налоговые поступл в бюджет'!D50/ВРП!E50*100</f>
        <v>18.263505309295095</v>
      </c>
      <c r="F50" s="85">
        <f>'Налоговые поступл в бюджет'!E50/ВРП!F50*100</f>
        <v>16.214234066062364</v>
      </c>
      <c r="G50" s="85">
        <f>'Налоговые поступл в бюджет'!F50/ВРП!G50*100</f>
        <v>15.593151287082005</v>
      </c>
      <c r="H50" s="85">
        <f>'Налоговые поступл в бюджет'!G50/ВРП!H50*100</f>
        <v>15.317498665225997</v>
      </c>
      <c r="I50" s="85">
        <f>'Налоговые поступл в бюджет'!H50/ВРП!I50*100</f>
        <v>14.679819499040448</v>
      </c>
      <c r="J50" s="85">
        <f>'Налоговые поступл в бюджет'!I50/ВРП!J50*100</f>
        <v>14.978396491432648</v>
      </c>
      <c r="K50" s="85">
        <f>'Налоговые поступл в бюджет'!J50/ВРП!K50*100</f>
        <v>15.521174521472084</v>
      </c>
      <c r="L50" s="85">
        <f>'Налоговые поступл в бюджет'!K50/ВРП!L50*100</f>
        <v>14.872864367320396</v>
      </c>
      <c r="M50" s="85">
        <f>'Налоговые поступл в бюджет'!L50/ВРП!M50*100</f>
        <v>14.389093817521998</v>
      </c>
      <c r="N50" s="85">
        <f>'Налоговые поступл в бюджет'!M50/ВРП!N50*100</f>
        <v>15.676506923205933</v>
      </c>
      <c r="O50" s="85">
        <f>'Налоговые поступл в бюджет'!N50/ВРП!O50*100</f>
        <v>15.825753563200351</v>
      </c>
      <c r="P50" s="85">
        <f>'Налоговые поступл в бюджет'!O50/ВРП!P50*100</f>
        <v>16.602417738816104</v>
      </c>
      <c r="Q50" s="85">
        <f>'Налоговые поступл в бюджет'!P50/ВРП!Q50*100</f>
        <v>15.816862462897314</v>
      </c>
      <c r="R50" s="85">
        <f>'Налоговые поступл в бюджет'!Q50/ВРП!R50*100</f>
        <v>16.048757397859607</v>
      </c>
    </row>
    <row r="51" spans="1:18" x14ac:dyDescent="0.25">
      <c r="A51" s="85">
        <v>50</v>
      </c>
      <c r="B51" s="84" t="s">
        <v>50</v>
      </c>
      <c r="C51" s="85">
        <f>'Налоговые поступл в бюджет'!B51/ВРП!C51*100</f>
        <v>23.735514018406022</v>
      </c>
      <c r="D51" s="85">
        <f>'Налоговые поступл в бюджет'!C51/ВРП!D51*100</f>
        <v>26.135725529425041</v>
      </c>
      <c r="E51" s="85">
        <f>'Налоговые поступл в бюджет'!D51/ВРП!E51*100</f>
        <v>24.651241057342261</v>
      </c>
      <c r="F51" s="85">
        <f>'Налоговые поступл в бюджет'!E51/ВРП!F51*100</f>
        <v>27.524311255860788</v>
      </c>
      <c r="G51" s="85">
        <f>'Налоговые поступл в бюджет'!F51/ВРП!G51*100</f>
        <v>21.41536757302973</v>
      </c>
      <c r="H51" s="85">
        <f>'Налоговые поступл в бюджет'!G51/ВРП!H51*100</f>
        <v>21.601792793903162</v>
      </c>
      <c r="I51" s="85">
        <f>'Налоговые поступл в бюджет'!H51/ВРП!I51*100</f>
        <v>21.587497028631432</v>
      </c>
      <c r="J51" s="85">
        <f>'Налоговые поступл в бюджет'!I51/ВРП!J51*100</f>
        <v>25.071028207713042</v>
      </c>
      <c r="K51" s="85">
        <f>'Налоговые поступл в бюджет'!J51/ВРП!K51*100</f>
        <v>25.263670665313736</v>
      </c>
      <c r="L51" s="85">
        <f>'Налоговые поступл в бюджет'!K51/ВРП!L51*100</f>
        <v>23.322988701724267</v>
      </c>
      <c r="M51" s="85">
        <f>'Налоговые поступл в бюджет'!L51/ВРП!M51*100</f>
        <v>22.188246952871754</v>
      </c>
      <c r="N51" s="85">
        <f>'Налоговые поступл в бюджет'!M51/ВРП!N51*100</f>
        <v>23.167973485391109</v>
      </c>
      <c r="O51" s="85">
        <f>'Налоговые поступл в бюджет'!N51/ВРП!O51*100</f>
        <v>26.848261894630117</v>
      </c>
      <c r="P51" s="85">
        <f>'Налоговые поступл в бюджет'!O51/ВРП!P51*100</f>
        <v>31.164983544975939</v>
      </c>
      <c r="Q51" s="85">
        <f>'Налоговые поступл в бюджет'!P51/ВРП!Q51*100</f>
        <v>28.446658414334923</v>
      </c>
      <c r="R51" s="85">
        <f>'Налоговые поступл в бюджет'!Q51/ВРП!R51*100</f>
        <v>23.03564278838881</v>
      </c>
    </row>
    <row r="52" spans="1:18" x14ac:dyDescent="0.25">
      <c r="A52" s="85">
        <v>51</v>
      </c>
      <c r="B52" s="84" t="s">
        <v>51</v>
      </c>
      <c r="C52" s="85">
        <f>'Налоговые поступл в бюджет'!B52/ВРП!C52*100</f>
        <v>16.936464136861122</v>
      </c>
      <c r="D52" s="85">
        <f>'Налоговые поступл в бюджет'!C52/ВРП!D52*100</f>
        <v>16.236858185355356</v>
      </c>
      <c r="E52" s="85">
        <f>'Налоговые поступл в бюджет'!D52/ВРП!E52*100</f>
        <v>16.198904996745796</v>
      </c>
      <c r="F52" s="85">
        <f>'Налоговые поступл в бюджет'!E52/ВРП!F52*100</f>
        <v>15.774298935855532</v>
      </c>
      <c r="G52" s="85">
        <f>'Налоговые поступл в бюджет'!F52/ВРП!G52*100</f>
        <v>14.678040722710911</v>
      </c>
      <c r="H52" s="85">
        <f>'Налоговые поступл в бюджет'!G52/ВРП!H52*100</f>
        <v>14.800930653546231</v>
      </c>
      <c r="I52" s="85">
        <f>'Налоговые поступл в бюджет'!H52/ВРП!I52*100</f>
        <v>15.568534768614658</v>
      </c>
      <c r="J52" s="85">
        <f>'Налоговые поступл в бюджет'!I52/ВРП!J52*100</f>
        <v>16.064963785110603</v>
      </c>
      <c r="K52" s="85">
        <f>'Налоговые поступл в бюджет'!J52/ВРП!K52*100</f>
        <v>15.980231744220339</v>
      </c>
      <c r="L52" s="85">
        <f>'Налоговые поступл в бюджет'!K52/ВРП!L52*100</f>
        <v>14.763819348622967</v>
      </c>
      <c r="M52" s="85">
        <f>'Налоговые поступл в бюджет'!L52/ВРП!M52*100</f>
        <v>14.832932304715598</v>
      </c>
      <c r="N52" s="85">
        <f>'Налоговые поступл в бюджет'!M52/ВРП!N52*100</f>
        <v>14.895908148729454</v>
      </c>
      <c r="O52" s="85">
        <f>'Налоговые поступл в бюджет'!N52/ВРП!O52*100</f>
        <v>14.575161035984324</v>
      </c>
      <c r="P52" s="85">
        <f>'Налоговые поступл в бюджет'!O52/ВРП!P52*100</f>
        <v>14.326390546921091</v>
      </c>
      <c r="Q52" s="85">
        <f>'Налоговые поступл в бюджет'!P52/ВРП!Q52*100</f>
        <v>13.623469605751048</v>
      </c>
      <c r="R52" s="85">
        <f>'Налоговые поступл в бюджет'!Q52/ВРП!R52*100</f>
        <v>13.05839819563487</v>
      </c>
    </row>
    <row r="53" spans="1:18" x14ac:dyDescent="0.25">
      <c r="A53" s="85">
        <v>52</v>
      </c>
      <c r="B53" s="84" t="s">
        <v>52</v>
      </c>
      <c r="C53" s="85">
        <f>'Налоговые поступл в бюджет'!B53/ВРП!C53*100</f>
        <v>19.16438373074935</v>
      </c>
      <c r="D53" s="85">
        <f>'Налоговые поступл в бюджет'!C53/ВРП!D53*100</f>
        <v>20.858322458672077</v>
      </c>
      <c r="E53" s="85">
        <f>'Налоговые поступл в бюджет'!D53/ВРП!E53*100</f>
        <v>20.813661480889586</v>
      </c>
      <c r="F53" s="85">
        <f>'Налоговые поступл в бюджет'!E53/ВРП!F53*100</f>
        <v>19.139157744991937</v>
      </c>
      <c r="G53" s="85">
        <f>'Налоговые поступл в бюджет'!F53/ВРП!G53*100</f>
        <v>17.938226280693613</v>
      </c>
      <c r="H53" s="85">
        <f>'Налоговые поступл в бюджет'!G53/ВРП!H53*100</f>
        <v>16.480626170811263</v>
      </c>
      <c r="I53" s="85">
        <f>'Налоговые поступл в бюджет'!H53/ВРП!I53*100</f>
        <v>18.327149073528687</v>
      </c>
      <c r="J53" s="85">
        <f>'Налоговые поступл в бюджет'!I53/ВРП!J53*100</f>
        <v>19.502786110825813</v>
      </c>
      <c r="K53" s="85">
        <f>'Налоговые поступл в бюджет'!J53/ВРП!K53*100</f>
        <v>18.20748209541474</v>
      </c>
      <c r="L53" s="85">
        <f>'Налоговые поступл в бюджет'!K53/ВРП!L53*100</f>
        <v>18.066964707173668</v>
      </c>
      <c r="M53" s="85">
        <f>'Налоговые поступл в бюджет'!L53/ВРП!M53*100</f>
        <v>18.110345494364154</v>
      </c>
      <c r="N53" s="85">
        <f>'Налоговые поступл в бюджет'!M53/ВРП!N53*100</f>
        <v>20.620076650031621</v>
      </c>
      <c r="O53" s="85">
        <f>'Налоговые поступл в бюджет'!N53/ВРП!O53*100</f>
        <v>21.88899086596393</v>
      </c>
      <c r="P53" s="85">
        <f>'Налоговые поступл в бюджет'!O53/ВРП!P53*100</f>
        <v>20.422399571787086</v>
      </c>
      <c r="Q53" s="85">
        <f>'Налоговые поступл в бюджет'!P53/ВРП!Q53*100</f>
        <v>17.802328620442118</v>
      </c>
      <c r="R53" s="85">
        <f>'Налоговые поступл в бюджет'!Q53/ВРП!R53*100</f>
        <v>20.043325549676627</v>
      </c>
    </row>
    <row r="54" spans="1:18" x14ac:dyDescent="0.25">
      <c r="A54" s="85">
        <v>53</v>
      </c>
      <c r="B54" s="84" t="s">
        <v>53</v>
      </c>
      <c r="C54" s="85">
        <f>'Налоговые поступл в бюджет'!B54/ВРП!C54*100</f>
        <v>33.005861924328912</v>
      </c>
      <c r="D54" s="85">
        <f>'Налоговые поступл в бюджет'!C54/ВРП!D54*100</f>
        <v>29.808288013146267</v>
      </c>
      <c r="E54" s="85">
        <f>'Налоговые поступл в бюджет'!D54/ВРП!E54*100</f>
        <v>27.576426825970273</v>
      </c>
      <c r="F54" s="85">
        <f>'Налоговые поступл в бюджет'!E54/ВРП!F54*100</f>
        <v>28.932678267748873</v>
      </c>
      <c r="G54" s="85">
        <f>'Налоговые поступл в бюджет'!F54/ВРП!G54*100</f>
        <v>21.993998483292636</v>
      </c>
      <c r="H54" s="85">
        <f>'Налоговые поступл в бюджет'!G54/ВРП!H54*100</f>
        <v>24.842026134061371</v>
      </c>
      <c r="I54" s="85">
        <f>'Налоговые поступл в бюджет'!H54/ВРП!I54*100</f>
        <v>28.239508032319037</v>
      </c>
      <c r="J54" s="85">
        <f>'Налоговые поступл в бюджет'!I54/ВРП!J54*100</f>
        <v>29.002050548265924</v>
      </c>
      <c r="K54" s="85">
        <f>'Налоговые поступл в бюджет'!J54/ВРП!K54*100</f>
        <v>26.00407216141145</v>
      </c>
      <c r="L54" s="85">
        <f>'Налоговые поступл в бюджет'!K54/ВРП!L54*100</f>
        <v>28.630970149917058</v>
      </c>
      <c r="M54" s="85">
        <f>'Налоговые поступл в бюджет'!L54/ВРП!M54*100</f>
        <v>29.856466529137361</v>
      </c>
      <c r="N54" s="85">
        <f>'Налоговые поступл в бюджет'!M54/ВРП!N54*100</f>
        <v>27.781477690830908</v>
      </c>
      <c r="O54" s="85">
        <f>'Налоговые поступл в бюджет'!N54/ВРП!O54*100</f>
        <v>31.867677425337721</v>
      </c>
      <c r="P54" s="85">
        <f>'Налоговые поступл в бюджет'!O54/ВРП!P54*100</f>
        <v>38.326937452280738</v>
      </c>
      <c r="Q54" s="85">
        <f>'Налоговые поступл в бюджет'!P54/ВРП!Q54*100</f>
        <v>36.733446518297832</v>
      </c>
      <c r="R54" s="85">
        <f>'Налоговые поступл в бюджет'!Q54/ВРП!R54*100</f>
        <v>26.390850428629165</v>
      </c>
    </row>
    <row r="55" spans="1:18" x14ac:dyDescent="0.25">
      <c r="A55" s="85">
        <v>54</v>
      </c>
      <c r="B55" s="84" t="s">
        <v>54</v>
      </c>
      <c r="C55" s="85">
        <f>'Налоговые поступл в бюджет'!B55/ВРП!C55*100</f>
        <v>15.268541889952894</v>
      </c>
      <c r="D55" s="85">
        <f>'Налоговые поступл в бюджет'!C55/ВРП!D55*100</f>
        <v>15.810708856483307</v>
      </c>
      <c r="E55" s="85">
        <f>'Налоговые поступл в бюджет'!D55/ВРП!E55*100</f>
        <v>15.384789763567975</v>
      </c>
      <c r="F55" s="85">
        <f>'Налоговые поступл в бюджет'!E55/ВРП!F55*100</f>
        <v>14.247916176315426</v>
      </c>
      <c r="G55" s="85">
        <f>'Налоговые поступл в бюджет'!F55/ВРП!G55*100</f>
        <v>14.552288241133102</v>
      </c>
      <c r="H55" s="85">
        <f>'Налоговые поступл в бюджет'!G55/ВРП!H55*100</f>
        <v>14.583656421363713</v>
      </c>
      <c r="I55" s="85">
        <f>'Налоговые поступл в бюджет'!H55/ВРП!I55*100</f>
        <v>12.69210294974911</v>
      </c>
      <c r="J55" s="85">
        <f>'Налоговые поступл в бюджет'!I55/ВРП!J55*100</f>
        <v>13.355758920664687</v>
      </c>
      <c r="K55" s="85">
        <f>'Налоговые поступл в бюджет'!J55/ВРП!K55*100</f>
        <v>12.671597578436073</v>
      </c>
      <c r="L55" s="85">
        <f>'Налоговые поступл в бюджет'!K55/ВРП!L55*100</f>
        <v>13.099366715813341</v>
      </c>
      <c r="M55" s="85">
        <f>'Налоговые поступл в бюджет'!L55/ВРП!M55*100</f>
        <v>10.912898022477592</v>
      </c>
      <c r="N55" s="85">
        <f>'Налоговые поступл в бюджет'!M55/ВРП!N55*100</f>
        <v>13.578739785081847</v>
      </c>
      <c r="O55" s="85">
        <f>'Налоговые поступл в бюджет'!N55/ВРП!O55*100</f>
        <v>13.985722610484247</v>
      </c>
      <c r="P55" s="85">
        <f>'Налоговые поступл в бюджет'!O55/ВРП!P55*100</f>
        <v>13.527297731331119</v>
      </c>
      <c r="Q55" s="85">
        <f>'Налоговые поступл в бюджет'!P55/ВРП!Q55*100</f>
        <v>12.159438543974003</v>
      </c>
      <c r="R55" s="85">
        <f>'Налоговые поступл в бюджет'!Q55/ВРП!R55*100</f>
        <v>13.885660959745797</v>
      </c>
    </row>
    <row r="56" spans="1:18" x14ac:dyDescent="0.25">
      <c r="A56" s="85">
        <v>55</v>
      </c>
      <c r="B56" s="84" t="s">
        <v>55</v>
      </c>
      <c r="C56" s="85">
        <f>'Налоговые поступл в бюджет'!B56/ВРП!C56*100</f>
        <v>27.592318003286113</v>
      </c>
      <c r="D56" s="85">
        <f>'Налоговые поступл в бюджет'!C56/ВРП!D56*100</f>
        <v>24.128571384634629</v>
      </c>
      <c r="E56" s="85">
        <f>'Налоговые поступл в бюджет'!D56/ВРП!E56*100</f>
        <v>26.095400676207237</v>
      </c>
      <c r="F56" s="85">
        <f>'Налоговые поступл в бюджет'!E56/ВРП!F56*100</f>
        <v>27.385443294652507</v>
      </c>
      <c r="G56" s="85">
        <f>'Налоговые поступл в бюджет'!F56/ВРП!G56*100</f>
        <v>25.289148165950024</v>
      </c>
      <c r="H56" s="85">
        <f>'Налоговые поступл в бюджет'!G56/ВРП!H56*100</f>
        <v>25.979528246339544</v>
      </c>
      <c r="I56" s="85">
        <f>'Налоговые поступл в бюджет'!H56/ВРП!I56*100</f>
        <v>28.549481489704537</v>
      </c>
      <c r="J56" s="85">
        <f>'Налоговые поступл в бюджет'!I56/ВРП!J56*100</f>
        <v>30.168020379023812</v>
      </c>
      <c r="K56" s="85">
        <f>'Налоговые поступл в бюджет'!J56/ВРП!K56*100</f>
        <v>27.765265189179146</v>
      </c>
      <c r="L56" s="85">
        <f>'Налоговые поступл в бюджет'!K56/ВРП!L56*100</f>
        <v>26.74105106410159</v>
      </c>
      <c r="M56" s="85">
        <f>'Налоговые поступл в бюджет'!L56/ВРП!M56*100</f>
        <v>24.400955546017769</v>
      </c>
      <c r="N56" s="85">
        <f>'Налоговые поступл в бюджет'!M56/ВРП!N56*100</f>
        <v>27.144012301722185</v>
      </c>
      <c r="O56" s="85">
        <f>'Налоговые поступл в бюджет'!N56/ВРП!O56*100</f>
        <v>30.787663640267265</v>
      </c>
      <c r="P56" s="85">
        <f>'Налоговые поступл в бюджет'!O56/ВРП!P56*100</f>
        <v>34.01753318247566</v>
      </c>
      <c r="Q56" s="85">
        <f>'Налоговые поступл в бюджет'!P56/ВРП!Q56*100</f>
        <v>34.453944409710793</v>
      </c>
      <c r="R56" s="85">
        <f>'Налоговые поступл в бюджет'!Q56/ВРП!R56*100</f>
        <v>29.3403942673947</v>
      </c>
    </row>
    <row r="57" spans="1:18" x14ac:dyDescent="0.25">
      <c r="A57" s="85">
        <v>56</v>
      </c>
      <c r="B57" s="84" t="s">
        <v>56</v>
      </c>
      <c r="C57" s="85">
        <f>'Налоговые поступл в бюджет'!B57/ВРП!C57*100</f>
        <v>20.219738431701771</v>
      </c>
      <c r="D57" s="85">
        <f>'Налоговые поступл в бюджет'!C57/ВРП!D57*100</f>
        <v>21.083238044516843</v>
      </c>
      <c r="E57" s="85">
        <f>'Налоговые поступл в бюджет'!D57/ВРП!E57*100</f>
        <v>21.892756355905391</v>
      </c>
      <c r="F57" s="85">
        <f>'Налоговые поступл в бюджет'!E57/ВРП!F57*100</f>
        <v>21.415446661229687</v>
      </c>
      <c r="G57" s="85">
        <f>'Налоговые поступл в бюджет'!F57/ВРП!G57*100</f>
        <v>18.680309243730438</v>
      </c>
      <c r="H57" s="85">
        <f>'Налоговые поступл в бюджет'!G57/ВРП!H57*100</f>
        <v>18.882716137995274</v>
      </c>
      <c r="I57" s="85">
        <f>'Налоговые поступл в бюджет'!H57/ВРП!I57*100</f>
        <v>17.551922380912607</v>
      </c>
      <c r="J57" s="85">
        <f>'Налоговые поступл в бюджет'!I57/ВРП!J57*100</f>
        <v>20.739711062111024</v>
      </c>
      <c r="K57" s="85">
        <f>'Налоговые поступл в бюджет'!J57/ВРП!K57*100</f>
        <v>20.528560723358538</v>
      </c>
      <c r="L57" s="85">
        <f>'Налоговые поступл в бюджет'!K57/ВРП!L57*100</f>
        <v>20.821196863439102</v>
      </c>
      <c r="M57" s="85">
        <f>'Налоговые поступл в бюджет'!L57/ВРП!M57*100</f>
        <v>19.93232954261898</v>
      </c>
      <c r="N57" s="85">
        <f>'Налоговые поступл в бюджет'!M57/ВРП!N57*100</f>
        <v>22.789967301851537</v>
      </c>
      <c r="O57" s="85">
        <f>'Налоговые поступл в бюджет'!N57/ВРП!O57*100</f>
        <v>25.110545611618907</v>
      </c>
      <c r="P57" s="85">
        <f>'Налоговые поступл в бюджет'!O57/ВРП!P57*100</f>
        <v>26.518057656396348</v>
      </c>
      <c r="Q57" s="85">
        <f>'Налоговые поступл в бюджет'!P57/ВРП!Q57*100</f>
        <v>21.68288098557699</v>
      </c>
      <c r="R57" s="85">
        <f>'Налоговые поступл в бюджет'!Q57/ВРП!R57*100</f>
        <v>18.665246816102751</v>
      </c>
    </row>
    <row r="58" spans="1:18" x14ac:dyDescent="0.25">
      <c r="A58" s="85">
        <v>57</v>
      </c>
      <c r="B58" s="84" t="s">
        <v>57</v>
      </c>
      <c r="C58" s="85">
        <f>'Налоговые поступл в бюджет'!B58/ВРП!C58*100</f>
        <v>17.18992757903515</v>
      </c>
      <c r="D58" s="85">
        <f>'Налоговые поступл в бюджет'!C58/ВРП!D58*100</f>
        <v>18.341387911560826</v>
      </c>
      <c r="E58" s="85">
        <f>'Налоговые поступл в бюджет'!D58/ВРП!E58*100</f>
        <v>17.999345504595105</v>
      </c>
      <c r="F58" s="85">
        <f>'Налоговые поступл в бюджет'!E58/ВРП!F58*100</f>
        <v>16.586906184816463</v>
      </c>
      <c r="G58" s="85">
        <f>'Налоговые поступл в бюджет'!F58/ВРП!G58*100</f>
        <v>13.847883335472755</v>
      </c>
      <c r="H58" s="85">
        <f>'Налоговые поступл в бюджет'!G58/ВРП!H58*100</f>
        <v>14.998535644434272</v>
      </c>
      <c r="I58" s="85">
        <f>'Налоговые поступл в бюджет'!H58/ВРП!I58*100</f>
        <v>13.463511639998979</v>
      </c>
      <c r="J58" s="85">
        <f>'Налоговые поступл в бюджет'!I58/ВРП!J58*100</f>
        <v>14.908582654939947</v>
      </c>
      <c r="K58" s="85">
        <f>'Налоговые поступл в бюджет'!J58/ВРП!K58*100</f>
        <v>14.791447204498345</v>
      </c>
      <c r="L58" s="85">
        <f>'Налоговые поступл в бюджет'!K58/ВРП!L58*100</f>
        <v>15.627589145512935</v>
      </c>
      <c r="M58" s="85">
        <f>'Налоговые поступл в бюджет'!L58/ВРП!M58*100</f>
        <v>16.872356756178011</v>
      </c>
      <c r="N58" s="85">
        <f>'Налоговые поступл в бюджет'!M58/ВРП!N58*100</f>
        <v>19.584504872969543</v>
      </c>
      <c r="O58" s="85">
        <f>'Налоговые поступл в бюджет'!N58/ВРП!O58*100</f>
        <v>22.222292185393609</v>
      </c>
      <c r="P58" s="85">
        <f>'Налоговые поступл в бюджет'!O58/ВРП!P58*100</f>
        <v>22.213623470299762</v>
      </c>
      <c r="Q58" s="85">
        <f>'Налоговые поступл в бюджет'!P58/ВРП!Q58*100</f>
        <v>20.763521178230597</v>
      </c>
      <c r="R58" s="85">
        <f>'Налоговые поступл в бюджет'!Q58/ВРП!R58*100</f>
        <v>20.467954790317943</v>
      </c>
    </row>
    <row r="59" spans="1:18" x14ac:dyDescent="0.25">
      <c r="A59" s="85">
        <v>58</v>
      </c>
      <c r="B59" s="84" t="s">
        <v>58</v>
      </c>
      <c r="C59" s="85">
        <f>'Налоговые поступл в бюджет'!B59/ВРП!C59*100</f>
        <v>13.823642971153808</v>
      </c>
      <c r="D59" s="85">
        <f>'Налоговые поступл в бюджет'!C59/ВРП!D59*100</f>
        <v>12.92929735732708</v>
      </c>
      <c r="E59" s="85">
        <f>'Налоговые поступл в бюджет'!D59/ВРП!E59*100</f>
        <v>14.351842715476836</v>
      </c>
      <c r="F59" s="85">
        <f>'Налоговые поступл в бюджет'!E59/ВРП!F59*100</f>
        <v>12.896146981073816</v>
      </c>
      <c r="G59" s="85">
        <f>'Налоговые поступл в бюджет'!F59/ВРП!G59*100</f>
        <v>11.16337470868141</v>
      </c>
      <c r="H59" s="85">
        <f>'Налоговые поступл в бюджет'!G59/ВРП!H59*100</f>
        <v>12.782205557370027</v>
      </c>
      <c r="I59" s="85">
        <f>'Налоговые поступл в бюджет'!H59/ВРП!I59*100</f>
        <v>13.052328588058984</v>
      </c>
      <c r="J59" s="85">
        <f>'Налоговые поступл в бюджет'!I59/ВРП!J59*100</f>
        <v>13.368065431663419</v>
      </c>
      <c r="K59" s="85">
        <f>'Налоговые поступл в бюджет'!J59/ВРП!K59*100</f>
        <v>11.789018540103774</v>
      </c>
      <c r="L59" s="85">
        <f>'Налоговые поступл в бюджет'!K59/ВРП!L59*100</f>
        <v>12.893465633023959</v>
      </c>
      <c r="M59" s="85">
        <f>'Налоговые поступл в бюджет'!L59/ВРП!M59*100</f>
        <v>12.318856329516381</v>
      </c>
      <c r="N59" s="85">
        <f>'Налоговые поступл в бюджет'!M59/ВРП!N59*100</f>
        <v>13.766193530438597</v>
      </c>
      <c r="O59" s="85">
        <f>'Налоговые поступл в бюджет'!N59/ВРП!O59*100</f>
        <v>14.362736075179971</v>
      </c>
      <c r="P59" s="85">
        <f>'Налоговые поступл в бюджет'!O59/ВРП!P59*100</f>
        <v>12.715877090823401</v>
      </c>
      <c r="Q59" s="85">
        <f>'Налоговые поступл в бюджет'!P59/ВРП!Q59*100</f>
        <v>13.261954712539501</v>
      </c>
      <c r="R59" s="85">
        <f>'Налоговые поступл в бюджет'!Q59/ВРП!R59*100</f>
        <v>13.538900716986213</v>
      </c>
    </row>
    <row r="60" spans="1:18" x14ac:dyDescent="0.25">
      <c r="A60" s="85">
        <v>59</v>
      </c>
      <c r="B60" s="84" t="s">
        <v>59</v>
      </c>
      <c r="C60" s="85">
        <f>'Налоговые поступл в бюджет'!B60/ВРП!C60*100</f>
        <v>19.103717495960161</v>
      </c>
      <c r="D60" s="85">
        <f>'Налоговые поступл в бюджет'!C60/ВРП!D60*100</f>
        <v>18.658579498073351</v>
      </c>
      <c r="E60" s="85">
        <f>'Налоговые поступл в бюджет'!D60/ВРП!E60*100</f>
        <v>18.194574146328094</v>
      </c>
      <c r="F60" s="85">
        <f>'Налоговые поступл в бюджет'!E60/ВРП!F60*100</f>
        <v>18.584294442709592</v>
      </c>
      <c r="G60" s="85">
        <f>'Налоговые поступл в бюджет'!F60/ВРП!G60*100</f>
        <v>14.439792484229958</v>
      </c>
      <c r="H60" s="85">
        <f>'Налоговые поступл в бюджет'!G60/ВРП!H60*100</f>
        <v>15.40683017324382</v>
      </c>
      <c r="I60" s="85">
        <f>'Налоговые поступл в бюджет'!H60/ВРП!I60*100</f>
        <v>14.918369526833491</v>
      </c>
      <c r="J60" s="85">
        <f>'Налоговые поступл в бюджет'!I60/ВРП!J60*100</f>
        <v>14.801092277552581</v>
      </c>
      <c r="K60" s="85">
        <f>'Налоговые поступл в бюджет'!J60/ВРП!K60*100</f>
        <v>13.871216440681163</v>
      </c>
      <c r="L60" s="85">
        <f>'Налоговые поступл в бюджет'!K60/ВРП!L60*100</f>
        <v>13.830782428965605</v>
      </c>
      <c r="M60" s="85">
        <f>'Налоговые поступл в бюджет'!L60/ВРП!M60*100</f>
        <v>13.413408234974641</v>
      </c>
      <c r="N60" s="85">
        <f>'Налоговые поступл в бюджет'!M60/ВРП!N60*100</f>
        <v>13.560328679896246</v>
      </c>
      <c r="O60" s="85">
        <f>'Налоговые поступл в бюджет'!N60/ВРП!O60*100</f>
        <v>14.660986588920846</v>
      </c>
      <c r="P60" s="85">
        <f>'Налоговые поступл в бюджет'!O60/ВРП!P60*100</f>
        <v>15.757281106235608</v>
      </c>
      <c r="Q60" s="85">
        <f>'Налоговые поступл в бюджет'!P60/ВРП!Q60*100</f>
        <v>15.064612498360875</v>
      </c>
      <c r="R60" s="85">
        <f>'Налоговые поступл в бюджет'!Q60/ВРП!R60*100</f>
        <v>14.669090780715807</v>
      </c>
    </row>
    <row r="61" spans="1:18" x14ac:dyDescent="0.25">
      <c r="A61" s="85">
        <v>60</v>
      </c>
      <c r="B61" s="84" t="s">
        <v>60</v>
      </c>
      <c r="C61" s="85">
        <f>'Налоговые поступл в бюджет'!B61/ВРП!C61*100</f>
        <v>1.9549153713124177</v>
      </c>
      <c r="D61" s="85">
        <f>'Налоговые поступл в бюджет'!C61/ВРП!D61*100</f>
        <v>53.10663500663216</v>
      </c>
      <c r="E61" s="85">
        <f>'Налоговые поступл в бюджет'!D61/ВРП!E61*100</f>
        <v>44.976370454381268</v>
      </c>
      <c r="F61" s="85">
        <f>'Налоговые поступл в бюджет'!E61/ВРП!F61*100</f>
        <v>53.869555317991313</v>
      </c>
      <c r="G61" s="85">
        <f>'Налоговые поступл в бюджет'!F61/ВРП!G61*100</f>
        <v>39.754707199705678</v>
      </c>
      <c r="H61" s="85">
        <f>'Налоговые поступл в бюджет'!G61/ВРП!H61*100</f>
        <v>44.259989623734846</v>
      </c>
      <c r="I61" s="85">
        <f>'Налоговые поступл в бюджет'!H61/ВРП!I61*100</f>
        <v>50.510395380436101</v>
      </c>
      <c r="J61" s="85">
        <f>'Налоговые поступл в бюджет'!I61/ВРП!J61*100</f>
        <v>51.858418635521708</v>
      </c>
      <c r="K61" s="85">
        <f>'Налоговые поступл в бюджет'!J61/ВРП!K61*100</f>
        <v>49.368103243512579</v>
      </c>
      <c r="L61" s="85">
        <f>'Налоговые поступл в бюджет'!K61/ВРП!L61*100</f>
        <v>3.1183330049004332</v>
      </c>
      <c r="M61" s="85">
        <f>'Налоговые поступл в бюджет'!L61/ВРП!M61*100</f>
        <v>2.8402607592802038</v>
      </c>
      <c r="N61" s="85">
        <f>'Налоговые поступл в бюджет'!M61/ВРП!N61*100</f>
        <v>2.5952094040541698</v>
      </c>
      <c r="O61" s="85">
        <f>'Налоговые поступл в бюджет'!N61/ВРП!O61*100</f>
        <v>3.2510137792373017</v>
      </c>
      <c r="P61" s="85">
        <f>'Налоговые поступл в бюджет'!O61/ВРП!P61*100</f>
        <v>3.688779794657457</v>
      </c>
      <c r="Q61" s="85">
        <f>'Налоговые поступл в бюджет'!P61/ВРП!Q61*100</f>
        <v>3.7927708489683383</v>
      </c>
      <c r="R61" s="85">
        <f>'Налоговые поступл в бюджет'!Q61/ВРП!R61*100</f>
        <v>2.5621277110071685</v>
      </c>
    </row>
    <row r="62" spans="1:18" x14ac:dyDescent="0.25">
      <c r="A62" s="85">
        <v>61</v>
      </c>
      <c r="B62" s="84" t="s">
        <v>61</v>
      </c>
      <c r="C62" s="85">
        <f>'Налоговые поступл в бюджет'!B62/ВРП!C62*100</f>
        <v>15.228262198920325</v>
      </c>
      <c r="D62" s="85">
        <f>'Налоговые поступл в бюджет'!C62/ВРП!D62*100</f>
        <v>16.466913393508431</v>
      </c>
      <c r="E62" s="85">
        <f>'Налоговые поступл в бюджет'!D62/ВРП!E62*100</f>
        <v>16.810259540754117</v>
      </c>
      <c r="F62" s="85">
        <f>'Налоговые поступл в бюджет'!E62/ВРП!F62*100</f>
        <v>14.850276007546812</v>
      </c>
      <c r="G62" s="85">
        <f>'Налоговые поступл в бюджет'!F62/ВРП!G62*100</f>
        <v>10.422483322270802</v>
      </c>
      <c r="H62" s="85">
        <f>'Налоговые поступл в бюджет'!G62/ВРП!H62*100</f>
        <v>14.309149434301553</v>
      </c>
      <c r="I62" s="85">
        <f>'Налоговые поступл в бюджет'!H62/ВРП!I62*100</f>
        <v>15.009665535039341</v>
      </c>
      <c r="J62" s="85">
        <f>'Налоговые поступл в бюджет'!I62/ВРП!J62*100</f>
        <v>15.271584587759001</v>
      </c>
      <c r="K62" s="85">
        <f>'Налоговые поступл в бюджет'!J62/ВРП!K62*100</f>
        <v>15.049720765111301</v>
      </c>
      <c r="L62" s="85">
        <f>'Налоговые поступл в бюджет'!K62/ВРП!L62*100</f>
        <v>15.311702196376581</v>
      </c>
      <c r="M62" s="85">
        <f>'Налоговые поступл в бюджет'!L62/ВРП!M62*100</f>
        <v>14.852560201521166</v>
      </c>
      <c r="N62" s="85">
        <f>'Налоговые поступл в бюджет'!M62/ВРП!N62*100</f>
        <v>15.261525327284764</v>
      </c>
      <c r="O62" s="85">
        <f>'Налоговые поступл в бюджет'!N62/ВРП!O62*100</f>
        <v>15.820502180332188</v>
      </c>
      <c r="P62" s="85">
        <f>'Налоговые поступл в бюджет'!O62/ВРП!P62*100</f>
        <v>16.289690674220843</v>
      </c>
      <c r="Q62" s="85">
        <f>'Налоговые поступл в бюджет'!P62/ВРП!Q62*100</f>
        <v>15.849946541190782</v>
      </c>
      <c r="R62" s="85">
        <f>'Налоговые поступл в бюджет'!Q62/ВРП!R62*100</f>
        <v>15.380204730458788</v>
      </c>
    </row>
    <row r="63" spans="1:18" x14ac:dyDescent="0.25">
      <c r="A63" s="85">
        <v>62</v>
      </c>
      <c r="B63" s="84" t="s">
        <v>62</v>
      </c>
      <c r="C63" s="85">
        <f>'Налоговые поступл в бюджет'!B63/ВРП!C63*100</f>
        <v>35.251765881578052</v>
      </c>
      <c r="D63" s="85">
        <f>'Налоговые поступл в бюджет'!C63/ВРП!D63*100</f>
        <v>29.352938136337798</v>
      </c>
      <c r="E63" s="85">
        <f>'Налоговые поступл в бюджет'!D63/ВРП!E63*100</f>
        <v>25.851011020286592</v>
      </c>
      <c r="F63" s="85">
        <f>'Налоговые поступл в бюджет'!E63/ВРП!F63*100</f>
        <v>18.046093791775842</v>
      </c>
      <c r="G63" s="85">
        <f>'Налоговые поступл в бюджет'!F63/ВРП!G63*100</f>
        <v>13.882862251150085</v>
      </c>
      <c r="H63" s="85">
        <f>'Налоговые поступл в бюджет'!G63/ВРП!H63*100</f>
        <v>19.589438100894448</v>
      </c>
      <c r="I63" s="85">
        <f>'Налоговые поступл в бюджет'!H63/ВРП!I63*100</f>
        <v>14.35741145075206</v>
      </c>
      <c r="J63" s="85">
        <f>'Налоговые поступл в бюджет'!I63/ВРП!J63*100</f>
        <v>14.319215887218096</v>
      </c>
      <c r="K63" s="85">
        <f>'Налоговые поступл в бюджет'!J63/ВРП!K63*100</f>
        <v>14.098386539991296</v>
      </c>
      <c r="L63" s="85">
        <f>'Налоговые поступл в бюджет'!K63/ВРП!L63*100</f>
        <v>13.462220509850251</v>
      </c>
      <c r="M63" s="85">
        <f>'Налоговые поступл в бюджет'!L63/ВРП!M63*100</f>
        <v>14.165779294545095</v>
      </c>
      <c r="N63" s="85">
        <f>'Налоговые поступл в бюджет'!M63/ВРП!N63*100</f>
        <v>13.527031697944411</v>
      </c>
      <c r="O63" s="85">
        <f>'Налоговые поступл в бюджет'!N63/ВРП!O63*100</f>
        <v>14.448114499787293</v>
      </c>
      <c r="P63" s="85">
        <f>'Налоговые поступл в бюджет'!O63/ВРП!P63*100</f>
        <v>14.201412784672945</v>
      </c>
      <c r="Q63" s="85">
        <f>'Налоговые поступл в бюджет'!P63/ВРП!Q63*100</f>
        <v>14.262218363831201</v>
      </c>
      <c r="R63" s="85">
        <f>'Налоговые поступл в бюджет'!Q63/ВРП!R63*100</f>
        <v>14.796264176871585</v>
      </c>
    </row>
    <row r="64" spans="1:18" x14ac:dyDescent="0.25">
      <c r="A64" s="85">
        <v>63</v>
      </c>
      <c r="B64" s="84" t="s">
        <v>63</v>
      </c>
      <c r="C64" s="85">
        <f>'Налоговые поступл в бюджет'!B64/ВРП!C64*100</f>
        <v>12.217521948823235</v>
      </c>
      <c r="D64" s="85">
        <f>'Налоговые поступл в бюджет'!C64/ВРП!D64*100</f>
        <v>14.806067663696512</v>
      </c>
      <c r="E64" s="85">
        <f>'Налоговые поступл в бюджет'!D64/ВРП!E64*100</f>
        <v>14.696952774520206</v>
      </c>
      <c r="F64" s="85">
        <f>'Налоговые поступл в бюджет'!E64/ВРП!F64*100</f>
        <v>14.643434064062017</v>
      </c>
      <c r="G64" s="85">
        <f>'Налоговые поступл в бюджет'!F64/ВРП!G64*100</f>
        <v>14.869000731922466</v>
      </c>
      <c r="H64" s="85">
        <f>'Налоговые поступл в бюджет'!G64/ВРП!H64*100</f>
        <v>13.243303156847825</v>
      </c>
      <c r="I64" s="85">
        <f>'Налоговые поступл в бюджет'!H64/ВРП!I64*100</f>
        <v>14.144004749254835</v>
      </c>
      <c r="J64" s="85">
        <f>'Налоговые поступл в бюджет'!I64/ВРП!J64*100</f>
        <v>12.972796771597048</v>
      </c>
      <c r="K64" s="85">
        <f>'Налоговые поступл в бюджет'!J64/ВРП!K64*100</f>
        <v>11.928925444162974</v>
      </c>
      <c r="L64" s="85">
        <f>'Налоговые поступл в бюджет'!K64/ВРП!L64*100</f>
        <v>11.739642635188792</v>
      </c>
      <c r="M64" s="85">
        <f>'Налоговые поступл в бюджет'!L64/ВРП!M64*100</f>
        <v>13.278152323647074</v>
      </c>
      <c r="N64" s="85">
        <f>'Налоговые поступл в бюджет'!M64/ВРП!N64*100</f>
        <v>12.798661757220522</v>
      </c>
      <c r="O64" s="85">
        <f>'Налоговые поступл в бюджет'!N64/ВРП!O64*100</f>
        <v>13.621377806280991</v>
      </c>
      <c r="P64" s="85">
        <f>'Налоговые поступл в бюджет'!O64/ВРП!P64*100</f>
        <v>14.230279563463721</v>
      </c>
      <c r="Q64" s="85">
        <f>'Налоговые поступл в бюджет'!P64/ВРП!Q64*100</f>
        <v>12.658405875895017</v>
      </c>
      <c r="R64" s="85">
        <f>'Налоговые поступл в бюджет'!Q64/ВРП!R64*100</f>
        <v>10.629530001172251</v>
      </c>
    </row>
    <row r="65" spans="1:18" x14ac:dyDescent="0.25">
      <c r="A65" s="85">
        <v>64</v>
      </c>
      <c r="B65" s="84" t="s">
        <v>64</v>
      </c>
      <c r="C65" s="85">
        <f>'Налоговые поступл в бюджет'!B65/ВРП!C65*100</f>
        <v>11.057663451232584</v>
      </c>
      <c r="D65" s="85">
        <f>'Налоговые поступл в бюджет'!C65/ВРП!D65*100</f>
        <v>10.628647635144057</v>
      </c>
      <c r="E65" s="85">
        <f>'Налоговые поступл в бюджет'!D65/ВРП!E65*100</f>
        <v>9.7460818604843134</v>
      </c>
      <c r="F65" s="85">
        <f>'Налоговые поступл в бюджет'!E65/ВРП!F65*100</f>
        <v>10.455583251293438</v>
      </c>
      <c r="G65" s="85">
        <f>'Налоговые поступл в бюджет'!F65/ВРП!G65*100</f>
        <v>9.7656554700819775</v>
      </c>
      <c r="H65" s="85">
        <f>'Налоговые поступл в бюджет'!G65/ВРП!H65*100</f>
        <v>10.604494878594084</v>
      </c>
      <c r="I65" s="85">
        <f>'Налоговые поступл в бюджет'!H65/ВРП!I65*100</f>
        <v>9.3754584731832491</v>
      </c>
      <c r="J65" s="85">
        <f>'Налоговые поступл в бюджет'!I65/ВРП!J65*100</f>
        <v>8.5986925026291772</v>
      </c>
      <c r="K65" s="85">
        <f>'Налоговые поступл в бюджет'!J65/ВРП!K65*100</f>
        <v>9.1815069239467579</v>
      </c>
      <c r="L65" s="85">
        <f>'Налоговые поступл в бюджет'!K65/ВРП!L65*100</f>
        <v>7.856507043847488</v>
      </c>
      <c r="M65" s="85">
        <f>'Налоговые поступл в бюджет'!L65/ВРП!M65*100</f>
        <v>9.6765462173501149</v>
      </c>
      <c r="N65" s="85">
        <f>'Налоговые поступл в бюджет'!M65/ВРП!N65*100</f>
        <v>9.4238327515567732</v>
      </c>
      <c r="O65" s="85">
        <f>'Налоговые поступл в бюджет'!N65/ВРП!O65*100</f>
        <v>10.226540592097406</v>
      </c>
      <c r="P65" s="85">
        <f>'Налоговые поступл в бюджет'!O65/ВРП!P65*100</f>
        <v>9.5674237357140779</v>
      </c>
      <c r="Q65" s="85">
        <f>'Налоговые поступл в бюджет'!P65/ВРП!Q65*100</f>
        <v>9.3124104454529952</v>
      </c>
      <c r="R65" s="85">
        <f>'Налоговые поступл в бюджет'!Q65/ВРП!R65*100</f>
        <v>7.805489541112137</v>
      </c>
    </row>
    <row r="66" spans="1:18" x14ac:dyDescent="0.25">
      <c r="A66" s="85">
        <v>65</v>
      </c>
      <c r="B66" s="84" t="s">
        <v>65</v>
      </c>
      <c r="C66" s="85">
        <f>'Налоговые поступл в бюджет'!B66/ВРП!C66*100</f>
        <v>15.034689353543826</v>
      </c>
      <c r="D66" s="85">
        <f>'Налоговые поступл в бюджет'!C66/ВРП!D66*100</f>
        <v>11.734367928060154</v>
      </c>
      <c r="E66" s="85">
        <f>'Налоговые поступл в бюджет'!D66/ВРП!E66*100</f>
        <v>12.444053858949813</v>
      </c>
      <c r="F66" s="85">
        <f>'Налоговые поступл в бюджет'!E66/ВРП!F66*100</f>
        <v>9.491514172548845</v>
      </c>
      <c r="G66" s="85">
        <f>'Налоговые поступл в бюджет'!F66/ВРП!G66*100</f>
        <v>11.426575446279246</v>
      </c>
      <c r="H66" s="85">
        <f>'Налоговые поступл в бюджет'!G66/ВРП!H66*100</f>
        <v>10.331862415373628</v>
      </c>
      <c r="I66" s="85">
        <f>'Налоговые поступл в бюджет'!H66/ВРП!I66*100</f>
        <v>10.896725650178931</v>
      </c>
      <c r="J66" s="85">
        <f>'Налоговые поступл в бюджет'!I66/ВРП!J66*100</f>
        <v>10.119237437661946</v>
      </c>
      <c r="K66" s="85">
        <f>'Налоговые поступл в бюджет'!J66/ВРП!K66*100</f>
        <v>8.2048910648887396</v>
      </c>
      <c r="L66" s="85">
        <f>'Налоговые поступл в бюджет'!K66/ВРП!L66*100</f>
        <v>9.3358202923734375</v>
      </c>
      <c r="M66" s="85">
        <f>'Налоговые поступл в бюджет'!L66/ВРП!M66*100</f>
        <v>9.9799839331600673</v>
      </c>
      <c r="N66" s="85">
        <f>'Налоговые поступл в бюджет'!M66/ВРП!N66*100</f>
        <v>9.6029628920287458</v>
      </c>
      <c r="O66" s="85">
        <f>'Налоговые поступл в бюджет'!N66/ВРП!O66*100</f>
        <v>10.811236666469107</v>
      </c>
      <c r="P66" s="85">
        <f>'Налоговые поступл в бюджет'!O66/ВРП!P66*100</f>
        <v>11.881090081249955</v>
      </c>
      <c r="Q66" s="85">
        <f>'Налоговые поступл в бюджет'!P66/ВРП!Q66*100</f>
        <v>8.9500208389593325</v>
      </c>
      <c r="R66" s="85">
        <f>'Налоговые поступл в бюджет'!Q66/ВРП!R66*100</f>
        <v>8.9361552156363313</v>
      </c>
    </row>
    <row r="67" spans="1:18" x14ac:dyDescent="0.25">
      <c r="A67" s="85">
        <v>66</v>
      </c>
      <c r="B67" s="84" t="s">
        <v>66</v>
      </c>
      <c r="C67" s="85">
        <f>'Налоговые поступл в бюджет'!B67/ВРП!C67*100</f>
        <v>11.500563063063064</v>
      </c>
      <c r="D67" s="85">
        <f>'Налоговые поступл в бюджет'!C67/ВРП!D67*100</f>
        <v>11.746816216511661</v>
      </c>
      <c r="E67" s="85">
        <f>'Налоговые поступл в бюджет'!D67/ВРП!E67*100</f>
        <v>12.130831790892426</v>
      </c>
      <c r="F67" s="85">
        <f>'Налоговые поступл в бюджет'!E67/ВРП!F67*100</f>
        <v>13.259693433139342</v>
      </c>
      <c r="G67" s="85">
        <f>'Налоговые поступл в бюджет'!F67/ВРП!G67*100</f>
        <v>11.225153258515293</v>
      </c>
      <c r="H67" s="85">
        <f>'Налоговые поступл в бюджет'!G67/ВРП!H67*100</f>
        <v>14.277088167838503</v>
      </c>
      <c r="I67" s="85">
        <f>'Налоговые поступл в бюджет'!H67/ВРП!I67*100</f>
        <v>14.268913018212212</v>
      </c>
      <c r="J67" s="85">
        <f>'Налоговые поступл в бюджет'!I67/ВРП!J67*100</f>
        <v>13.856824966828837</v>
      </c>
      <c r="K67" s="85">
        <f>'Налоговые поступл в бюджет'!J67/ВРП!K67*100</f>
        <v>13.380225867997019</v>
      </c>
      <c r="L67" s="85">
        <f>'Налоговые поступл в бюджет'!K67/ВРП!L67*100</f>
        <v>13.62848798651552</v>
      </c>
      <c r="M67" s="85">
        <f>'Налоговые поступл в бюджет'!L67/ВРП!M67*100</f>
        <v>12.994685627254418</v>
      </c>
      <c r="N67" s="85">
        <f>'Налоговые поступл в бюджет'!M67/ВРП!N67*100</f>
        <v>14.572077946272216</v>
      </c>
      <c r="O67" s="85">
        <f>'Налоговые поступл в бюджет'!N67/ВРП!O67*100</f>
        <v>15.480270375385691</v>
      </c>
      <c r="P67" s="85">
        <f>'Налоговые поступл в бюджет'!O67/ВРП!P67*100</f>
        <v>15.264188471831975</v>
      </c>
      <c r="Q67" s="85">
        <f>'Налоговые поступл в бюджет'!P67/ВРП!Q67*100</f>
        <v>14.442534389704221</v>
      </c>
      <c r="R67" s="85">
        <f>'Налоговые поступл в бюджет'!Q67/ВРП!R67*100</f>
        <v>14.896212914181891</v>
      </c>
    </row>
    <row r="68" spans="1:18" x14ac:dyDescent="0.25">
      <c r="A68" s="85">
        <v>67</v>
      </c>
      <c r="B68" s="84" t="s">
        <v>73</v>
      </c>
      <c r="C68" s="85">
        <f>'Налоговые поступл в бюджет'!B68/ВРП!C68*100</f>
        <v>27.270195026067128</v>
      </c>
      <c r="D68" s="85">
        <f>'Налоговые поступл в бюджет'!C68/ВРП!D68*100</f>
        <v>44.041414229363141</v>
      </c>
      <c r="E68" s="85">
        <f>'Налоговые поступл в бюджет'!D68/ВРП!E68*100</f>
        <v>15.296817249942249</v>
      </c>
      <c r="F68" s="85">
        <f>'Налоговые поступл в бюджет'!E68/ВРП!F68*100</f>
        <v>13.865447392054284</v>
      </c>
      <c r="G68" s="85">
        <f>'Налоговые поступл в бюджет'!F68/ВРП!G68*100</f>
        <v>13.759936037860419</v>
      </c>
      <c r="H68" s="85">
        <f>'Налоговые поступл в бюджет'!G68/ВРП!H68*100</f>
        <v>14.613131025383449</v>
      </c>
      <c r="I68" s="85">
        <f>'Налоговые поступл в бюджет'!H68/ВРП!I68*100</f>
        <v>12.768052033413612</v>
      </c>
      <c r="J68" s="85">
        <f>'Налоговые поступл в бюджет'!I68/ВРП!J68*100</f>
        <v>12.162346719721677</v>
      </c>
      <c r="K68" s="85">
        <f>'Налоговые поступл в бюджет'!J68/ВРП!K68*100</f>
        <v>12.018054924240772</v>
      </c>
      <c r="L68" s="85">
        <f>'Налоговые поступл в бюджет'!K68/ВРП!L68*100</f>
        <v>12.083505080888841</v>
      </c>
      <c r="M68" s="85">
        <f>'Налоговые поступл в бюджет'!L68/ВРП!M68*100</f>
        <v>13.012110655390197</v>
      </c>
      <c r="N68" s="85">
        <f>'Налоговые поступл в бюджет'!M68/ВРП!N68*100</f>
        <v>11.721342978450057</v>
      </c>
      <c r="O68" s="85">
        <f>'Налоговые поступл в бюджет'!N68/ВРП!O68*100</f>
        <v>11.478107493593267</v>
      </c>
      <c r="P68" s="85">
        <f>'Налоговые поступл в бюджет'!O68/ВРП!P68*100</f>
        <v>12.440766957193732</v>
      </c>
      <c r="Q68" s="85">
        <f>'Налоговые поступл в бюджет'!P68/ВРП!Q68*100</f>
        <v>12.228697076659913</v>
      </c>
      <c r="R68" s="85">
        <f>'Налоговые поступл в бюджет'!Q68/ВРП!R68*100</f>
        <v>10.173047911911906</v>
      </c>
    </row>
    <row r="69" spans="1:18" x14ac:dyDescent="0.25">
      <c r="A69" s="85">
        <v>68</v>
      </c>
      <c r="B69" s="84" t="s">
        <v>67</v>
      </c>
      <c r="C69" s="85">
        <f>'Налоговые поступл в бюджет'!B69/ВРП!C69*100</f>
        <v>15.773090682178367</v>
      </c>
      <c r="D69" s="85">
        <f>'Налоговые поступл в бюджет'!C69/ВРП!D69*100</f>
        <v>18.46027330764101</v>
      </c>
      <c r="E69" s="85">
        <f>'Налоговые поступл в бюджет'!D69/ВРП!E69*100</f>
        <v>19.989353743924305</v>
      </c>
      <c r="F69" s="85">
        <f>'Налоговые поступл в бюджет'!E69/ВРП!F69*100</f>
        <v>18.958209256582929</v>
      </c>
      <c r="G69" s="85">
        <f>'Налоговые поступл в бюджет'!F69/ВРП!G69*100</f>
        <v>14.044638323704328</v>
      </c>
      <c r="H69" s="85">
        <f>'Налоговые поступл в бюджет'!G69/ВРП!H69*100</f>
        <v>15.599507354160252</v>
      </c>
      <c r="I69" s="85">
        <f>'Налоговые поступл в бюджет'!H69/ВРП!I69*100</f>
        <v>17.304311233603794</v>
      </c>
      <c r="J69" s="85">
        <f>'Налоговые поступл в бюджет'!I69/ВРП!J69*100</f>
        <v>22.716347483325279</v>
      </c>
      <c r="K69" s="85">
        <f>'Налоговые поступл в бюджет'!J69/ВРП!K69*100</f>
        <v>23.315808601262386</v>
      </c>
      <c r="L69" s="85">
        <f>'Налоговые поступл в бюджет'!K69/ВРП!L69*100</f>
        <v>22.350950036219096</v>
      </c>
      <c r="M69" s="85">
        <f>'Налоговые поступл в бюджет'!L69/ВРП!M69*100</f>
        <v>21.211336661105715</v>
      </c>
      <c r="N69" s="85">
        <f>'Налоговые поступл в бюджет'!M69/ВРП!N69*100</f>
        <v>21.290170283922631</v>
      </c>
      <c r="O69" s="85">
        <f>'Налоговые поступл в бюджет'!N69/ВРП!O69*100</f>
        <v>24.863275881859241</v>
      </c>
      <c r="P69" s="85">
        <f>'Налоговые поступл в бюджет'!O69/ВРП!P69*100</f>
        <v>27.285532151191788</v>
      </c>
      <c r="Q69" s="85">
        <f>'Налоговые поступл в бюджет'!P69/ВРП!Q69*100</f>
        <v>26.418952669584485</v>
      </c>
      <c r="R69" s="85">
        <f>'Налоговые поступл в бюджет'!Q69/ВРП!R69*100</f>
        <v>23.025971761937843</v>
      </c>
    </row>
    <row r="70" spans="1:18" x14ac:dyDescent="0.25">
      <c r="A70" s="85">
        <v>69</v>
      </c>
      <c r="B70" s="84" t="s">
        <v>68</v>
      </c>
      <c r="C70" s="85">
        <f>'Налоговые поступл в бюджет'!B70/ВРП!C70*100</f>
        <v>15.863004198058469</v>
      </c>
      <c r="D70" s="85">
        <f>'Налоговые поступл в бюджет'!C70/ВРП!D70*100</f>
        <v>14.247162401238326</v>
      </c>
      <c r="E70" s="85">
        <f>'Налоговые поступл в бюджет'!D70/ВРП!E70*100</f>
        <v>15.551265141074971</v>
      </c>
      <c r="F70" s="85">
        <f>'Налоговые поступл в бюджет'!E70/ВРП!F70*100</f>
        <v>16.035824345497485</v>
      </c>
      <c r="G70" s="85">
        <f>'Налоговые поступл в бюджет'!F70/ВРП!G70*100</f>
        <v>13.223107890165744</v>
      </c>
      <c r="H70" s="85">
        <f>'Налоговые поступл в бюджет'!G70/ВРП!H70*100</f>
        <v>11.472678301024827</v>
      </c>
      <c r="I70" s="85">
        <f>'Налоговые поступл в бюджет'!H70/ВРП!I70*100</f>
        <v>19.788691842901251</v>
      </c>
      <c r="J70" s="85">
        <f>'Налоговые поступл в бюджет'!I70/ВРП!J70*100</f>
        <v>19.836059002812572</v>
      </c>
      <c r="K70" s="85">
        <f>'Налоговые поступл в бюджет'!J70/ВРП!K70*100</f>
        <v>17.785218284954933</v>
      </c>
      <c r="L70" s="85">
        <f>'Налоговые поступл в бюджет'!K70/ВРП!L70*100</f>
        <v>20.47007723851176</v>
      </c>
      <c r="M70" s="85">
        <f>'Налоговые поступл в бюджет'!L70/ВРП!M70*100</f>
        <v>19.756126876476966</v>
      </c>
      <c r="N70" s="85">
        <f>'Налоговые поступл в бюджет'!M70/ВРП!N70*100</f>
        <v>23.025237600883028</v>
      </c>
      <c r="O70" s="85">
        <f>'Налоговые поступл в бюджет'!N70/ВРП!O70*100</f>
        <v>26.819996845997281</v>
      </c>
      <c r="P70" s="85">
        <f>'Налоговые поступл в бюджет'!O70/ВРП!P70*100</f>
        <v>31.131780180953193</v>
      </c>
      <c r="Q70" s="85">
        <f>'Налоговые поступл в бюджет'!P70/ВРП!Q70*100</f>
        <v>29.151171335138709</v>
      </c>
      <c r="R70" s="85">
        <f>'Налоговые поступл в бюджет'!Q70/ВРП!R70*100</f>
        <v>22.831254452036127</v>
      </c>
    </row>
    <row r="71" spans="1:18" x14ac:dyDescent="0.25">
      <c r="A71" s="85">
        <v>70</v>
      </c>
      <c r="B71" s="84" t="s">
        <v>69</v>
      </c>
      <c r="C71" s="85">
        <f>'Налоговые поступл в бюджет'!B71/ВРП!C71*100</f>
        <v>20.85836337389599</v>
      </c>
      <c r="D71" s="85">
        <f>'Налоговые поступл в бюджет'!C71/ВРП!D71*100</f>
        <v>16.947517113730552</v>
      </c>
      <c r="E71" s="85">
        <f>'Налоговые поступл в бюджет'!D71/ВРП!E71*100</f>
        <v>18.606309597610913</v>
      </c>
      <c r="F71" s="85">
        <f>'Налоговые поступл в бюджет'!E71/ВРП!F71*100</f>
        <v>19.824001275217185</v>
      </c>
      <c r="G71" s="85">
        <f>'Налоговые поступл в бюджет'!F71/ВРП!G71*100</f>
        <v>13.162362804640052</v>
      </c>
      <c r="H71" s="85">
        <f>'Налоговые поступл в бюджет'!G71/ВРП!H71*100</f>
        <v>15.13947023788697</v>
      </c>
      <c r="I71" s="85">
        <f>'Налоговые поступл в бюджет'!H71/ВРП!I71*100</f>
        <v>16.350673803352084</v>
      </c>
      <c r="J71" s="85">
        <f>'Налоговые поступл в бюджет'!I71/ВРП!J71*100</f>
        <v>14.125601194118948</v>
      </c>
      <c r="K71" s="85">
        <f>'Налоговые поступл в бюджет'!J71/ВРП!K71*100</f>
        <v>12.696375854198777</v>
      </c>
      <c r="L71" s="85">
        <f>'Налоговые поступл в бюджет'!K71/ВРП!L71*100</f>
        <v>12.817489867344662</v>
      </c>
      <c r="M71" s="85">
        <f>'Налоговые поступл в бюджет'!L71/ВРП!M71*100</f>
        <v>12.719343699509123</v>
      </c>
      <c r="N71" s="85">
        <f>'Налоговые поступл в бюджет'!M71/ВРП!N71*100</f>
        <v>11.793044765939467</v>
      </c>
      <c r="O71" s="85">
        <f>'Налоговые поступл в бюджет'!N71/ВРП!O71*100</f>
        <v>14.52856985211309</v>
      </c>
      <c r="P71" s="85">
        <f>'Налоговые поступл в бюджет'!O71/ВРП!P71*100</f>
        <v>14.304510330472345</v>
      </c>
      <c r="Q71" s="85">
        <f>'Налоговые поступл в бюджет'!P71/ВРП!Q71*100</f>
        <v>12.448254711233661</v>
      </c>
      <c r="R71" s="85">
        <f>'Налоговые поступл в бюджет'!Q71/ВРП!R71*100</f>
        <v>8.8334080202843683</v>
      </c>
    </row>
    <row r="72" spans="1:18" x14ac:dyDescent="0.25">
      <c r="A72" s="85">
        <v>71</v>
      </c>
      <c r="B72" s="84" t="s">
        <v>70</v>
      </c>
      <c r="C72" s="85">
        <f>'Налоговые поступл в бюджет'!B72/ВРП!C72*100</f>
        <v>18.656072814465691</v>
      </c>
      <c r="D72" s="85">
        <f>'Налоговые поступл в бюджет'!C72/ВРП!D72*100</f>
        <v>19.266443629682044</v>
      </c>
      <c r="E72" s="85">
        <f>'Налоговые поступл в бюджет'!D72/ВРП!E72*100</f>
        <v>21.138387092538199</v>
      </c>
      <c r="F72" s="85">
        <f>'Налоговые поступл в бюджет'!E72/ВРП!F72*100</f>
        <v>20.323426399979187</v>
      </c>
      <c r="G72" s="85">
        <f>'Налоговые поступл в бюджет'!F72/ВРП!G72*100</f>
        <v>19.572675330194954</v>
      </c>
      <c r="H72" s="85">
        <f>'Налоговые поступл в бюджет'!G72/ВРП!H72*100</f>
        <v>19.911439077806417</v>
      </c>
      <c r="I72" s="85">
        <f>'Налоговые поступл в бюджет'!H72/ВРП!I72*100</f>
        <v>18.376914061749506</v>
      </c>
      <c r="J72" s="85">
        <f>'Налоговые поступл в бюджет'!I72/ВРП!J72*100</f>
        <v>17.433909585060302</v>
      </c>
      <c r="K72" s="85">
        <f>'Налоговые поступл в бюджет'!J72/ВРП!K72*100</f>
        <v>16.260258414292945</v>
      </c>
      <c r="L72" s="85">
        <f>'Налоговые поступл в бюджет'!K72/ВРП!L72*100</f>
        <v>15.161393693502879</v>
      </c>
      <c r="M72" s="85">
        <f>'Налоговые поступл в бюджет'!L72/ВРП!M72*100</f>
        <v>13.874701228775729</v>
      </c>
      <c r="N72" s="85">
        <f>'Налоговые поступл в бюджет'!M72/ВРП!N72*100</f>
        <v>15.105967356303834</v>
      </c>
      <c r="O72" s="85">
        <f>'Налоговые поступл в бюджет'!N72/ВРП!O72*100</f>
        <v>15.050230419401275</v>
      </c>
      <c r="P72" s="85">
        <f>'Налоговые поступл в бюджет'!O72/ВРП!P72*100</f>
        <v>15.572612911373666</v>
      </c>
      <c r="Q72" s="85">
        <f>'Налоговые поступл в бюджет'!P72/ВРП!Q72*100</f>
        <v>14.016869241380878</v>
      </c>
      <c r="R72" s="85">
        <f>'Налоговые поступл в бюджет'!Q72/ВРП!R72*100</f>
        <v>13.980176026724223</v>
      </c>
    </row>
    <row r="73" spans="1:18" x14ac:dyDescent="0.25">
      <c r="A73" s="85">
        <v>72</v>
      </c>
      <c r="B73" s="84" t="s">
        <v>71</v>
      </c>
      <c r="C73" s="85">
        <f>'Налоговые поступл в бюджет'!B73/ВРП!C73*100</f>
        <v>26.574578099844075</v>
      </c>
      <c r="D73" s="85">
        <f>'Налоговые поступл в бюджет'!C73/ВРП!D73*100</f>
        <v>18.663752201372382</v>
      </c>
      <c r="E73" s="85">
        <f>'Налоговые поступл в бюджет'!D73/ВРП!E73*100</f>
        <v>20.718488591566281</v>
      </c>
      <c r="F73" s="85">
        <f>'Налоговые поступл в бюджет'!E73/ВРП!F73*100</f>
        <v>18.956016543579011</v>
      </c>
      <c r="G73" s="85">
        <f>'Налоговые поступл в бюджет'!F73/ВРП!G73*100</f>
        <v>17.955918581952755</v>
      </c>
      <c r="H73" s="85">
        <f>'Налоговые поступл в бюджет'!G73/ВРП!H73*100</f>
        <v>19.614740876335919</v>
      </c>
      <c r="I73" s="85">
        <f>'Налоговые поступл в бюджет'!H73/ВРП!I73*100</f>
        <v>22.374411522072187</v>
      </c>
      <c r="J73" s="85">
        <f>'Налоговые поступл в бюджет'!I73/ВРП!J73*100</f>
        <v>24.958760556296589</v>
      </c>
      <c r="K73" s="85">
        <f>'Налоговые поступл в бюджет'!J73/ВРП!K73*100</f>
        <v>22.989728746098663</v>
      </c>
      <c r="L73" s="85">
        <f>'Налоговые поступл в бюджет'!K73/ВРП!L73*100</f>
        <v>22.456464440808748</v>
      </c>
      <c r="M73" s="85">
        <f>'Налоговые поступл в бюджет'!L73/ВРП!M73*100</f>
        <v>19.87726807907169</v>
      </c>
      <c r="N73" s="85">
        <f>'Налоговые поступл в бюджет'!M73/ВРП!N73*100</f>
        <v>23.817109110369252</v>
      </c>
      <c r="O73" s="85">
        <f>'Налоговые поступл в бюджет'!N73/ВРП!O73*100</f>
        <v>27.39574297560528</v>
      </c>
      <c r="P73" s="85">
        <f>'Налоговые поступл в бюджет'!O73/ВРП!P73*100</f>
        <v>24.917538303995116</v>
      </c>
      <c r="Q73" s="85">
        <f>'Налоговые поступл в бюджет'!P73/ВРП!Q73*100</f>
        <v>24.274048660290184</v>
      </c>
      <c r="R73" s="85">
        <f>'Налоговые поступл в бюджет'!Q73/ВРП!R73*100</f>
        <v>26.239434144109325</v>
      </c>
    </row>
    <row r="74" spans="1:18" x14ac:dyDescent="0.25">
      <c r="A74" s="85">
        <v>73</v>
      </c>
      <c r="B74" s="84" t="s">
        <v>72</v>
      </c>
      <c r="C74" s="85">
        <f>'Налоговые поступл в бюджет'!B74/ВРП!C74*100</f>
        <v>37.875716340233808</v>
      </c>
      <c r="D74" s="85">
        <f>'Налоговые поступл в бюджет'!C74/ВРП!D74*100</f>
        <v>31.411589046015187</v>
      </c>
      <c r="E74" s="85">
        <f>'Налоговые поступл в бюджет'!D74/ВРП!E74*100</f>
        <v>26.942565283676867</v>
      </c>
      <c r="F74" s="85">
        <f>'Налоговые поступл в бюджет'!E74/ВРП!F74*100</f>
        <v>30.461073287848993</v>
      </c>
      <c r="G74" s="85">
        <f>'Налоговые поступл в бюджет'!F74/ВРП!G74*100</f>
        <v>24.809617901429693</v>
      </c>
      <c r="H74" s="85">
        <f>'Налоговые поступл в бюджет'!G74/ВРП!H74*100</f>
        <v>28.359749849566189</v>
      </c>
      <c r="I74" s="85">
        <f>'Налоговые поступл в бюджет'!H74/ВРП!I74*100</f>
        <v>32.70694132752616</v>
      </c>
      <c r="J74" s="85">
        <f>'Налоговые поступл в бюджет'!I74/ВРП!J74*100</f>
        <v>34.983515621193362</v>
      </c>
      <c r="K74" s="85">
        <f>'Налоговые поступл в бюджет'!J74/ВРП!K74*100</f>
        <v>33.103156009967158</v>
      </c>
      <c r="L74" s="85">
        <f>'Налоговые поступл в бюджет'!K74/ВРП!L74*100</f>
        <v>32.929777524085054</v>
      </c>
      <c r="M74" s="85">
        <f>'Налоговые поступл в бюджет'!L74/ВРП!M74*100</f>
        <v>32.558620971978975</v>
      </c>
      <c r="N74" s="85">
        <f>'Налоговые поступл в бюджет'!M74/ВРП!N74*100</f>
        <v>30.219701376405972</v>
      </c>
      <c r="O74" s="85">
        <f>'Налоговые поступл в бюджет'!N74/ВРП!O74*100</f>
        <v>33.52031187402131</v>
      </c>
      <c r="P74" s="85">
        <f>'Налоговые поступл в бюджет'!O74/ВРП!P74*100</f>
        <v>41.412039490240495</v>
      </c>
      <c r="Q74" s="85">
        <f>'Налоговые поступл в бюджет'!P74/ВРП!Q74*100</f>
        <v>36.441147819390743</v>
      </c>
      <c r="R74" s="85">
        <f>'Налоговые поступл в бюджет'!Q74/ВРП!R74*100</f>
        <v>24.297677303600704</v>
      </c>
    </row>
    <row r="75" spans="1:18" x14ac:dyDescent="0.25">
      <c r="A75" s="85">
        <v>74</v>
      </c>
      <c r="B75" s="84" t="s">
        <v>74</v>
      </c>
      <c r="C75" s="85">
        <f>'Налоговые поступл в бюджет'!B75/ВРП!C75*100</f>
        <v>18.797991553158823</v>
      </c>
      <c r="D75" s="85">
        <f>'Налоговые поступл в бюджет'!C75/ВРП!D75*100</f>
        <v>16.269332108583722</v>
      </c>
      <c r="E75" s="85">
        <f>'Налоговые поступл в бюджет'!D75/ВРП!E75*100</f>
        <v>16.457914789012452</v>
      </c>
      <c r="F75" s="85">
        <f>'Налоговые поступл в бюджет'!E75/ВРП!F75*100</f>
        <v>14.680392080209797</v>
      </c>
      <c r="G75" s="85">
        <f>'Налоговые поступл в бюджет'!F75/ВРП!G75*100</f>
        <v>15.298610580018323</v>
      </c>
      <c r="H75" s="85">
        <f>'Налоговые поступл в бюджет'!G75/ВРП!H75*100</f>
        <v>16.822848362218483</v>
      </c>
      <c r="I75" s="85">
        <f>'Налоговые поступл в бюджет'!H75/ВРП!I75*100</f>
        <v>15.261028007877067</v>
      </c>
      <c r="J75" s="85">
        <f>'Налоговые поступл в бюджет'!I75/ВРП!J75*100</f>
        <v>14.167989945812614</v>
      </c>
      <c r="K75" s="85">
        <f>'Налоговые поступл в бюджет'!J75/ВРП!K75*100</f>
        <v>12.943615706330542</v>
      </c>
      <c r="L75" s="85">
        <f>'Налоговые поступл в бюджет'!K75/ВРП!L75*100</f>
        <v>19.097505638614496</v>
      </c>
      <c r="M75" s="85">
        <f>'Налоговые поступл в бюджет'!L75/ВРП!M75*100</f>
        <v>20.622010356584262</v>
      </c>
      <c r="N75" s="85">
        <f>'Налоговые поступл в бюджет'!M75/ВРП!N75*100</f>
        <v>18.522278915389062</v>
      </c>
      <c r="O75" s="85">
        <f>'Налоговые поступл в бюджет'!N75/ВРП!O75*100</f>
        <v>18.570129635659814</v>
      </c>
      <c r="P75" s="85">
        <f>'Налоговые поступл в бюджет'!O75/ВРП!P75*100</f>
        <v>22.405883623181538</v>
      </c>
      <c r="Q75" s="85">
        <f>'Налоговые поступл в бюджет'!P75/ВРП!Q75*100</f>
        <v>20.419827655013055</v>
      </c>
      <c r="R75" s="85">
        <f>'Налоговые поступл в бюджет'!Q75/ВРП!R75*100</f>
        <v>16.739425686943036</v>
      </c>
    </row>
    <row r="76" spans="1:18" x14ac:dyDescent="0.25">
      <c r="A76" s="85">
        <v>75</v>
      </c>
      <c r="B76" s="84" t="s">
        <v>75</v>
      </c>
      <c r="C76" s="85">
        <f>'Налоговые поступл в бюджет'!B76/ВРП!C76*100</f>
        <v>19.971210457016937</v>
      </c>
      <c r="D76" s="85">
        <f>'Налоговые поступл в бюджет'!C76/ВРП!D76*100</f>
        <v>20.077405835373611</v>
      </c>
      <c r="E76" s="85">
        <f>'Налоговые поступл в бюджет'!D76/ВРП!E76*100</f>
        <v>19.846602741052834</v>
      </c>
      <c r="F76" s="85">
        <f>'Налоговые поступл в бюджет'!E76/ВРП!F76*100</f>
        <v>14.844909015943882</v>
      </c>
      <c r="G76" s="85">
        <f>'Налоговые поступл в бюджет'!F76/ВРП!G76*100</f>
        <v>13.780599134433324</v>
      </c>
      <c r="H76" s="85">
        <f>'Налоговые поступл в бюджет'!G76/ВРП!H76*100</f>
        <v>15.660103643021165</v>
      </c>
      <c r="I76" s="85">
        <f>'Налоговые поступл в бюджет'!H76/ВРП!I76*100</f>
        <v>16.047523997625373</v>
      </c>
      <c r="J76" s="85">
        <f>'Налоговые поступл в бюджет'!I76/ВРП!J76*100</f>
        <v>16.246337296046629</v>
      </c>
      <c r="K76" s="85">
        <f>'Налоговые поступл в бюджет'!J76/ВРП!K76*100</f>
        <v>16.043942893134581</v>
      </c>
      <c r="L76" s="85">
        <f>'Налоговые поступл в бюджет'!K76/ВРП!L76*100</f>
        <v>16.851523689758533</v>
      </c>
      <c r="M76" s="85">
        <f>'Налоговые поступл в бюджет'!L76/ВРП!M76*100</f>
        <v>15.425176506002117</v>
      </c>
      <c r="N76" s="85">
        <f>'Налоговые поступл в бюджет'!M76/ВРП!N76*100</f>
        <v>15.450289875296535</v>
      </c>
      <c r="O76" s="85">
        <f>'Налоговые поступл в бюджет'!N76/ВРП!O76*100</f>
        <v>15.571187302536691</v>
      </c>
      <c r="P76" s="85">
        <f>'Налоговые поступл в бюджет'!O76/ВРП!P76*100</f>
        <v>13.999031644913916</v>
      </c>
      <c r="Q76" s="85">
        <f>'Налоговые поступл в бюджет'!P76/ВРП!Q76*100</f>
        <v>14.20546231362589</v>
      </c>
      <c r="R76" s="85">
        <f>'Налоговые поступл в бюджет'!Q76/ВРП!R76*100</f>
        <v>13.04375086878909</v>
      </c>
    </row>
    <row r="77" spans="1:18" x14ac:dyDescent="0.25">
      <c r="A77" s="85">
        <v>76</v>
      </c>
      <c r="B77" s="84" t="s">
        <v>76</v>
      </c>
      <c r="C77" s="85">
        <f>'Налоговые поступл в бюджет'!B77/ВРП!C77*100</f>
        <v>16.349941298862468</v>
      </c>
      <c r="D77" s="85">
        <f>'Налоговые поступл в бюджет'!C77/ВРП!D77*100</f>
        <v>16.544237509169452</v>
      </c>
      <c r="E77" s="85">
        <f>'Налоговые поступл в бюджет'!D77/ВРП!E77*100</f>
        <v>16.230340015148158</v>
      </c>
      <c r="F77" s="85">
        <f>'Налоговые поступл в бюджет'!E77/ВРП!F77*100</f>
        <v>14.660661269643018</v>
      </c>
      <c r="G77" s="85">
        <f>'Налоговые поступл в бюджет'!F77/ВРП!G77*100</f>
        <v>12.743013690908347</v>
      </c>
      <c r="H77" s="85">
        <f>'Налоговые поступл в бюджет'!G77/ВРП!H77*100</f>
        <v>11.580392760079476</v>
      </c>
      <c r="I77" s="85">
        <f>'Налоговые поступл в бюджет'!H77/ВРП!I77*100</f>
        <v>11.959482124445264</v>
      </c>
      <c r="J77" s="85">
        <f>'Налоговые поступл в бюджет'!I77/ВРП!J77*100</f>
        <v>12.650688901114332</v>
      </c>
      <c r="K77" s="85">
        <f>'Налоговые поступл в бюджет'!J77/ВРП!K77*100</f>
        <v>12.91479632239656</v>
      </c>
      <c r="L77" s="85">
        <f>'Налоговые поступл в бюджет'!K77/ВРП!L77*100</f>
        <v>12.15389237309374</v>
      </c>
      <c r="M77" s="85">
        <f>'Налоговые поступл в бюджет'!L77/ВРП!M77*100</f>
        <v>11.911429872971373</v>
      </c>
      <c r="N77" s="85">
        <f>'Налоговые поступл в бюджет'!M77/ВРП!N77*100</f>
        <v>13.379852911953463</v>
      </c>
      <c r="O77" s="85">
        <f>'Налоговые поступл в бюджет'!N77/ВРП!O77*100</f>
        <v>13.021154352228873</v>
      </c>
      <c r="P77" s="85">
        <f>'Налоговые поступл в бюджет'!O77/ВРП!P77*100</f>
        <v>13.422189353440203</v>
      </c>
      <c r="Q77" s="85">
        <f>'Налоговые поступл в бюджет'!P77/ВРП!Q77*100</f>
        <v>12.378901510389701</v>
      </c>
      <c r="R77" s="85">
        <f>'Налоговые поступл в бюджет'!Q77/ВРП!R77*100</f>
        <v>12.152499805084224</v>
      </c>
    </row>
    <row r="78" spans="1:18" x14ac:dyDescent="0.25">
      <c r="A78" s="85">
        <v>77</v>
      </c>
      <c r="B78" s="84" t="s">
        <v>77</v>
      </c>
      <c r="C78" s="85">
        <f>'Налоговые поступл в бюджет'!B78/ВРП!C78*100</f>
        <v>17.660042780642506</v>
      </c>
      <c r="D78" s="85">
        <f>'Налоговые поступл в бюджет'!C78/ВРП!D78*100</f>
        <v>17.444131461199344</v>
      </c>
      <c r="E78" s="85">
        <f>'Налоговые поступл в бюджет'!D78/ВРП!E78*100</f>
        <v>19.785536280357572</v>
      </c>
      <c r="F78" s="85">
        <f>'Налоговые поступл в бюджет'!E78/ВРП!F78*100</f>
        <v>18.356845603625253</v>
      </c>
      <c r="G78" s="85">
        <f>'Налоговые поступл в бюджет'!F78/ВРП!G78*100</f>
        <v>17.532180021769953</v>
      </c>
      <c r="H78" s="85">
        <f>'Налоговые поступл в бюджет'!G78/ВРП!H78*100</f>
        <v>17.309072109726991</v>
      </c>
      <c r="I78" s="85">
        <f>'Налоговые поступл в бюджет'!H78/ВРП!I78*100</f>
        <v>18.436603934691746</v>
      </c>
      <c r="J78" s="85">
        <f>'Налоговые поступл в бюджет'!I78/ВРП!J78*100</f>
        <v>20.14313610930553</v>
      </c>
      <c r="K78" s="85">
        <f>'Налоговые поступл в бюджет'!J78/ВРП!K78*100</f>
        <v>11.33718803406448</v>
      </c>
      <c r="L78" s="85">
        <f>'Налоговые поступл в бюджет'!K78/ВРП!L78*100</f>
        <v>18.243110447911736</v>
      </c>
      <c r="M78" s="85">
        <f>'Налоговые поступл в бюджет'!L78/ВРП!M78*100</f>
        <v>16.193025656759914</v>
      </c>
      <c r="N78" s="85">
        <f>'Налоговые поступл в бюджет'!M78/ВРП!N78*100</f>
        <v>17.686396299687683</v>
      </c>
      <c r="O78" s="85">
        <f>'Налоговые поступл в бюджет'!N78/ВРП!O78*100</f>
        <v>19.105110448860579</v>
      </c>
      <c r="P78" s="85">
        <f>'Налоговые поступл в бюджет'!O78/ВРП!P78*100</f>
        <v>18.130470072312324</v>
      </c>
      <c r="Q78" s="85">
        <f>'Налоговые поступл в бюджет'!P78/ВРП!Q78*100</f>
        <v>17.874417071973355</v>
      </c>
      <c r="R78" s="85">
        <f>'Налоговые поступл в бюджет'!Q78/ВРП!R78*100</f>
        <v>18.211900994508369</v>
      </c>
    </row>
    <row r="79" spans="1:18" x14ac:dyDescent="0.25">
      <c r="A79" s="85">
        <v>78</v>
      </c>
      <c r="B79" s="84" t="s">
        <v>78</v>
      </c>
      <c r="C79" s="85">
        <f>'Налоговые поступл в бюджет'!B79/ВРП!C79*100</f>
        <v>14.892559574922068</v>
      </c>
      <c r="D79" s="85">
        <f>'Налоговые поступл в бюджет'!C79/ВРП!D79*100</f>
        <v>13.737171485389243</v>
      </c>
      <c r="E79" s="85">
        <f>'Налоговые поступл в бюджет'!D79/ВРП!E79*100</f>
        <v>14.081094333274876</v>
      </c>
      <c r="F79" s="85">
        <f>'Налоговые поступл в бюджет'!E79/ВРП!F79*100</f>
        <v>16.408401405554873</v>
      </c>
      <c r="G79" s="85">
        <f>'Налоговые поступл в бюджет'!F79/ВРП!G79*100</f>
        <v>15.684766799057162</v>
      </c>
      <c r="H79" s="85">
        <f>'Налоговые поступл в бюджет'!G79/ВРП!H79*100</f>
        <v>14.799014604095593</v>
      </c>
      <c r="I79" s="85">
        <f>'Налоговые поступл в бюджет'!H79/ВРП!I79*100</f>
        <v>12.83091476239975</v>
      </c>
      <c r="J79" s="85">
        <f>'Налоговые поступл в бюджет'!I79/ВРП!J79*100</f>
        <v>13.875106742555046</v>
      </c>
      <c r="K79" s="85">
        <f>'Налоговые поступл в бюджет'!J79/ВРП!K79*100</f>
        <v>15.55146465914479</v>
      </c>
      <c r="L79" s="85">
        <f>'Налоговые поступл в бюджет'!K79/ВРП!L79*100</f>
        <v>16.502307662473658</v>
      </c>
      <c r="M79" s="85">
        <f>'Налоговые поступл в бюджет'!L79/ВРП!M79*100</f>
        <v>14.093564616113968</v>
      </c>
      <c r="N79" s="85">
        <f>'Налоговые поступл в бюджет'!M79/ВРП!N79*100</f>
        <v>15.223176986792526</v>
      </c>
      <c r="O79" s="85">
        <f>'Налоговые поступл в бюджет'!N79/ВРП!O79*100</f>
        <v>8.507610519742542</v>
      </c>
      <c r="P79" s="85">
        <f>'Налоговые поступл в бюджет'!O79/ВРП!P79*100</f>
        <v>9.8849966153983093</v>
      </c>
      <c r="Q79" s="85">
        <f>'Налоговые поступл в бюджет'!P79/ВРП!Q79*100</f>
        <v>4.7681942275658207</v>
      </c>
      <c r="R79" s="85">
        <f>'Налоговые поступл в бюджет'!Q79/ВРП!R79*100</f>
        <v>6.0739484767959233</v>
      </c>
    </row>
    <row r="80" spans="1:18" x14ac:dyDescent="0.25">
      <c r="A80" s="85">
        <v>79</v>
      </c>
      <c r="B80" s="84" t="s">
        <v>79</v>
      </c>
      <c r="C80" s="85">
        <f>'Налоговые поступл в бюджет'!B80/ВРП!C80*100</f>
        <v>15.998719071842402</v>
      </c>
      <c r="D80" s="85">
        <f>'Налоговые поступл в бюджет'!C80/ВРП!D80*100</f>
        <v>15.739090862475644</v>
      </c>
      <c r="E80" s="85">
        <f>'Налоговые поступл в бюджет'!D80/ВРП!E80*100</f>
        <v>17.110017443309246</v>
      </c>
      <c r="F80" s="85">
        <f>'Налоговые поступл в бюджет'!E80/ВРП!F80*100</f>
        <v>17.661661966338354</v>
      </c>
      <c r="G80" s="85">
        <f>'Налоговые поступл в бюджет'!F80/ВРП!G80*100</f>
        <v>14.524625281078338</v>
      </c>
      <c r="H80" s="85">
        <f>'Налоговые поступл в бюджет'!G80/ВРП!H80*100</f>
        <v>15.598703113232707</v>
      </c>
      <c r="I80" s="85">
        <f>'Налоговые поступл в бюджет'!H80/ВРП!I80*100</f>
        <v>15.615829479232193</v>
      </c>
      <c r="J80" s="85">
        <f>'Налоговые поступл в бюджет'!I80/ВРП!J80*100</f>
        <v>16.673235319997094</v>
      </c>
      <c r="K80" s="85">
        <f>'Налоговые поступл в бюджет'!J80/ВРП!K80*100</f>
        <v>11.22163883386817</v>
      </c>
      <c r="L80" s="85">
        <f>'Налоговые поступл в бюджет'!K80/ВРП!L80*100</f>
        <v>9.3106023718546513</v>
      </c>
      <c r="M80" s="85">
        <f>'Налоговые поступл в бюджет'!L80/ВРП!M80*100</f>
        <v>12.975612548023305</v>
      </c>
      <c r="N80" s="85">
        <f>'Налоговые поступл в бюджет'!M80/ВРП!N80*100</f>
        <v>12.727782450238296</v>
      </c>
      <c r="O80" s="85">
        <f>'Налоговые поступл в бюджет'!N80/ВРП!O80*100</f>
        <v>8.5981690991322459</v>
      </c>
      <c r="P80" s="85">
        <f>'Налоговые поступл в бюджет'!O80/ВРП!P80*100</f>
        <v>8.211645269482684</v>
      </c>
      <c r="Q80" s="85">
        <f>'Налоговые поступл в бюджет'!P80/ВРП!Q80*100</f>
        <v>8.6539551024956474</v>
      </c>
      <c r="R80" s="85">
        <f>'Налоговые поступл в бюджет'!Q80/ВРП!R80*100</f>
        <v>10.337292749274779</v>
      </c>
    </row>
    <row r="81" spans="1:18" x14ac:dyDescent="0.25">
      <c r="A81" s="85">
        <v>80</v>
      </c>
      <c r="B81" s="84" t="s">
        <v>80</v>
      </c>
      <c r="C81" s="85">
        <f>'Налоговые поступл в бюджет'!B81/ВРП!C81*100</f>
        <v>14.43600373840734</v>
      </c>
      <c r="D81" s="85">
        <f>'Налоговые поступл в бюджет'!C81/ВРП!D81*100</f>
        <v>13.393905315540616</v>
      </c>
      <c r="E81" s="85">
        <f>'Налоговые поступл в бюджет'!D81/ВРП!E81*100</f>
        <v>13.197437411142509</v>
      </c>
      <c r="F81" s="85">
        <f>'Налоговые поступл в бюджет'!E81/ВРП!F81*100</f>
        <v>15.763939018219231</v>
      </c>
      <c r="G81" s="85">
        <f>'Налоговые поступл в бюджет'!F81/ВРП!G81*100</f>
        <v>16.633386861362236</v>
      </c>
      <c r="H81" s="85">
        <f>'Налоговые поступл в бюджет'!G81/ВРП!H81*100</f>
        <v>14.35858421706129</v>
      </c>
      <c r="I81" s="85">
        <f>'Налоговые поступл в бюджет'!H81/ВРП!I81*100</f>
        <v>14.052077483319808</v>
      </c>
      <c r="J81" s="85">
        <f>'Налоговые поступл в бюджет'!I81/ВРП!J81*100</f>
        <v>12.712861652778438</v>
      </c>
      <c r="K81" s="85">
        <f>'Налоговые поступл в бюджет'!J81/ВРП!K81*100</f>
        <v>14.248772150564589</v>
      </c>
      <c r="L81" s="85">
        <f>'Налоговые поступл в бюджет'!K81/ВРП!L81*100</f>
        <v>21.374048476072662</v>
      </c>
      <c r="M81" s="85">
        <f>'Налоговые поступл в бюджет'!L81/ВРП!M81*100</f>
        <v>31.774307482598108</v>
      </c>
      <c r="N81" s="85">
        <f>'Налоговые поступл в бюджет'!M81/ВРП!N81*100</f>
        <v>23.815199711284606</v>
      </c>
      <c r="O81" s="85">
        <f>'Налоговые поступл в бюджет'!N81/ВРП!O81*100</f>
        <v>18.59324559144526</v>
      </c>
      <c r="P81" s="85">
        <f>'Налоговые поступл в бюджет'!O81/ВРП!P81*100</f>
        <v>17.151595189395124</v>
      </c>
      <c r="Q81" s="85">
        <f>'Налоговые поступл в бюджет'!P81/ВРП!Q81*100</f>
        <v>24.498200349809878</v>
      </c>
      <c r="R81" s="85">
        <f>'Налоговые поступл в бюджет'!Q81/ВРП!R81*100</f>
        <v>22.374010519821631</v>
      </c>
    </row>
    <row r="82" spans="1:18" x14ac:dyDescent="0.25">
      <c r="A82" s="85">
        <v>81</v>
      </c>
      <c r="B82" s="84" t="s">
        <v>81</v>
      </c>
      <c r="C82" s="85">
        <f>'Налоговые поступл в бюджет'!B82/ВРП!C82*100</f>
        <v>11.072781290040973</v>
      </c>
      <c r="D82" s="85">
        <f>'Налоговые поступл в бюджет'!C82/ВРП!D82*100</f>
        <v>11.300120154866274</v>
      </c>
      <c r="E82" s="85">
        <f>'Налоговые поступл в бюджет'!D82/ВРП!E82*100</f>
        <v>10.525117908126495</v>
      </c>
      <c r="F82" s="85">
        <f>'Налоговые поступл в бюджет'!E82/ВРП!F82*100</f>
        <v>12.129123743587604</v>
      </c>
      <c r="G82" s="85">
        <f>'Налоговые поступл в бюджет'!F82/ВРП!G82*100</f>
        <v>9.9909162717219591</v>
      </c>
      <c r="H82" s="85">
        <f>'Налоговые поступл в бюджет'!G82/ВРП!H82*100</f>
        <v>10.216472989203286</v>
      </c>
      <c r="I82" s="85">
        <f>'Налоговые поступл в бюджет'!H82/ВРП!I82*100</f>
        <v>9.2791446018192403</v>
      </c>
      <c r="J82" s="85">
        <f>'Налоговые поступл в бюджет'!I82/ВРП!J82*100</f>
        <v>9.4051881451258197</v>
      </c>
      <c r="K82" s="85">
        <f>'Налоговые поступл в бюджет'!J82/ВРП!K82*100</f>
        <v>12.795009979520517</v>
      </c>
      <c r="L82" s="85">
        <f>'Налоговые поступл в бюджет'!K82/ВРП!L82*100</f>
        <v>11.226491783894861</v>
      </c>
      <c r="M82" s="85">
        <f>'Налоговые поступл в бюджет'!L82/ВРП!M82*100</f>
        <v>9.8626859507842024</v>
      </c>
      <c r="N82" s="85">
        <f>'Налоговые поступл в бюджет'!M82/ВРП!N82*100</f>
        <v>12.25961381738365</v>
      </c>
      <c r="O82" s="85">
        <f>'Налоговые поступл в бюджет'!N82/ВРП!O82*100</f>
        <v>11.387751929460698</v>
      </c>
      <c r="P82" s="85">
        <f>'Налоговые поступл в бюджет'!O82/ВРП!P82*100</f>
        <v>11.50947520821089</v>
      </c>
      <c r="Q82" s="85">
        <f>'Налоговые поступл в бюджет'!P82/ВРП!Q82*100</f>
        <v>11.539053040012021</v>
      </c>
      <c r="R82" s="85">
        <f>'Налоговые поступл в бюджет'!Q82/ВРП!R82*100</f>
        <v>11.489873629012127</v>
      </c>
    </row>
    <row r="83" spans="1:18" x14ac:dyDescent="0.25">
      <c r="A83" s="85">
        <v>82</v>
      </c>
      <c r="B83" s="84" t="s">
        <v>82</v>
      </c>
      <c r="C83" s="85">
        <f>'Налоговые поступл в бюджет'!B83/ВРП!C83*100</f>
        <v>93.522670249445596</v>
      </c>
      <c r="D83" s="85">
        <f>'Налоговые поступл в бюджет'!C83/ВРП!D83*100</f>
        <v>28.94838460548333</v>
      </c>
      <c r="E83" s="85">
        <f>'Налоговые поступл в бюджет'!D83/ВРП!E83*100</f>
        <v>12.307413708474511</v>
      </c>
      <c r="F83" s="85">
        <f>'Налоговые поступл в бюджет'!E83/ВРП!F83*100</f>
        <v>27.218435339199637</v>
      </c>
      <c r="G83" s="85">
        <f>'Налоговые поступл в бюджет'!F83/ВРП!G83*100</f>
        <v>20.673610309845657</v>
      </c>
      <c r="H83" s="85">
        <f>'Налоговые поступл в бюджет'!G83/ВРП!H83*100</f>
        <v>23.918815950495283</v>
      </c>
      <c r="I83" s="85">
        <f>'Налоговые поступл в бюджет'!H83/ВРП!I83*100</f>
        <v>29.177614528035466</v>
      </c>
      <c r="J83" s="85">
        <f>'Налоговые поступл в бюджет'!I83/ВРП!J83*100</f>
        <v>20.475720900470922</v>
      </c>
      <c r="K83" s="85">
        <f>'Налоговые поступл в бюджет'!J83/ВРП!K83*100</f>
        <v>14.574805079733464</v>
      </c>
      <c r="L83" s="85">
        <f>'Налоговые поступл в бюджет'!K83/ВРП!L83*100</f>
        <v>17.730336806271026</v>
      </c>
      <c r="M83" s="85">
        <f>'Налоговые поступл в бюджет'!L83/ВРП!M83*100</f>
        <v>24.167294344420956</v>
      </c>
      <c r="N83" s="85">
        <f>'Налоговые поступл в бюджет'!M83/ВРП!N83*100</f>
        <v>23.301597523366141</v>
      </c>
      <c r="O83" s="85">
        <f>'Налоговые поступл в бюджет'!N83/ВРП!O83*100</f>
        <v>17.069836143406022</v>
      </c>
      <c r="P83" s="85">
        <f>'Налоговые поступл в бюджет'!O83/ВРП!P83*100</f>
        <v>14.969402406345258</v>
      </c>
      <c r="Q83" s="85">
        <f>'Налоговые поступл в бюджет'!P83/ВРП!Q83*100</f>
        <v>16.424529664022391</v>
      </c>
      <c r="R83" s="85">
        <f>'Налоговые поступл в бюджет'!Q83/ВРП!R83*100</f>
        <v>21.080559694649036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83"/>
  <sheetViews>
    <sheetView workbookViewId="0">
      <selection activeCell="S9" sqref="S9"/>
    </sheetView>
  </sheetViews>
  <sheetFormatPr defaultRowHeight="15.75" x14ac:dyDescent="0.25"/>
  <cols>
    <col min="1" max="1" width="6.28515625" style="79" customWidth="1"/>
    <col min="2" max="2" width="39.42578125" style="80" customWidth="1"/>
    <col min="3" max="18" width="9.140625" style="79"/>
    <col min="19" max="19" width="11.7109375" style="80" bestFit="1" customWidth="1"/>
    <col min="20" max="16384" width="9.140625" style="80"/>
  </cols>
  <sheetData>
    <row r="1" spans="1:17" x14ac:dyDescent="0.25">
      <c r="A1" s="85" t="s">
        <v>216</v>
      </c>
      <c r="B1" s="86" t="s">
        <v>217</v>
      </c>
      <c r="C1" s="80" t="s">
        <v>218</v>
      </c>
      <c r="D1" s="80" t="s">
        <v>215</v>
      </c>
      <c r="E1" s="85"/>
      <c r="F1" s="85"/>
      <c r="G1" s="85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5">
        <v>1</v>
      </c>
      <c r="B2" s="85">
        <v>0.45776111028138317</v>
      </c>
      <c r="C2" s="187">
        <v>43831</v>
      </c>
      <c r="D2" s="80">
        <v>37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x14ac:dyDescent="0.25">
      <c r="A3" s="85">
        <v>2</v>
      </c>
      <c r="B3" s="85">
        <v>0.4912365452103592</v>
      </c>
      <c r="C3" s="187">
        <v>43831</v>
      </c>
      <c r="D3" s="80">
        <v>37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x14ac:dyDescent="0.25">
      <c r="A4" s="85">
        <v>3</v>
      </c>
      <c r="B4" s="85">
        <v>0.58011505841236088</v>
      </c>
      <c r="C4" s="187">
        <v>43831</v>
      </c>
      <c r="D4" s="80">
        <v>37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</row>
    <row r="5" spans="1:17" x14ac:dyDescent="0.25">
      <c r="A5" s="85">
        <v>4</v>
      </c>
      <c r="B5" s="85">
        <v>0.5195874254514693</v>
      </c>
      <c r="C5" s="187">
        <v>43831</v>
      </c>
      <c r="D5" s="80">
        <v>37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7" x14ac:dyDescent="0.25">
      <c r="A6" s="85">
        <v>5</v>
      </c>
      <c r="B6" s="85">
        <v>0.54685752555974398</v>
      </c>
      <c r="C6" s="187">
        <v>43831</v>
      </c>
      <c r="D6" s="80">
        <v>37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17" x14ac:dyDescent="0.25">
      <c r="A7" s="85">
        <v>6</v>
      </c>
      <c r="B7" s="85">
        <v>0.70590209211042632</v>
      </c>
      <c r="C7" s="187">
        <v>43831</v>
      </c>
      <c r="D7" s="80">
        <v>37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1:17" x14ac:dyDescent="0.25">
      <c r="A8" s="85">
        <v>7</v>
      </c>
      <c r="B8" s="85">
        <v>0.59442149526373478</v>
      </c>
      <c r="C8" s="187">
        <v>43831</v>
      </c>
      <c r="D8" s="80">
        <v>37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7" x14ac:dyDescent="0.25">
      <c r="A9" s="85">
        <v>8</v>
      </c>
      <c r="B9" s="85">
        <v>0.46578966107179465</v>
      </c>
      <c r="C9" s="187">
        <v>43831</v>
      </c>
      <c r="D9" s="80">
        <v>37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</row>
    <row r="10" spans="1:17" x14ac:dyDescent="0.25">
      <c r="A10" s="85">
        <v>9</v>
      </c>
      <c r="B10" s="85">
        <v>0.36818727453622629</v>
      </c>
      <c r="C10" s="187">
        <v>43831</v>
      </c>
      <c r="D10" s="80">
        <v>37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</row>
    <row r="11" spans="1:17" x14ac:dyDescent="0.25">
      <c r="A11" s="85">
        <v>10</v>
      </c>
      <c r="B11" s="85">
        <v>0.65247073980501302</v>
      </c>
      <c r="C11" s="187">
        <v>43831</v>
      </c>
      <c r="D11" s="80">
        <v>37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</row>
    <row r="12" spans="1:17" x14ac:dyDescent="0.25">
      <c r="A12" s="85">
        <v>11</v>
      </c>
      <c r="B12" s="85">
        <v>0.4510153121910922</v>
      </c>
      <c r="C12" s="187">
        <v>43831</v>
      </c>
      <c r="D12" s="80">
        <v>37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</row>
    <row r="13" spans="1:17" x14ac:dyDescent="0.25">
      <c r="A13" s="85">
        <v>12</v>
      </c>
      <c r="B13" s="85">
        <v>0.75818282496844092</v>
      </c>
      <c r="C13" s="187">
        <v>43831</v>
      </c>
      <c r="D13" s="80">
        <v>37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</row>
    <row r="14" spans="1:17" x14ac:dyDescent="0.25">
      <c r="A14" s="85">
        <v>13</v>
      </c>
      <c r="B14" s="85">
        <v>0.59382923333032156</v>
      </c>
      <c r="C14" s="187">
        <v>43831</v>
      </c>
      <c r="D14" s="80">
        <v>37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</row>
    <row r="15" spans="1:17" x14ac:dyDescent="0.25">
      <c r="A15" s="85">
        <v>14</v>
      </c>
      <c r="B15" s="85">
        <v>0.41013707689572093</v>
      </c>
      <c r="C15" s="187">
        <v>43831</v>
      </c>
      <c r="D15" s="80">
        <v>37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</row>
    <row r="16" spans="1:17" x14ac:dyDescent="0.25">
      <c r="A16" s="85">
        <v>15</v>
      </c>
      <c r="B16" s="85">
        <v>0.5516787686777278</v>
      </c>
      <c r="C16" s="187">
        <v>43831</v>
      </c>
      <c r="D16" s="80">
        <v>37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</row>
    <row r="17" spans="1:17" x14ac:dyDescent="0.25">
      <c r="A17" s="85">
        <v>16</v>
      </c>
      <c r="B17" s="85">
        <v>0.51568460595519272</v>
      </c>
      <c r="C17" s="187">
        <v>43831</v>
      </c>
      <c r="D17" s="80">
        <v>37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</row>
    <row r="18" spans="1:17" x14ac:dyDescent="0.25">
      <c r="A18" s="85">
        <v>17</v>
      </c>
      <c r="B18" s="85">
        <v>0.68166862457920729</v>
      </c>
      <c r="C18" s="187">
        <v>43831</v>
      </c>
      <c r="D18" s="80">
        <v>37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</row>
    <row r="19" spans="1:17" x14ac:dyDescent="0.25">
      <c r="A19" s="85">
        <v>18</v>
      </c>
      <c r="B19" s="85">
        <v>0.63490375518435171</v>
      </c>
      <c r="C19" s="187">
        <v>43831</v>
      </c>
      <c r="D19" s="80">
        <v>37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</row>
    <row r="20" spans="1:17" x14ac:dyDescent="0.25">
      <c r="A20" s="85">
        <v>19</v>
      </c>
      <c r="B20" s="85">
        <v>0.45276034623767314</v>
      </c>
      <c r="C20" s="187">
        <v>43831</v>
      </c>
      <c r="D20" s="80">
        <v>37</v>
      </c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</row>
    <row r="21" spans="1:17" x14ac:dyDescent="0.25">
      <c r="A21" s="85">
        <v>20</v>
      </c>
      <c r="B21" s="85">
        <v>0.67887624307312855</v>
      </c>
      <c r="C21" s="187">
        <v>43831</v>
      </c>
      <c r="D21" s="80">
        <v>37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</row>
    <row r="22" spans="1:17" x14ac:dyDescent="0.25">
      <c r="A22" s="85">
        <v>21</v>
      </c>
      <c r="B22" s="85">
        <v>0.31930463467256909</v>
      </c>
      <c r="C22" s="187">
        <v>43831</v>
      </c>
      <c r="D22" s="80">
        <v>37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</row>
    <row r="23" spans="1:17" x14ac:dyDescent="0.25">
      <c r="A23" s="85">
        <v>22</v>
      </c>
      <c r="B23" s="85">
        <v>0.49706140238591862</v>
      </c>
      <c r="C23" s="187">
        <v>43831</v>
      </c>
      <c r="D23" s="80">
        <v>37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</row>
    <row r="24" spans="1:17" x14ac:dyDescent="0.25">
      <c r="A24" s="85">
        <v>23</v>
      </c>
      <c r="B24" s="85">
        <v>0.73021394509768822</v>
      </c>
      <c r="C24" s="187">
        <v>43831</v>
      </c>
      <c r="D24" s="80">
        <v>37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</row>
    <row r="25" spans="1:17" x14ac:dyDescent="0.25">
      <c r="A25" s="85">
        <v>24</v>
      </c>
      <c r="B25" s="85">
        <v>0.83232602711903858</v>
      </c>
      <c r="C25" s="187">
        <v>43831</v>
      </c>
      <c r="D25" s="80">
        <v>37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</row>
    <row r="26" spans="1:17" x14ac:dyDescent="0.25">
      <c r="A26" s="85">
        <v>25</v>
      </c>
      <c r="B26" s="85">
        <v>0</v>
      </c>
      <c r="C26" s="187">
        <v>43831</v>
      </c>
      <c r="D26" s="80">
        <v>37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</row>
    <row r="27" spans="1:17" x14ac:dyDescent="0.25">
      <c r="A27" s="85">
        <v>26</v>
      </c>
      <c r="B27" s="85">
        <v>0.20707699509889604</v>
      </c>
      <c r="C27" s="187">
        <v>43831</v>
      </c>
      <c r="D27" s="80">
        <v>37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</row>
    <row r="28" spans="1:17" x14ac:dyDescent="0.25">
      <c r="A28" s="85">
        <v>27</v>
      </c>
      <c r="B28" s="85">
        <v>0.36087671550871453</v>
      </c>
      <c r="C28" s="187">
        <v>43831</v>
      </c>
      <c r="D28" s="80">
        <v>37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</row>
    <row r="29" spans="1:17" x14ac:dyDescent="0.25">
      <c r="A29" s="85">
        <v>28</v>
      </c>
      <c r="B29" s="85">
        <v>0.92713209386449402</v>
      </c>
      <c r="C29" s="187">
        <v>43831</v>
      </c>
      <c r="D29" s="80">
        <v>37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</row>
    <row r="30" spans="1:17" x14ac:dyDescent="0.25">
      <c r="A30" s="85">
        <v>29</v>
      </c>
      <c r="B30" s="85">
        <v>4.2296953577702079E-8</v>
      </c>
      <c r="C30" s="187">
        <v>43831</v>
      </c>
      <c r="D30" s="80">
        <v>37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</row>
    <row r="31" spans="1:17" x14ac:dyDescent="0.25">
      <c r="A31" s="85">
        <v>30</v>
      </c>
      <c r="B31" s="85">
        <v>0.24343350015595636</v>
      </c>
      <c r="C31" s="187">
        <v>43831</v>
      </c>
      <c r="D31" s="80">
        <v>37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</row>
    <row r="32" spans="1:17" x14ac:dyDescent="0.25">
      <c r="A32" s="85">
        <v>31</v>
      </c>
      <c r="B32" s="85">
        <v>0.78464901461543179</v>
      </c>
      <c r="C32" s="187">
        <v>43831</v>
      </c>
      <c r="D32" s="80">
        <v>37</v>
      </c>
      <c r="E32" s="111"/>
      <c r="F32" s="111"/>
      <c r="G32" s="111"/>
      <c r="H32" s="111"/>
      <c r="I32" s="111"/>
      <c r="J32" s="111"/>
      <c r="K32" s="111"/>
      <c r="L32" s="111"/>
      <c r="M32" s="85"/>
      <c r="N32" s="85"/>
      <c r="O32" s="85"/>
      <c r="P32" s="85"/>
      <c r="Q32" s="85"/>
    </row>
    <row r="33" spans="1:17" x14ac:dyDescent="0.25">
      <c r="A33" s="85">
        <v>32</v>
      </c>
      <c r="B33" s="85">
        <v>0.78704907203862695</v>
      </c>
      <c r="C33" s="187">
        <v>43831</v>
      </c>
      <c r="D33" s="80">
        <v>37</v>
      </c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</row>
    <row r="34" spans="1:17" x14ac:dyDescent="0.25">
      <c r="A34" s="85">
        <v>33</v>
      </c>
      <c r="B34" s="85">
        <v>0.22191568445372667</v>
      </c>
      <c r="C34" s="187">
        <v>43831</v>
      </c>
      <c r="D34" s="80">
        <v>37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</row>
    <row r="35" spans="1:17" x14ac:dyDescent="0.25">
      <c r="A35" s="85">
        <v>34</v>
      </c>
      <c r="B35" s="85">
        <v>0.75644597412377546</v>
      </c>
      <c r="C35" s="187">
        <v>43831</v>
      </c>
      <c r="D35" s="80">
        <v>37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x14ac:dyDescent="0.25">
      <c r="A36" s="85">
        <v>35</v>
      </c>
      <c r="B36" s="85">
        <v>0.65929447021296417</v>
      </c>
      <c r="C36" s="187">
        <v>43831</v>
      </c>
      <c r="D36" s="80">
        <v>37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</row>
    <row r="37" spans="1:17" x14ac:dyDescent="0.25">
      <c r="A37" s="85">
        <v>36</v>
      </c>
      <c r="B37" s="85">
        <v>1.3417306305140726E-3</v>
      </c>
      <c r="C37" s="187">
        <v>43831</v>
      </c>
      <c r="D37" s="80">
        <v>37</v>
      </c>
      <c r="E37" s="111"/>
      <c r="F37" s="111"/>
      <c r="G37" s="111"/>
      <c r="H37" s="111"/>
      <c r="I37" s="111"/>
      <c r="J37" s="111"/>
      <c r="K37" s="111"/>
      <c r="L37" s="111"/>
      <c r="M37" s="85"/>
      <c r="N37" s="85"/>
      <c r="O37" s="85"/>
      <c r="P37" s="85"/>
      <c r="Q37" s="85"/>
    </row>
    <row r="38" spans="1:17" x14ac:dyDescent="0.25">
      <c r="A38" s="85">
        <v>37</v>
      </c>
      <c r="B38" s="85">
        <v>0.26415367798854433</v>
      </c>
      <c r="C38" s="187">
        <v>43831</v>
      </c>
      <c r="D38" s="80">
        <v>37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</row>
    <row r="39" spans="1:17" x14ac:dyDescent="0.25">
      <c r="A39" s="85">
        <v>38</v>
      </c>
      <c r="B39" s="85">
        <v>0.29645471449246308</v>
      </c>
      <c r="C39" s="187">
        <v>43831</v>
      </c>
      <c r="D39" s="80">
        <v>37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</row>
    <row r="40" spans="1:17" x14ac:dyDescent="0.25">
      <c r="A40" s="85">
        <v>39</v>
      </c>
      <c r="B40" s="85">
        <v>0.36987574141201368</v>
      </c>
      <c r="C40" s="187">
        <v>43831</v>
      </c>
      <c r="D40" s="80">
        <v>37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</row>
    <row r="41" spans="1:17" x14ac:dyDescent="0.25">
      <c r="A41" s="85">
        <v>40</v>
      </c>
      <c r="B41" s="85">
        <v>0.44325693314317793</v>
      </c>
      <c r="C41" s="187">
        <v>43831</v>
      </c>
      <c r="D41" s="80">
        <v>37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</row>
    <row r="42" spans="1:17" x14ac:dyDescent="0.25">
      <c r="A42" s="85">
        <v>41</v>
      </c>
      <c r="B42" s="85">
        <v>0.40399122526891901</v>
      </c>
      <c r="C42" s="187">
        <v>43831</v>
      </c>
      <c r="D42" s="80">
        <v>37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</row>
    <row r="43" spans="1:17" x14ac:dyDescent="0.25">
      <c r="A43" s="85">
        <v>42</v>
      </c>
      <c r="B43" s="85">
        <v>0.30479742933960191</v>
      </c>
      <c r="C43" s="187">
        <v>43831</v>
      </c>
      <c r="D43" s="80">
        <v>37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</row>
    <row r="44" spans="1:17" x14ac:dyDescent="0.25">
      <c r="A44" s="85">
        <v>43</v>
      </c>
      <c r="B44" s="85">
        <v>0.50955050215664954</v>
      </c>
      <c r="C44" s="187">
        <v>43831</v>
      </c>
      <c r="D44" s="80">
        <v>37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</row>
    <row r="45" spans="1:17" x14ac:dyDescent="0.25">
      <c r="A45" s="85">
        <v>44</v>
      </c>
      <c r="B45" s="85">
        <v>0.62842403673948077</v>
      </c>
      <c r="C45" s="187">
        <v>43831</v>
      </c>
      <c r="D45" s="80">
        <v>37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</row>
    <row r="46" spans="1:17" x14ac:dyDescent="0.25">
      <c r="A46" s="85">
        <v>45</v>
      </c>
      <c r="B46" s="85">
        <v>0.47464350555864238</v>
      </c>
      <c r="C46" s="187">
        <v>43831</v>
      </c>
      <c r="D46" s="80">
        <v>37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</row>
    <row r="47" spans="1:17" x14ac:dyDescent="0.25">
      <c r="A47" s="85">
        <v>46</v>
      </c>
      <c r="B47" s="85">
        <v>0.54376526489511467</v>
      </c>
      <c r="C47" s="187">
        <v>43831</v>
      </c>
      <c r="D47" s="80">
        <v>37</v>
      </c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</row>
    <row r="48" spans="1:17" x14ac:dyDescent="0.25">
      <c r="A48" s="85">
        <v>47</v>
      </c>
      <c r="B48" s="85">
        <v>0.6726360714704096</v>
      </c>
      <c r="C48" s="187">
        <v>43831</v>
      </c>
      <c r="D48" s="80">
        <v>37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</row>
    <row r="49" spans="1:17" x14ac:dyDescent="0.25">
      <c r="A49" s="85">
        <v>48</v>
      </c>
      <c r="B49" s="85">
        <v>0.67802228332781844</v>
      </c>
      <c r="C49" s="187">
        <v>43831</v>
      </c>
      <c r="D49" s="80">
        <v>37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</row>
    <row r="50" spans="1:17" x14ac:dyDescent="0.25">
      <c r="A50" s="85">
        <v>49</v>
      </c>
      <c r="B50" s="85">
        <v>0.57036938033352558</v>
      </c>
      <c r="C50" s="187">
        <v>43831</v>
      </c>
      <c r="D50" s="80">
        <v>37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</row>
    <row r="51" spans="1:17" x14ac:dyDescent="0.25">
      <c r="A51" s="85">
        <v>50</v>
      </c>
      <c r="B51" s="85">
        <v>0.6762633916310602</v>
      </c>
      <c r="C51" s="187">
        <v>43831</v>
      </c>
      <c r="D51" s="80">
        <v>37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</row>
    <row r="52" spans="1:17" x14ac:dyDescent="0.25">
      <c r="A52" s="85">
        <v>51</v>
      </c>
      <c r="B52" s="85">
        <v>0.50155230935707007</v>
      </c>
      <c r="C52" s="187">
        <v>43831</v>
      </c>
      <c r="D52" s="80">
        <v>37</v>
      </c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</row>
    <row r="53" spans="1:17" x14ac:dyDescent="0.25">
      <c r="A53" s="85">
        <v>52</v>
      </c>
      <c r="B53" s="85">
        <v>0.63790126149527382</v>
      </c>
      <c r="C53" s="187">
        <v>43831</v>
      </c>
      <c r="D53" s="80">
        <v>37</v>
      </c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</row>
    <row r="54" spans="1:17" x14ac:dyDescent="0.25">
      <c r="A54" s="85">
        <v>53</v>
      </c>
      <c r="B54" s="85">
        <v>0.71074553539395247</v>
      </c>
      <c r="C54" s="187">
        <v>43831</v>
      </c>
      <c r="D54" s="80">
        <v>37</v>
      </c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</row>
    <row r="55" spans="1:17" x14ac:dyDescent="0.25">
      <c r="A55" s="85">
        <v>54</v>
      </c>
      <c r="B55" s="85">
        <v>0.52260122547638255</v>
      </c>
      <c r="C55" s="187">
        <v>43831</v>
      </c>
      <c r="D55" s="80">
        <v>37</v>
      </c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</row>
    <row r="56" spans="1:17" x14ac:dyDescent="0.25">
      <c r="A56" s="85">
        <v>55</v>
      </c>
      <c r="B56" s="85">
        <v>0.73556504923251609</v>
      </c>
      <c r="C56" s="187">
        <v>43831</v>
      </c>
      <c r="D56" s="80">
        <v>37</v>
      </c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</row>
    <row r="57" spans="1:17" x14ac:dyDescent="0.25">
      <c r="A57" s="85">
        <v>56</v>
      </c>
      <c r="B57" s="85">
        <v>0.6170752993444063</v>
      </c>
      <c r="C57" s="187">
        <v>43831</v>
      </c>
      <c r="D57" s="80">
        <v>37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</row>
    <row r="58" spans="1:17" x14ac:dyDescent="0.25">
      <c r="A58" s="85">
        <v>57</v>
      </c>
      <c r="B58" s="85">
        <v>0.64387869582379498</v>
      </c>
      <c r="C58" s="187">
        <v>43831</v>
      </c>
      <c r="D58" s="80">
        <v>37</v>
      </c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</row>
    <row r="59" spans="1:17" x14ac:dyDescent="0.25">
      <c r="A59" s="85">
        <v>58</v>
      </c>
      <c r="B59" s="85">
        <v>0.51398703552370051</v>
      </c>
      <c r="C59" s="187">
        <v>43831</v>
      </c>
      <c r="D59" s="80">
        <v>37</v>
      </c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</row>
    <row r="60" spans="1:17" x14ac:dyDescent="0.25">
      <c r="A60" s="85">
        <v>59</v>
      </c>
      <c r="B60" s="85">
        <v>0.54103087735768729</v>
      </c>
      <c r="C60" s="187">
        <v>43831</v>
      </c>
      <c r="D60" s="80">
        <v>37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</row>
    <row r="61" spans="1:17" x14ac:dyDescent="0.25">
      <c r="A61" s="85">
        <v>60</v>
      </c>
      <c r="B61" s="85">
        <v>2.9689407512702232E-2</v>
      </c>
      <c r="C61" s="187">
        <v>43831</v>
      </c>
      <c r="D61" s="80">
        <v>37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</row>
    <row r="62" spans="1:17" x14ac:dyDescent="0.25">
      <c r="A62" s="85">
        <v>61</v>
      </c>
      <c r="B62" s="85">
        <v>0.55661730811776033</v>
      </c>
      <c r="C62" s="187">
        <v>43831</v>
      </c>
      <c r="D62" s="80">
        <v>37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17" x14ac:dyDescent="0.25">
      <c r="A63" s="85">
        <v>62</v>
      </c>
      <c r="B63" s="85">
        <v>0.5438949157765095</v>
      </c>
      <c r="C63" s="187">
        <v>43831</v>
      </c>
      <c r="D63" s="80">
        <v>37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17" x14ac:dyDescent="0.25">
      <c r="A64" s="85">
        <v>63</v>
      </c>
      <c r="B64" s="85">
        <v>0.42838860824695929</v>
      </c>
      <c r="C64" s="187">
        <v>43831</v>
      </c>
      <c r="D64" s="80">
        <v>37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1:17" x14ac:dyDescent="0.25">
      <c r="A65" s="85">
        <v>64</v>
      </c>
      <c r="B65" s="85">
        <v>0.3152362801112597</v>
      </c>
      <c r="C65" s="187">
        <v>43831</v>
      </c>
      <c r="D65" s="80">
        <v>37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</row>
    <row r="66" spans="1:17" x14ac:dyDescent="0.25">
      <c r="A66" s="85">
        <v>65</v>
      </c>
      <c r="B66" s="85">
        <v>0.36481467102617299</v>
      </c>
      <c r="C66" s="187">
        <v>43831</v>
      </c>
      <c r="D66" s="80">
        <v>37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</row>
    <row r="67" spans="1:17" x14ac:dyDescent="0.25">
      <c r="A67" s="85">
        <v>66</v>
      </c>
      <c r="B67" s="85">
        <v>0.54612191867746185</v>
      </c>
      <c r="C67" s="187">
        <v>43831</v>
      </c>
      <c r="D67" s="80">
        <v>37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</row>
    <row r="68" spans="1:17" x14ac:dyDescent="0.25">
      <c r="A68" s="85">
        <v>67</v>
      </c>
      <c r="B68" s="85">
        <v>0.41239923397671013</v>
      </c>
      <c r="C68" s="187">
        <v>43831</v>
      </c>
      <c r="D68" s="80">
        <v>37</v>
      </c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</row>
    <row r="69" spans="1:17" x14ac:dyDescent="0.25">
      <c r="A69" s="85">
        <v>68</v>
      </c>
      <c r="B69" s="85">
        <v>0.67615229438742752</v>
      </c>
      <c r="C69" s="187">
        <v>43831</v>
      </c>
      <c r="D69" s="80">
        <v>37</v>
      </c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</row>
    <row r="70" spans="1:17" x14ac:dyDescent="0.25">
      <c r="A70" s="85">
        <v>69</v>
      </c>
      <c r="B70" s="85">
        <v>0.67389937514806764</v>
      </c>
      <c r="C70" s="187">
        <v>43831</v>
      </c>
      <c r="D70" s="80">
        <v>37</v>
      </c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</row>
    <row r="71" spans="1:17" x14ac:dyDescent="0.25">
      <c r="A71" s="85">
        <v>70</v>
      </c>
      <c r="B71" s="85">
        <v>0.36056076720936958</v>
      </c>
      <c r="C71" s="187">
        <v>43831</v>
      </c>
      <c r="D71" s="80">
        <v>37</v>
      </c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</row>
    <row r="72" spans="1:17" x14ac:dyDescent="0.25">
      <c r="A72" s="85">
        <v>71</v>
      </c>
      <c r="B72" s="85">
        <v>0.52489903545211714</v>
      </c>
      <c r="C72" s="187">
        <v>43831</v>
      </c>
      <c r="D72" s="80">
        <v>37</v>
      </c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</row>
    <row r="73" spans="1:17" x14ac:dyDescent="0.25">
      <c r="A73" s="85">
        <v>72</v>
      </c>
      <c r="B73" s="85">
        <v>0.7093465283144198</v>
      </c>
      <c r="C73" s="187">
        <v>43831</v>
      </c>
      <c r="D73" s="80">
        <v>37</v>
      </c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</row>
    <row r="74" spans="1:17" x14ac:dyDescent="0.25">
      <c r="A74" s="85">
        <v>73</v>
      </c>
      <c r="B74" s="85">
        <v>0.6901440554350956</v>
      </c>
      <c r="C74" s="187">
        <v>43831</v>
      </c>
      <c r="D74" s="80">
        <v>37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</row>
    <row r="75" spans="1:17" x14ac:dyDescent="0.25">
      <c r="A75" s="85">
        <v>74</v>
      </c>
      <c r="B75" s="85">
        <v>0.58373695975035977</v>
      </c>
      <c r="C75" s="187">
        <v>43831</v>
      </c>
      <c r="D75" s="80">
        <v>37</v>
      </c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</row>
    <row r="76" spans="1:17" x14ac:dyDescent="0.25">
      <c r="A76" s="85">
        <v>75</v>
      </c>
      <c r="B76" s="85">
        <v>0.50116381674418253</v>
      </c>
      <c r="C76" s="187">
        <v>43831</v>
      </c>
      <c r="D76" s="80">
        <v>37</v>
      </c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</row>
    <row r="77" spans="1:17" x14ac:dyDescent="0.25">
      <c r="A77" s="85">
        <v>76</v>
      </c>
      <c r="B77" s="85">
        <v>0.47640525958045526</v>
      </c>
      <c r="C77" s="187">
        <v>43831</v>
      </c>
      <c r="D77" s="80">
        <v>37</v>
      </c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</row>
    <row r="78" spans="1:17" x14ac:dyDescent="0.25">
      <c r="A78" s="85">
        <v>77</v>
      </c>
      <c r="B78" s="85">
        <v>0.60970405767289793</v>
      </c>
      <c r="C78" s="187">
        <v>43831</v>
      </c>
      <c r="D78" s="80">
        <v>37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</row>
    <row r="79" spans="1:17" x14ac:dyDescent="0.25">
      <c r="A79" s="85">
        <v>78</v>
      </c>
      <c r="B79" s="85">
        <v>0.22683447724182354</v>
      </c>
      <c r="C79" s="187">
        <v>43831</v>
      </c>
      <c r="D79" s="80">
        <v>37</v>
      </c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</row>
    <row r="80" spans="1:17" x14ac:dyDescent="0.25">
      <c r="A80" s="85">
        <v>79</v>
      </c>
      <c r="B80" s="85">
        <v>0.41824417447925583</v>
      </c>
      <c r="C80" s="187">
        <v>43831</v>
      </c>
      <c r="D80" s="80">
        <v>37</v>
      </c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</row>
    <row r="81" spans="1:17" x14ac:dyDescent="0.25">
      <c r="A81" s="85">
        <v>80</v>
      </c>
      <c r="B81" s="85">
        <v>0.66848575307621239</v>
      </c>
      <c r="C81" s="187">
        <v>43831</v>
      </c>
      <c r="D81" s="80">
        <v>37</v>
      </c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</row>
    <row r="82" spans="1:17" x14ac:dyDescent="0.25">
      <c r="A82" s="85">
        <v>81</v>
      </c>
      <c r="B82" s="85">
        <v>0.45646271626319562</v>
      </c>
      <c r="C82" s="187">
        <v>43831</v>
      </c>
      <c r="D82" s="80">
        <v>37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</row>
    <row r="83" spans="1:17" x14ac:dyDescent="0.25">
      <c r="A83" s="85">
        <v>82</v>
      </c>
      <c r="B83" s="85">
        <v>0.65216914017184213</v>
      </c>
      <c r="C83" s="187">
        <v>43831</v>
      </c>
      <c r="D83" s="80">
        <v>37</v>
      </c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R83"/>
  <sheetViews>
    <sheetView topLeftCell="G1" workbookViewId="0">
      <selection activeCell="Q2" sqref="Q2"/>
    </sheetView>
  </sheetViews>
  <sheetFormatPr defaultRowHeight="15.75" x14ac:dyDescent="0.25"/>
  <cols>
    <col min="1" max="1" width="7.7109375" style="79" customWidth="1"/>
    <col min="2" max="2" width="35.5703125" style="80" customWidth="1"/>
    <col min="3" max="4" width="8.42578125" style="80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6384" width="9.140625" style="80"/>
  </cols>
  <sheetData>
    <row r="1" spans="1:18" x14ac:dyDescent="0.25">
      <c r="A1" s="85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5">
        <v>1</v>
      </c>
      <c r="B2" s="84" t="s">
        <v>1</v>
      </c>
      <c r="C2" s="89">
        <f>'Объем жил кредитов'!B2/Население!C2</f>
        <v>0.46626984126984128</v>
      </c>
      <c r="D2" s="90">
        <f>'Объем жил кредитов'!C2/Население!D2</f>
        <v>1.2087359364659167</v>
      </c>
      <c r="E2" s="90">
        <f>'Объем жил кредитов'!D2/Население!E2</f>
        <v>2.1871202113606341</v>
      </c>
      <c r="F2" s="90">
        <f>'Объем жил кредитов'!E2/Население!F2</f>
        <v>3.2145490454246213</v>
      </c>
      <c r="G2" s="90">
        <f>'Объем жил кредитов'!F2/Население!G2</f>
        <v>0.71350819672131138</v>
      </c>
      <c r="H2" s="89">
        <f>'Объем жил кредитов'!G2/Население!H2</f>
        <v>1.8100522193211488</v>
      </c>
      <c r="I2" s="84">
        <f>H2+J2/2</f>
        <v>4.1416550746099219</v>
      </c>
      <c r="J2" s="89">
        <f>'Объем жил кредитов'!I2/Население!J2</f>
        <v>4.6632057105775466</v>
      </c>
      <c r="K2" s="89">
        <f>'Объем жил кредитов'!J2/Население!K2</f>
        <v>6.176165803108808</v>
      </c>
      <c r="L2" s="89">
        <f>'Объем жил кредитов'!K2/Население!L2</f>
        <v>7.3843669250645991</v>
      </c>
      <c r="M2" s="89">
        <f>'Объем жил кредитов'!L2/Население!M2</f>
        <v>4.8445161290322583</v>
      </c>
      <c r="N2" s="89">
        <f>'Объем жил кредитов'!M2/Население!N2</f>
        <v>6.1242755956213779</v>
      </c>
      <c r="O2" s="89">
        <f>'Объем жил кредитов'!N2/Население!O2</f>
        <v>8.9561290322580653</v>
      </c>
      <c r="P2" s="89">
        <f>'Объем жил кредитов'!O2/Население!P2</f>
        <v>13.534237726098191</v>
      </c>
      <c r="Q2" s="89">
        <f>'Объем жил кредитов'!P2/Население!Q2</f>
        <v>13.124596513879922</v>
      </c>
      <c r="R2" s="89">
        <f>'Объем жил кредитов'!Q2/Население!R2</f>
        <v>22.041531473069437</v>
      </c>
    </row>
    <row r="3" spans="1:18" x14ac:dyDescent="0.25">
      <c r="A3" s="85">
        <v>2</v>
      </c>
      <c r="B3" s="84" t="s">
        <v>2</v>
      </c>
      <c r="C3" s="89">
        <f>'Объем жил кредитов'!B3/Население!C3</f>
        <v>0.20422004521477016</v>
      </c>
      <c r="D3" s="90">
        <f>'Объем жил кредитов'!C3/Население!D3</f>
        <v>0.68933132982719758</v>
      </c>
      <c r="E3" s="90">
        <f>'Объем жил кредитов'!D3/Население!E3</f>
        <v>1.4735763097949885</v>
      </c>
      <c r="F3" s="90">
        <f>'Объем жил кредитов'!E3/Население!F3</f>
        <v>2.3649350649350649</v>
      </c>
      <c r="G3" s="90">
        <f>'Объем жил кредитов'!F3/Население!G3</f>
        <v>0.72861538461538466</v>
      </c>
      <c r="H3" s="89">
        <f>'Объем жил кредитов'!G3/Население!H3</f>
        <v>1.571764705882353</v>
      </c>
      <c r="I3" s="84">
        <f t="shared" ref="I3:I66" si="0">H3+J3/2</f>
        <v>3.9214457266160054</v>
      </c>
      <c r="J3" s="89">
        <f>'Объем жил кредитов'!I3/Население!J3</f>
        <v>4.699362041467305</v>
      </c>
      <c r="K3" s="89">
        <f>'Объем жил кредитов'!J3/Население!K3</f>
        <v>6.1827697262479875</v>
      </c>
      <c r="L3" s="89">
        <f>'Объем жил кредитов'!K3/Население!L3</f>
        <v>8.8337388483373882</v>
      </c>
      <c r="M3" s="89">
        <f>'Объем жил кредитов'!L3/Население!M3</f>
        <v>5.9257748776508974</v>
      </c>
      <c r="N3" s="89">
        <f>'Объем жил кредитов'!M3/Население!N3</f>
        <v>7.1466011466011468</v>
      </c>
      <c r="O3" s="89">
        <f>'Объем жил кредитов'!N3/Население!O3</f>
        <v>9.5491329479768794</v>
      </c>
      <c r="P3" s="89">
        <f>'Объем жил кредитов'!O3/Население!P3</f>
        <v>14.595000000000001</v>
      </c>
      <c r="Q3" s="89">
        <f>'Объем жил кредитов'!P3/Население!Q3</f>
        <v>14.324392288348701</v>
      </c>
      <c r="R3" s="89">
        <f>'Объем жил кредитов'!Q3/Население!R3</f>
        <v>20.968723584108201</v>
      </c>
    </row>
    <row r="4" spans="1:18" x14ac:dyDescent="0.25">
      <c r="A4" s="85">
        <v>3</v>
      </c>
      <c r="B4" s="84" t="s">
        <v>3</v>
      </c>
      <c r="C4" s="89">
        <f>'Объем жил кредитов'!B4/Население!C4</f>
        <v>0.18102288021534321</v>
      </c>
      <c r="D4" s="90">
        <f>'Объем жил кредитов'!C4/Население!D4</f>
        <v>1.0066530889341481</v>
      </c>
      <c r="E4" s="90">
        <f>'Объем жил кредитов'!D4/Население!E4</f>
        <v>2.8356408498971897</v>
      </c>
      <c r="F4" s="90">
        <f>'Объем жил кредитов'!E4/Население!F4</f>
        <v>3.3612836438923397</v>
      </c>
      <c r="G4" s="90">
        <f>'Объем жил кредитов'!F4/Население!G4</f>
        <v>0.5591666666666667</v>
      </c>
      <c r="H4" s="89">
        <f>'Объем жил кредитов'!G4/Население!H4</f>
        <v>1.8306731436502428</v>
      </c>
      <c r="I4" s="84">
        <f t="shared" si="0"/>
        <v>4.3668897399934217</v>
      </c>
      <c r="J4" s="89">
        <f>'Объем жил кредитов'!I4/Население!J4</f>
        <v>5.0724331926863568</v>
      </c>
      <c r="K4" s="89">
        <f>'Объем жил кредитов'!J4/Население!K4</f>
        <v>7.2222222222222223</v>
      </c>
      <c r="L4" s="89">
        <f>'Объем жил кредитов'!K4/Население!L4</f>
        <v>9.5369843527738265</v>
      </c>
      <c r="M4" s="89">
        <f>'Объем жил кредитов'!L4/Население!M4</f>
        <v>6.0078740157480315</v>
      </c>
      <c r="N4" s="89">
        <f>'Объем жил кредитов'!M4/Население!N4</f>
        <v>7.9381294964028779</v>
      </c>
      <c r="O4" s="89">
        <f>'Объем жил кредитов'!N4/Население!O4</f>
        <v>11.002902757619738</v>
      </c>
      <c r="P4" s="89">
        <f>'Объем жил кредитов'!O4/Население!P4</f>
        <v>16.196925329428989</v>
      </c>
      <c r="Q4" s="89">
        <f>'Объем жил кредитов'!P4/Население!Q4</f>
        <v>16.06480117820324</v>
      </c>
      <c r="R4" s="89">
        <f>'Объем жил кредитов'!Q4/Население!R4</f>
        <v>22.673621460506705</v>
      </c>
    </row>
    <row r="5" spans="1:18" x14ac:dyDescent="0.25">
      <c r="A5" s="85">
        <v>4</v>
      </c>
      <c r="B5" s="84" t="s">
        <v>4</v>
      </c>
      <c r="C5" s="89">
        <f>'Объем жил кредитов'!B5/Население!C5</f>
        <v>0.27403642524354088</v>
      </c>
      <c r="D5" s="90">
        <f>'Объем жил кредитов'!C5/Население!D5</f>
        <v>1.0694900605012965</v>
      </c>
      <c r="E5" s="90">
        <f>'Объем жил кредитов'!D5/Население!E5</f>
        <v>2.3712418300653595</v>
      </c>
      <c r="F5" s="90">
        <f>'Объем жил кредитов'!E5/Население!F5</f>
        <v>3.1403947368421052</v>
      </c>
      <c r="G5" s="90">
        <f>'Объем жил кредитов'!F5/Население!G5</f>
        <v>0.817885462555066</v>
      </c>
      <c r="H5" s="89">
        <f>'Объем жил кредитов'!G5/Население!H5</f>
        <v>1.9674518201284796</v>
      </c>
      <c r="I5" s="84">
        <f t="shared" si="0"/>
        <v>4.5751771420168916</v>
      </c>
      <c r="J5" s="89">
        <f>'Объем жил кредитов'!I5/Население!J5</f>
        <v>5.2154506437768244</v>
      </c>
      <c r="K5" s="89">
        <f>'Объем жил кредитов'!J5/Население!K5</f>
        <v>7.5852297123228851</v>
      </c>
      <c r="L5" s="89">
        <f>'Объем жил кредитов'!K5/Население!L5</f>
        <v>10.187473187473188</v>
      </c>
      <c r="M5" s="89">
        <f>'Объем жил кредитов'!L5/Население!M5</f>
        <v>6.9348478354050576</v>
      </c>
      <c r="N5" s="89">
        <f>'Объем жил кредитов'!M5/Население!N5</f>
        <v>8.5481798715203432</v>
      </c>
      <c r="O5" s="89">
        <f>'Объем жил кредитов'!N5/Население!O5</f>
        <v>10.788684097728247</v>
      </c>
      <c r="P5" s="89">
        <f>'Объем жил кредитов'!O5/Население!P5</f>
        <v>16.288230240549829</v>
      </c>
      <c r="Q5" s="89">
        <f>'Объем жил кредитов'!P5/Население!Q5</f>
        <v>16.058519793459553</v>
      </c>
      <c r="R5" s="89">
        <f>'Объем жил кредитов'!Q5/Население!R5</f>
        <v>24.065915004336514</v>
      </c>
    </row>
    <row r="6" spans="1:18" x14ac:dyDescent="0.25">
      <c r="A6" s="85">
        <v>5</v>
      </c>
      <c r="B6" s="84" t="s">
        <v>5</v>
      </c>
      <c r="C6" s="89">
        <f>'Объем жил кредитов'!B6/Население!C6</f>
        <v>8.0762250453720513E-2</v>
      </c>
      <c r="D6" s="90">
        <f>'Объем жил кредитов'!C6/Население!D6</f>
        <v>0.58427272727272728</v>
      </c>
      <c r="E6" s="90">
        <f>'Объем жил кредитов'!D6/Население!E6</f>
        <v>1.7196691176470589</v>
      </c>
      <c r="F6" s="90">
        <f>'Объем жил кредитов'!E6/Население!F6</f>
        <v>2.3154629629629628</v>
      </c>
      <c r="G6" s="90">
        <f>'Объем жил кредитов'!F6/Население!G6</f>
        <v>0.62907735321528424</v>
      </c>
      <c r="H6" s="89">
        <f>'Объем жил кредитов'!G6/Население!H6</f>
        <v>1.4452830188679244</v>
      </c>
      <c r="I6" s="84">
        <f t="shared" si="0"/>
        <v>3.7450923610986204</v>
      </c>
      <c r="J6" s="89">
        <f>'Объем жил кредитов'!I6/Население!J6</f>
        <v>4.599618684461392</v>
      </c>
      <c r="K6" s="89">
        <f>'Объем жил кредитов'!J6/Население!K6</f>
        <v>6.5599232981783313</v>
      </c>
      <c r="L6" s="89">
        <f>'Объем жил кредитов'!K6/Население!L6</f>
        <v>9.3336547733847635</v>
      </c>
      <c r="M6" s="89">
        <f>'Объем жил кредитов'!L6/Население!M6</f>
        <v>6.0038834951456312</v>
      </c>
      <c r="N6" s="89">
        <f>'Объем жил кредитов'!M6/Население!N6</f>
        <v>6.5141739980449662</v>
      </c>
      <c r="O6" s="89">
        <f>'Объем жил кредитов'!N6/Население!O6</f>
        <v>8.9783251231527093</v>
      </c>
      <c r="P6" s="89">
        <f>'Объем жил кредитов'!O6/Население!P6</f>
        <v>13.25199203187251</v>
      </c>
      <c r="Q6" s="89">
        <f>'Объем жил кредитов'!P6/Население!Q6</f>
        <v>12.491474423269809</v>
      </c>
      <c r="R6" s="89">
        <f>'Объем жил кредитов'!Q6/Население!R6</f>
        <v>17.9564336372847</v>
      </c>
    </row>
    <row r="7" spans="1:18" x14ac:dyDescent="0.25">
      <c r="A7" s="85">
        <v>6</v>
      </c>
      <c r="B7" s="84" t="s">
        <v>6</v>
      </c>
      <c r="C7" s="89">
        <f>'Объем жил кредитов'!B7/Население!C7</f>
        <v>0.42424242424242425</v>
      </c>
      <c r="D7" s="90">
        <f>'Объем жил кредитов'!C7/Население!D7</f>
        <v>1.0908284023668637</v>
      </c>
      <c r="E7" s="90">
        <f>'Объем жил кредитов'!D7/Население!E7</f>
        <v>2.5513379583746287</v>
      </c>
      <c r="F7" s="90">
        <f>'Объем жил кредитов'!E7/Население!F7</f>
        <v>4.2833996023856864</v>
      </c>
      <c r="G7" s="90">
        <f>'Объем жил кредитов'!F7/Население!G7</f>
        <v>1.434297108673978</v>
      </c>
      <c r="H7" s="89">
        <f>'Объем жил кредитов'!G7/Население!H7</f>
        <v>2.9653121902874133</v>
      </c>
      <c r="I7" s="84">
        <f t="shared" si="0"/>
        <v>7.0627276972456636</v>
      </c>
      <c r="J7" s="89">
        <f>'Объем жил кредитов'!I7/Население!J7</f>
        <v>8.1948310139165006</v>
      </c>
      <c r="K7" s="89">
        <f>'Объем жил кредитов'!J7/Население!K7</f>
        <v>12.059701492537313</v>
      </c>
      <c r="L7" s="89">
        <f>'Объем жил кредитов'!K7/Население!L7</f>
        <v>14.970326409495549</v>
      </c>
      <c r="M7" s="89">
        <f>'Объем жил кредитов'!L7/Население!M7</f>
        <v>8.8188118811881182</v>
      </c>
      <c r="N7" s="89">
        <f>'Объем жил кредитов'!M7/Население!N7</f>
        <v>11.72879684418146</v>
      </c>
      <c r="O7" s="89">
        <f>'Объем жил кредитов'!N7/Население!O7</f>
        <v>16.272727272727273</v>
      </c>
      <c r="P7" s="89">
        <f>'Объем жил кредитов'!O7/Население!P7</f>
        <v>24.606541129831516</v>
      </c>
      <c r="Q7" s="89">
        <f>'Объем жил кредитов'!P7/Население!Q7</f>
        <v>23.230309072781655</v>
      </c>
      <c r="R7" s="89">
        <f>'Объем жил кредитов'!Q7/Население!R7</f>
        <v>31.672327672327672</v>
      </c>
    </row>
    <row r="8" spans="1:18" x14ac:dyDescent="0.25">
      <c r="A8" s="85">
        <v>7</v>
      </c>
      <c r="B8" s="84" t="s">
        <v>7</v>
      </c>
      <c r="C8" s="89">
        <f>'Объем жил кредитов'!B8/Население!C8</f>
        <v>0.17857142857142858</v>
      </c>
      <c r="D8" s="90">
        <f>'Объем жил кредитов'!C8/Население!D8</f>
        <v>0.65190409026798302</v>
      </c>
      <c r="E8" s="90">
        <f>'Объем жил кредитов'!D8/Население!E8</f>
        <v>2.06025641025641</v>
      </c>
      <c r="F8" s="90">
        <f>'Объем жил кредитов'!E8/Население!F8</f>
        <v>2.5736011477761838</v>
      </c>
      <c r="G8" s="90">
        <f>'Объем жил кредитов'!F8/Население!G8</f>
        <v>0.78482658959537577</v>
      </c>
      <c r="H8" s="89">
        <f>'Объем жил кредитов'!G8/Население!H8</f>
        <v>2.0930930930930929</v>
      </c>
      <c r="I8" s="84">
        <f t="shared" si="0"/>
        <v>4.8768563707865678</v>
      </c>
      <c r="J8" s="89">
        <f>'Объем жил кредитов'!I8/Население!J8</f>
        <v>5.5675265553869497</v>
      </c>
      <c r="K8" s="89">
        <f>'Объем жил кредитов'!J8/Население!K8</f>
        <v>7.3948170731707314</v>
      </c>
      <c r="L8" s="89">
        <f>'Объем жил кредитов'!K8/Население!L8</f>
        <v>10.51834862385321</v>
      </c>
      <c r="M8" s="89">
        <f>'Объем жил кредитов'!L8/Население!M8</f>
        <v>6.7695852534562215</v>
      </c>
      <c r="N8" s="89">
        <f>'Объем жил кредитов'!M8/Население!N8</f>
        <v>7.7453703703703702</v>
      </c>
      <c r="O8" s="89">
        <f>'Объем жил кредитов'!N8/Население!O8</f>
        <v>10.362363919129082</v>
      </c>
      <c r="P8" s="89">
        <f>'Объем жил кредитов'!O8/Население!P8</f>
        <v>15.215070643642072</v>
      </c>
      <c r="Q8" s="89">
        <f>'Объем жил кредитов'!P8/Население!Q8</f>
        <v>14.739336492890995</v>
      </c>
      <c r="R8" s="89">
        <f>'Объем жил кредитов'!Q8/Население!R8</f>
        <v>21.507961783439491</v>
      </c>
    </row>
    <row r="9" spans="1:18" x14ac:dyDescent="0.25">
      <c r="A9" s="85">
        <v>8</v>
      </c>
      <c r="B9" s="84" t="s">
        <v>8</v>
      </c>
      <c r="C9" s="89">
        <f>'Объем жил кредитов'!B9/Население!C9</f>
        <v>0.55432937181663833</v>
      </c>
      <c r="D9" s="90">
        <f>'Объем жил кредитов'!C9/Население!D9</f>
        <v>0.93378378378378368</v>
      </c>
      <c r="E9" s="90">
        <f>'Объем жил кредитов'!D9/Население!E9</f>
        <v>2.1724167378309138</v>
      </c>
      <c r="F9" s="90">
        <f>'Объем жил кредитов'!E9/Население!F9</f>
        <v>3.076592082616179</v>
      </c>
      <c r="G9" s="90">
        <f>'Объем жил кредитов'!F9/Население!G9</f>
        <v>0.91340830449826993</v>
      </c>
      <c r="H9" s="89">
        <f>'Объем жил кредитов'!G9/Население!H9</f>
        <v>2.3765541740674956</v>
      </c>
      <c r="I9" s="84">
        <f t="shared" si="0"/>
        <v>5.1124791070433666</v>
      </c>
      <c r="J9" s="89">
        <f>'Объем жил кредитов'!I9/Население!J9</f>
        <v>5.4718498659517429</v>
      </c>
      <c r="K9" s="89">
        <f>'Объем жил кредитов'!J9/Население!K9</f>
        <v>7.5075960679177838</v>
      </c>
      <c r="L9" s="89">
        <f>'Объем жил кредитов'!K9/Население!L9</f>
        <v>10.168307967770815</v>
      </c>
      <c r="M9" s="89">
        <f>'Объем жил кредитов'!L9/Население!M9</f>
        <v>5.85</v>
      </c>
      <c r="N9" s="89">
        <f>'Объем жил кредитов'!M9/Население!N9</f>
        <v>7.816562778272484</v>
      </c>
      <c r="O9" s="89">
        <f>'Объем жил кредитов'!N9/Население!O9</f>
        <v>10.082511210762332</v>
      </c>
      <c r="P9" s="89">
        <f>'Объем жил кредитов'!O9/Население!P9</f>
        <v>15.377597109304427</v>
      </c>
      <c r="Q9" s="89">
        <f>'Объем жил кредитов'!P9/Население!Q9</f>
        <v>14.754528985507246</v>
      </c>
      <c r="R9" s="89">
        <f>'Объем жил кредитов'!Q9/Население!R9</f>
        <v>21.479489516864174</v>
      </c>
    </row>
    <row r="10" spans="1:18" x14ac:dyDescent="0.25">
      <c r="A10" s="85">
        <v>9</v>
      </c>
      <c r="B10" s="84" t="s">
        <v>9</v>
      </c>
      <c r="C10" s="89">
        <f>'Объем жил кредитов'!B10/Население!C10</f>
        <v>0.3224455611390285</v>
      </c>
      <c r="D10" s="90">
        <f>'Объем жил кредитов'!C10/Население!D10</f>
        <v>0.66790855207451305</v>
      </c>
      <c r="E10" s="90">
        <f>'Объем жил кредитов'!D10/Население!E10</f>
        <v>2.2221465076660989</v>
      </c>
      <c r="F10" s="90">
        <f>'Объем жил кредитов'!E10/Население!F10</f>
        <v>3.0371257485029939</v>
      </c>
      <c r="G10" s="90">
        <f>'Объем жил кредитов'!F10/Население!G10</f>
        <v>1.2116938950988823</v>
      </c>
      <c r="H10" s="89">
        <f>'Объем жил кредитов'!G10/Население!H10</f>
        <v>2.1313993174061432</v>
      </c>
      <c r="I10" s="84">
        <f t="shared" si="0"/>
        <v>4.8138433793682776</v>
      </c>
      <c r="J10" s="89">
        <f>'Объем жил кредитов'!I10/Население!J10</f>
        <v>5.3648881239242687</v>
      </c>
      <c r="K10" s="89">
        <f>'Объем жил кредитов'!J10/Население!K10</f>
        <v>6.5879310344827582</v>
      </c>
      <c r="L10" s="89">
        <f>'Объем жил кредитов'!K10/Население!L10</f>
        <v>8.7003454231433501</v>
      </c>
      <c r="M10" s="89">
        <f>'Объем жил кредитов'!L10/Население!M10</f>
        <v>5.9039792387543253</v>
      </c>
      <c r="N10" s="89">
        <f>'Объем жил кредитов'!M10/Население!N10</f>
        <v>7.5830449826989623</v>
      </c>
      <c r="O10" s="89">
        <f>'Объем жил кредитов'!N10/Население!O10</f>
        <v>9.7713043478260868</v>
      </c>
      <c r="P10" s="89">
        <f>'Объем жил кредитов'!O10/Население!P10</f>
        <v>14.326923076923077</v>
      </c>
      <c r="Q10" s="89">
        <f>'Объем жил кредитов'!P10/Население!Q10</f>
        <v>14.186128182616329</v>
      </c>
      <c r="R10" s="89">
        <f>'Объем жил кредитов'!Q10/Население!R10</f>
        <v>21.76418439716312</v>
      </c>
    </row>
    <row r="11" spans="1:18" x14ac:dyDescent="0.25">
      <c r="A11" s="85">
        <v>10</v>
      </c>
      <c r="B11" s="84" t="s">
        <v>10</v>
      </c>
      <c r="C11" s="89">
        <f>'Объем жил кредитов'!B11/Население!C11</f>
        <v>0.31102594339622641</v>
      </c>
      <c r="D11" s="90">
        <f>'Объем жил кредитов'!C11/Население!D11</f>
        <v>1.1848521424260712</v>
      </c>
      <c r="E11" s="90">
        <f>'Объем жил кредитов'!D11/Население!E11</f>
        <v>2.7966746915437857</v>
      </c>
      <c r="F11" s="90">
        <f>'Объем жил кредитов'!E11/Население!F11</f>
        <v>5.4396673160497526</v>
      </c>
      <c r="G11" s="90">
        <f>'Объем жил кредитов'!F11/Население!G11</f>
        <v>1.2164159094294653</v>
      </c>
      <c r="H11" s="89">
        <f>'Объем жил кредитов'!G11/Население!H11</f>
        <v>3.4852237545735996</v>
      </c>
      <c r="I11" s="84">
        <f t="shared" si="0"/>
        <v>8.8246108147325089</v>
      </c>
      <c r="J11" s="89">
        <f>'Объем жил кредитов'!I11/Население!J11</f>
        <v>10.67877412031782</v>
      </c>
      <c r="K11" s="89">
        <f>'Объем жил кредитов'!J11/Население!K11</f>
        <v>14.232268012335295</v>
      </c>
      <c r="L11" s="89">
        <f>'Объем жил кредитов'!K11/Население!L11</f>
        <v>21.09970958373669</v>
      </c>
      <c r="M11" s="89">
        <f>'Объем жил кредитов'!L11/Население!M11</f>
        <v>13.360431752971717</v>
      </c>
      <c r="N11" s="89">
        <f>'Объем жил кредитов'!M11/Население!N11</f>
        <v>15.423548430553684</v>
      </c>
      <c r="O11" s="89">
        <f>'Объем жил кредитов'!N11/Население!O11</f>
        <v>21.310409169665466</v>
      </c>
      <c r="P11" s="89">
        <f>'Объем жил кредитов'!O11/Население!P11</f>
        <v>33.276088959073562</v>
      </c>
      <c r="Q11" s="89">
        <f>'Объем жил кредитов'!P11/Население!Q11</f>
        <v>32.56780652710961</v>
      </c>
      <c r="R11" s="89">
        <f>'Объем жил кредитов'!Q11/Население!R11</f>
        <v>47.681541055908681</v>
      </c>
    </row>
    <row r="12" spans="1:18" x14ac:dyDescent="0.25">
      <c r="A12" s="85">
        <v>11</v>
      </c>
      <c r="B12" s="84" t="s">
        <v>11</v>
      </c>
      <c r="C12" s="89">
        <f>'Объем жил кредитов'!B12/Население!C12</f>
        <v>0.16666666666666666</v>
      </c>
      <c r="D12" s="90">
        <f>'Объем жил кредитов'!C12/Население!D12</f>
        <v>0.54100719424460431</v>
      </c>
      <c r="E12" s="90">
        <f>'Объем жил кредитов'!D12/Население!E12</f>
        <v>1.7037484885126966</v>
      </c>
      <c r="F12" s="90">
        <f>'Объем жил кредитов'!E12/Население!F12</f>
        <v>2.1581508515815084</v>
      </c>
      <c r="G12" s="90">
        <f>'Объем жил кредитов'!F12/Население!G12</f>
        <v>0.64112607099143204</v>
      </c>
      <c r="H12" s="89">
        <f>'Объем жил кредитов'!G12/Население!H12</f>
        <v>1.4987277353689568</v>
      </c>
      <c r="I12" s="84">
        <f t="shared" si="0"/>
        <v>3.8556864982555545</v>
      </c>
      <c r="J12" s="89">
        <f>'Объем жил кредитов'!I12/Население!J12</f>
        <v>4.713917525773196</v>
      </c>
      <c r="K12" s="89">
        <f>'Объем жил кредитов'!J12/Население!K12</f>
        <v>7.0792207792207789</v>
      </c>
      <c r="L12" s="89">
        <f>'Объем жил кредитов'!K12/Население!L12</f>
        <v>9.3006535947712425</v>
      </c>
      <c r="M12" s="89">
        <f>'Объем жил кредитов'!L12/Население!M12</f>
        <v>6.6881578947368423</v>
      </c>
      <c r="N12" s="89">
        <f>'Объем жил кредитов'!M12/Население!N12</f>
        <v>8.7046357615894046</v>
      </c>
      <c r="O12" s="89">
        <f>'Объем жил кредитов'!N12/Население!O12</f>
        <v>12.410977242302543</v>
      </c>
      <c r="P12" s="89">
        <f>'Объем жил кредитов'!O12/Население!P12</f>
        <v>17.8</v>
      </c>
      <c r="Q12" s="89">
        <f>'Объем жил кредитов'!P12/Население!Q12</f>
        <v>17.107629427792915</v>
      </c>
      <c r="R12" s="89">
        <f>'Объем жил кредитов'!Q12/Население!R12</f>
        <v>25.88</v>
      </c>
    </row>
    <row r="13" spans="1:18" x14ac:dyDescent="0.25">
      <c r="A13" s="85">
        <v>12</v>
      </c>
      <c r="B13" s="84" t="s">
        <v>12</v>
      </c>
      <c r="C13" s="89">
        <f>'Объем жил кредитов'!B13/Население!C13</f>
        <v>0.36080740117746007</v>
      </c>
      <c r="D13" s="90">
        <f>'Объем жил кредитов'!C13/Население!D13</f>
        <v>1.2021150592216583</v>
      </c>
      <c r="E13" s="90">
        <f>'Объем жил кредитов'!D13/Население!E13</f>
        <v>2.9690273037542663</v>
      </c>
      <c r="F13" s="90">
        <f>'Объем жил кредитов'!E13/Население!F13</f>
        <v>3.6315021459227466</v>
      </c>
      <c r="G13" s="90">
        <f>'Объем жил кредитов'!F13/Население!G13</f>
        <v>1.0005181347150258</v>
      </c>
      <c r="H13" s="89">
        <f>'Объем жил кредитов'!G13/Население!H13</f>
        <v>2.8602430555555554</v>
      </c>
      <c r="I13" s="84">
        <f t="shared" si="0"/>
        <v>5.9856801184926187</v>
      </c>
      <c r="J13" s="89">
        <f>'Объем жил кредитов'!I13/Население!J13</f>
        <v>6.2508741258741258</v>
      </c>
      <c r="K13" s="89">
        <f>'Объем жил кредитов'!J13/Население!K13</f>
        <v>8.412795793163891</v>
      </c>
      <c r="L13" s="89">
        <f>'Объем жил кредитов'!K13/Население!L13</f>
        <v>12.26079295154185</v>
      </c>
      <c r="M13" s="89">
        <f>'Объем жил кредитов'!L13/Население!M13</f>
        <v>7.7575221238938052</v>
      </c>
      <c r="N13" s="89">
        <f>'Объем жил кредитов'!M13/Население!N13</f>
        <v>10.03371783496007</v>
      </c>
      <c r="O13" s="89">
        <f>'Объем жил кредитов'!N13/Население!O13</f>
        <v>13.723707664884136</v>
      </c>
      <c r="P13" s="89">
        <f>'Объем жил кредитов'!O13/Население!P13</f>
        <v>20.106822262118492</v>
      </c>
      <c r="Q13" s="89">
        <f>'Объем жил кредитов'!P13/Население!Q13</f>
        <v>19.100991884580704</v>
      </c>
      <c r="R13" s="89">
        <f>'Объем жил кредитов'!Q13/Население!R13</f>
        <v>27.702185792349727</v>
      </c>
    </row>
    <row r="14" spans="1:18" x14ac:dyDescent="0.25">
      <c r="A14" s="85">
        <v>13</v>
      </c>
      <c r="B14" s="84" t="s">
        <v>13</v>
      </c>
      <c r="C14" s="89">
        <f>'Объем жил кредитов'!B14/Население!C14</f>
        <v>0.42243902439024389</v>
      </c>
      <c r="D14" s="90">
        <f>'Объем жил кредитов'!C14/Население!D14</f>
        <v>1.2585487077534789</v>
      </c>
      <c r="E14" s="90">
        <f>'Объем жил кредитов'!D14/Население!E14</f>
        <v>2.8346076458752516</v>
      </c>
      <c r="F14" s="90">
        <f>'Объем жил кредитов'!E14/Население!F14</f>
        <v>4.5290946083418113</v>
      </c>
      <c r="G14" s="90">
        <f>'Объем жил кредитов'!F14/Население!G14</f>
        <v>1.4981519507186858</v>
      </c>
      <c r="H14" s="89">
        <f>'Объем жил кредитов'!G14/Население!H14</f>
        <v>2.9267548321464902</v>
      </c>
      <c r="I14" s="84">
        <f t="shared" si="0"/>
        <v>6.4134214988131575</v>
      </c>
      <c r="J14" s="89">
        <f>'Объем жил кредитов'!I14/Население!J14</f>
        <v>6.9733333333333336</v>
      </c>
      <c r="K14" s="89">
        <f>'Объем жил кредитов'!J14/Население!K14</f>
        <v>8.7582644628099171</v>
      </c>
      <c r="L14" s="89">
        <f>'Объем жил кредитов'!K14/Население!L14</f>
        <v>11.597927461139896</v>
      </c>
      <c r="M14" s="89">
        <f>'Объем жил кредитов'!L14/Население!M14</f>
        <v>7.0156412930135561</v>
      </c>
      <c r="N14" s="89">
        <f>'Объем жил кредитов'!M14/Население!N14</f>
        <v>8.6306400839454351</v>
      </c>
      <c r="O14" s="89">
        <f>'Объем жил кредитов'!N14/Население!O14</f>
        <v>11.267368421052632</v>
      </c>
      <c r="P14" s="89">
        <f>'Объем жил кредитов'!O14/Население!P14</f>
        <v>16.298301486199577</v>
      </c>
      <c r="Q14" s="89">
        <f>'Объем жил кредитов'!P14/Население!Q14</f>
        <v>15.756149732620321</v>
      </c>
      <c r="R14" s="89">
        <f>'Объем жил кредитов'!Q14/Население!R14</f>
        <v>22.613463626492944</v>
      </c>
    </row>
    <row r="15" spans="1:18" x14ac:dyDescent="0.25">
      <c r="A15" s="85">
        <v>14</v>
      </c>
      <c r="B15" s="84" t="s">
        <v>14</v>
      </c>
      <c r="C15" s="89">
        <f>'Объем жил кредитов'!B15/Население!C15</f>
        <v>0.19841966637401229</v>
      </c>
      <c r="D15" s="90">
        <f>'Объем жил кредитов'!C15/Население!D15</f>
        <v>0.38778761061946904</v>
      </c>
      <c r="E15" s="90">
        <f>'Объем жил кредитов'!D15/Население!E15</f>
        <v>1.0874664279319606</v>
      </c>
      <c r="F15" s="90">
        <f>'Объем жил кредитов'!E15/Население!F15</f>
        <v>1.8145569620253166</v>
      </c>
      <c r="G15" s="90">
        <f>'Объем жил кредитов'!F15/Население!G15</f>
        <v>0.50337283500455787</v>
      </c>
      <c r="H15" s="89">
        <f>'Объем жил кредитов'!G15/Население!H15</f>
        <v>1.5568807339449542</v>
      </c>
      <c r="I15" s="84">
        <f t="shared" si="0"/>
        <v>3.5829030387776681</v>
      </c>
      <c r="J15" s="89">
        <f>'Объем жил кредитов'!I15/Население!J15</f>
        <v>4.0520446096654279</v>
      </c>
      <c r="K15" s="89">
        <f>'Объем жил кредитов'!J15/Население!K15</f>
        <v>6.0776426566884938</v>
      </c>
      <c r="L15" s="89">
        <f>'Объем жил кредитов'!K15/Население!L15</f>
        <v>8.3531073446327682</v>
      </c>
      <c r="M15" s="89">
        <f>'Объем жил кредитов'!L15/Население!M15</f>
        <v>5.5685714285714285</v>
      </c>
      <c r="N15" s="89">
        <f>'Объем жил кредитов'!M15/Население!N15</f>
        <v>6.9375</v>
      </c>
      <c r="O15" s="89">
        <f>'Объем жил кредитов'!N15/Население!O15</f>
        <v>9.3949661181026141</v>
      </c>
      <c r="P15" s="89">
        <f>'Объем жил кредитов'!O15/Население!P15</f>
        <v>14.785433070866143</v>
      </c>
      <c r="Q15" s="89">
        <f>'Объем жил кредитов'!P15/Население!Q15</f>
        <v>14.276067527308838</v>
      </c>
      <c r="R15" s="89">
        <f>'Объем жил кредитов'!Q15/Население!R15</f>
        <v>20.165995975855132</v>
      </c>
    </row>
    <row r="16" spans="1:18" x14ac:dyDescent="0.25">
      <c r="A16" s="85">
        <v>15</v>
      </c>
      <c r="B16" s="84" t="s">
        <v>15</v>
      </c>
      <c r="C16" s="89">
        <f>'Объем жил кредитов'!B16/Население!C16</f>
        <v>0.35547703180212015</v>
      </c>
      <c r="D16" s="90">
        <f>'Объем жил кредитов'!C16/Население!D16</f>
        <v>1.1955223880597015</v>
      </c>
      <c r="E16" s="90">
        <f>'Объем жил кредитов'!D16/Население!E16</f>
        <v>2.6291366906474822</v>
      </c>
      <c r="F16" s="90">
        <f>'Объем жил кредитов'!E16/Население!F16</f>
        <v>3.7068115942028981</v>
      </c>
      <c r="G16" s="90">
        <f>'Объем жил кредитов'!F16/Население!G16</f>
        <v>1.2665449233016801</v>
      </c>
      <c r="H16" s="89">
        <f>'Объем жил кредитов'!G16/Население!H16</f>
        <v>3.0266666666666668</v>
      </c>
      <c r="I16" s="84">
        <f t="shared" si="0"/>
        <v>6.6379860069965018</v>
      </c>
      <c r="J16" s="89">
        <f>'Объем жил кредитов'!I16/Население!J16</f>
        <v>7.2226386806596699</v>
      </c>
      <c r="K16" s="89">
        <f>'Объем жил кредитов'!J16/Население!K16</f>
        <v>8.4415094339622634</v>
      </c>
      <c r="L16" s="89">
        <f>'Объем жил кредитов'!K16/Население!L16</f>
        <v>11.386311787072243</v>
      </c>
      <c r="M16" s="89">
        <f>'Объем жил кредитов'!L16/Население!M16</f>
        <v>6.926436781609195</v>
      </c>
      <c r="N16" s="89">
        <f>'Объем жил кредитов'!M16/Население!N16</f>
        <v>9.2783346183500388</v>
      </c>
      <c r="O16" s="89">
        <f>'Объем жил кредитов'!N16/Население!O16</f>
        <v>13.062305295950155</v>
      </c>
      <c r="P16" s="89">
        <f>'Объем жил кредитов'!O16/Население!P16</f>
        <v>19.683464566929135</v>
      </c>
      <c r="Q16" s="89">
        <f>'Объем жил кредитов'!P16/Население!Q16</f>
        <v>19.296031746031748</v>
      </c>
      <c r="R16" s="89">
        <f>'Объем жил кредитов'!Q16/Население!R16</f>
        <v>26.92776886035313</v>
      </c>
    </row>
    <row r="17" spans="1:18" x14ac:dyDescent="0.25">
      <c r="A17" s="85">
        <v>16</v>
      </c>
      <c r="B17" s="84" t="s">
        <v>16</v>
      </c>
      <c r="C17" s="89">
        <f>'Объем жил кредитов'!B17/Население!C17</f>
        <v>0.27244582043343651</v>
      </c>
      <c r="D17" s="90">
        <f>'Объем жил кредитов'!C17/Население!D17</f>
        <v>0.78974999999999995</v>
      </c>
      <c r="E17" s="90">
        <f>'Объем жил кредитов'!D17/Население!E17</f>
        <v>2.0370253164556962</v>
      </c>
      <c r="F17" s="90">
        <f>'Объем жил кредитов'!E17/Население!F17</f>
        <v>3.738697318007663</v>
      </c>
      <c r="G17" s="90">
        <f>'Объем жил кредитов'!F17/Население!G17</f>
        <v>1.0211204121056021</v>
      </c>
      <c r="H17" s="89">
        <f>'Объем жил кредитов'!G17/Население!H17</f>
        <v>2.0432258064516131</v>
      </c>
      <c r="I17" s="84">
        <f t="shared" si="0"/>
        <v>5.1466853364777227</v>
      </c>
      <c r="J17" s="89">
        <f>'Объем жил кредитов'!I17/Население!J17</f>
        <v>6.2069190600522193</v>
      </c>
      <c r="K17" s="89">
        <f>'Объем жил кредитов'!J17/Население!K17</f>
        <v>8.2168199737187919</v>
      </c>
      <c r="L17" s="89">
        <f>'Объем жил кредитов'!K17/Население!L17</f>
        <v>10.869881109643329</v>
      </c>
      <c r="M17" s="89">
        <f>'Объем жил кредитов'!L17/Население!M17</f>
        <v>7.0139442231075702</v>
      </c>
      <c r="N17" s="89">
        <f>'Объем жил кредитов'!M17/Население!N17</f>
        <v>8.8985990660440297</v>
      </c>
      <c r="O17" s="89">
        <f>'Объем жил кредитов'!N17/Население!O17</f>
        <v>12.361930294906166</v>
      </c>
      <c r="P17" s="89">
        <f>'Объем жил кредитов'!O17/Население!P17</f>
        <v>18.630155510480055</v>
      </c>
      <c r="Q17" s="89">
        <f>'Объем жил кредитов'!P17/Население!Q17</f>
        <v>18.003410641200546</v>
      </c>
      <c r="R17" s="89">
        <f>'Объем жил кредитов'!Q17/Население!R17</f>
        <v>25.929606625258799</v>
      </c>
    </row>
    <row r="18" spans="1:18" x14ac:dyDescent="0.25">
      <c r="A18" s="85">
        <v>17</v>
      </c>
      <c r="B18" s="84" t="s">
        <v>17</v>
      </c>
      <c r="C18" s="89">
        <f>'Объем жил кредитов'!B18/Население!C18</f>
        <v>0.40898705255140899</v>
      </c>
      <c r="D18" s="90">
        <f>'Объем жил кредитов'!C18/Население!D18</f>
        <v>1.2384789156626506</v>
      </c>
      <c r="E18" s="90">
        <f>'Объем жил кредитов'!D18/Население!E18</f>
        <v>2.7832575757575757</v>
      </c>
      <c r="F18" s="90">
        <f>'Объем жил кредитов'!E18/Население!F18</f>
        <v>3.7957414448669198</v>
      </c>
      <c r="G18" s="90">
        <f>'Объем жил кредитов'!F18/Население!G18</f>
        <v>1.0187022900763358</v>
      </c>
      <c r="H18" s="89">
        <f>'Объем жил кредитов'!G18/Население!H18</f>
        <v>2.3375295043273012</v>
      </c>
      <c r="I18" s="84">
        <f t="shared" si="0"/>
        <v>5.4141804477235276</v>
      </c>
      <c r="J18" s="89">
        <f>'Объем жил кредитов'!I18/Население!J18</f>
        <v>6.1533018867924527</v>
      </c>
      <c r="K18" s="89">
        <f>'Объем жил кредитов'!J18/Население!K18</f>
        <v>8.4465408805031448</v>
      </c>
      <c r="L18" s="89">
        <f>'Объем жил кредитов'!K18/Население!L18</f>
        <v>11.051100628930818</v>
      </c>
      <c r="M18" s="89">
        <f>'Объем жил кредитов'!L18/Население!M18</f>
        <v>6.8616352201257858</v>
      </c>
      <c r="N18" s="89">
        <f>'Объем жил кредитов'!M18/Население!N18</f>
        <v>7.9567269866247052</v>
      </c>
      <c r="O18" s="89">
        <f>'Объем жил кредитов'!N18/Население!O18</f>
        <v>10.723538704581358</v>
      </c>
      <c r="P18" s="89">
        <f>'Объем жил кредитов'!O18/Население!P18</f>
        <v>15.550793650793651</v>
      </c>
      <c r="Q18" s="89">
        <f>'Объем жил кредитов'!P18/Население!Q18</f>
        <v>15.037480063795853</v>
      </c>
      <c r="R18" s="89">
        <f>'Объем жил кредитов'!Q18/Население!R18</f>
        <v>21.493150684931507</v>
      </c>
    </row>
    <row r="19" spans="1:18" x14ac:dyDescent="0.25">
      <c r="A19" s="85">
        <v>18</v>
      </c>
      <c r="B19" s="84" t="s">
        <v>18</v>
      </c>
      <c r="C19" s="89">
        <f>'Объем жил кредитов'!B19/Население!C19</f>
        <v>0.33595752471622115</v>
      </c>
      <c r="D19" s="90">
        <f>'Объем жил кредитов'!C19/Население!D19</f>
        <v>1.384978417266187</v>
      </c>
      <c r="E19" s="90">
        <f>'Объем жил кредитов'!D19/Население!E19</f>
        <v>2.8869769223403239</v>
      </c>
      <c r="F19" s="90">
        <f>'Объем жил кредитов'!E19/Население!F19</f>
        <v>5.834355300859599</v>
      </c>
      <c r="G19" s="90">
        <f>'Объем жил кредитов'!F19/Население!G19</f>
        <v>1.60917308973261</v>
      </c>
      <c r="H19" s="89">
        <f>'Объем жил кредитов'!G19/Население!H19</f>
        <v>3.687202148860584</v>
      </c>
      <c r="I19" s="84">
        <f t="shared" si="0"/>
        <v>8.5599483926001501</v>
      </c>
      <c r="J19" s="89">
        <f>'Объем жил кредитов'!I19/Население!J19</f>
        <v>9.7454924874791313</v>
      </c>
      <c r="K19" s="89">
        <f>'Объем жил кредитов'!J19/Население!K19</f>
        <v>12.604724149322761</v>
      </c>
      <c r="L19" s="89">
        <f>'Объем жил кредитов'!K19/Население!L19</f>
        <v>14.791342133311471</v>
      </c>
      <c r="M19" s="89">
        <f>'Объем жил кредитов'!L19/Население!M19</f>
        <v>9.6615571776155722</v>
      </c>
      <c r="N19" s="89">
        <f>'Объем жил кредитов'!M19/Население!N19</f>
        <v>15.036507551894031</v>
      </c>
      <c r="O19" s="89">
        <f>'Объем жил кредитов'!N19/Население!O19</f>
        <v>20.428240185496122</v>
      </c>
      <c r="P19" s="89">
        <f>'Объем жил кредитов'!O19/Население!P19</f>
        <v>30.681411018628616</v>
      </c>
      <c r="Q19" s="89">
        <f>'Объем жил кредитов'!P19/Население!Q19</f>
        <v>32.091733711941949</v>
      </c>
      <c r="R19" s="89">
        <f>'Объем жил кредитов'!Q19/Население!R19</f>
        <v>51.849940734887397</v>
      </c>
    </row>
    <row r="20" spans="1:18" x14ac:dyDescent="0.25">
      <c r="A20" s="85">
        <v>19</v>
      </c>
      <c r="B20" s="84" t="s">
        <v>19</v>
      </c>
      <c r="C20" s="89">
        <f>'Объем жил кредитов'!B20/Население!C20</f>
        <v>0.63313609467455623</v>
      </c>
      <c r="D20" s="90">
        <f>'Объем жил кредитов'!C20/Население!D20</f>
        <v>1.7617478510028655</v>
      </c>
      <c r="E20" s="90">
        <f>'Объем жил кредитов'!D20/Население!E20</f>
        <v>3.421933621933622</v>
      </c>
      <c r="F20" s="90">
        <f>'Объем жил кредитов'!E20/Население!F20</f>
        <v>5.4318379160636763</v>
      </c>
      <c r="G20" s="90">
        <f>'Объем жил кредитов'!F20/Население!G20</f>
        <v>1.7864628820960697</v>
      </c>
      <c r="H20" s="89">
        <f>'Объем жил кредитов'!G20/Население!H20</f>
        <v>2.9937791601866253</v>
      </c>
      <c r="I20" s="84">
        <f t="shared" si="0"/>
        <v>6.9317697410343495</v>
      </c>
      <c r="J20" s="89">
        <f>'Объем жил кредитов'!I20/Население!J20</f>
        <v>7.8759811616954476</v>
      </c>
      <c r="K20" s="89">
        <f>'Объем жил кредитов'!J20/Население!K20</f>
        <v>9.8501577287066251</v>
      </c>
      <c r="L20" s="89">
        <f>'Объем жил кредитов'!K20/Население!L20</f>
        <v>13.170616113744076</v>
      </c>
      <c r="M20" s="89">
        <f>'Объем жил кредитов'!L20/Население!M20</f>
        <v>8.6238095238095234</v>
      </c>
      <c r="N20" s="89">
        <f>'Объем жил кредитов'!M20/Население!N20</f>
        <v>10.170653907496012</v>
      </c>
      <c r="O20" s="89">
        <f>'Объем жил кредитов'!N20/Население!O20</f>
        <v>13.168810289389068</v>
      </c>
      <c r="P20" s="89">
        <f>'Объем жил кредитов'!O20/Население!P20</f>
        <v>20.457928802588995</v>
      </c>
      <c r="Q20" s="89">
        <f>'Объем жил кредитов'!P20/Население!Q20</f>
        <v>19.15472312703583</v>
      </c>
      <c r="R20" s="89">
        <f>'Объем жил кредитов'!Q20/Население!R20</f>
        <v>29.783251231527093</v>
      </c>
    </row>
    <row r="21" spans="1:18" x14ac:dyDescent="0.25">
      <c r="A21" s="85">
        <v>20</v>
      </c>
      <c r="B21" s="84" t="s">
        <v>20</v>
      </c>
      <c r="C21" s="89">
        <f>'Объем жил кредитов'!B21/Население!C21</f>
        <v>1.2596053997923158</v>
      </c>
      <c r="D21" s="90">
        <f>'Объем жил кредитов'!C21/Население!D21</f>
        <v>4.4224365482233505</v>
      </c>
      <c r="E21" s="90">
        <f>'Объем жил кредитов'!D21/Население!E21</f>
        <v>4.6350769230769231</v>
      </c>
      <c r="F21" s="90">
        <f>'Объем жил кредитов'!E21/Население!F21</f>
        <v>5.9670454545454552</v>
      </c>
      <c r="G21" s="90">
        <f>'Объем жил кредитов'!F21/Население!G21</f>
        <v>2.4301355578727843</v>
      </c>
      <c r="H21" s="89">
        <f>'Объем жил кредитов'!G21/Население!H21</f>
        <v>4.5528364849833149</v>
      </c>
      <c r="I21" s="84">
        <f t="shared" si="0"/>
        <v>9.8147683031651329</v>
      </c>
      <c r="J21" s="89">
        <f>'Объем жил кредитов'!I21/Население!J21</f>
        <v>10.523863636363636</v>
      </c>
      <c r="K21" s="89">
        <f>'Объем жил кредитов'!J21/Население!K21</f>
        <v>14.836009174311927</v>
      </c>
      <c r="L21" s="89">
        <f>'Объем жил кредитов'!K21/Население!L21</f>
        <v>19.987268518518519</v>
      </c>
      <c r="M21" s="89">
        <f>'Объем жил кредитов'!L21/Население!M21</f>
        <v>12.4585764294049</v>
      </c>
      <c r="N21" s="89">
        <f>'Объем жил кредитов'!M21/Население!N21</f>
        <v>14.24235294117647</v>
      </c>
      <c r="O21" s="89">
        <f>'Объем жил кредитов'!N21/Население!O21</f>
        <v>19.230677764565993</v>
      </c>
      <c r="P21" s="89">
        <f>'Объем жил кредитов'!O21/Население!P21</f>
        <v>26.901204819277108</v>
      </c>
      <c r="Q21" s="89">
        <f>'Объем жил кредитов'!P21/Население!Q21</f>
        <v>24.09987819732034</v>
      </c>
      <c r="R21" s="89">
        <f>'Объем жил кредитов'!Q21/Население!R21</f>
        <v>34.934889434889435</v>
      </c>
    </row>
    <row r="22" spans="1:18" x14ac:dyDescent="0.25">
      <c r="A22" s="85">
        <v>21</v>
      </c>
      <c r="B22" s="84" t="s">
        <v>21</v>
      </c>
      <c r="C22" s="89">
        <f>'Объем жил кредитов'!B22/Население!C22</f>
        <v>0.43447737909516382</v>
      </c>
      <c r="D22" s="90">
        <f>'Объем жил кредитов'!C22/Население!D22</f>
        <v>1.4345468628969791</v>
      </c>
      <c r="E22" s="90">
        <f>'Объем жил кредитов'!D22/Население!E22</f>
        <v>3.0979687500000002</v>
      </c>
      <c r="F22" s="90">
        <f>'Объем жил кредитов'!E22/Население!F22</f>
        <v>4.7799528301886793</v>
      </c>
      <c r="G22" s="90">
        <f>'Объем жил кредитов'!F22/Население!G22</f>
        <v>1.899524564183835</v>
      </c>
      <c r="H22" s="89">
        <f>'Объем жил кредитов'!G22/Население!H22</f>
        <v>3.9012244897959185</v>
      </c>
      <c r="I22" s="84">
        <f t="shared" si="0"/>
        <v>8.2231878841386816</v>
      </c>
      <c r="J22" s="89">
        <f>'Объем жил кредитов'!I22/Население!J22</f>
        <v>8.6439267886855244</v>
      </c>
      <c r="K22" s="89">
        <f>'Объем жил кредитов'!J22/Население!K22</f>
        <v>10.746644295302014</v>
      </c>
      <c r="L22" s="89">
        <f>'Объем жил кредитов'!K22/Население!L22</f>
        <v>15.159763313609467</v>
      </c>
      <c r="M22" s="89">
        <f>'Объем жил кредитов'!L22/Население!M22</f>
        <v>11.312606473594549</v>
      </c>
      <c r="N22" s="89">
        <f>'Объем жил кредитов'!M22/Население!N22</f>
        <v>12.762435677530018</v>
      </c>
      <c r="O22" s="89">
        <f>'Объем жил кредитов'!N22/Население!O22</f>
        <v>17.929004329004329</v>
      </c>
      <c r="P22" s="89">
        <f>'Объем жил кредитов'!O22/Население!P22</f>
        <v>25.26660839160839</v>
      </c>
      <c r="Q22" s="89">
        <f>'Объем жил кредитов'!P22/Население!Q22</f>
        <v>24.088908450704224</v>
      </c>
      <c r="R22" s="89">
        <f>'Объем жил кредитов'!Q22/Население!R22</f>
        <v>34.953859804791485</v>
      </c>
    </row>
    <row r="23" spans="1:18" x14ac:dyDescent="0.25">
      <c r="A23" s="85">
        <v>22</v>
      </c>
      <c r="B23" s="84" t="s">
        <v>22</v>
      </c>
      <c r="C23" s="89">
        <f>'Объем жил кредитов'!B23/Население!C23</f>
        <v>0.77165991902834008</v>
      </c>
      <c r="D23" s="90">
        <f>'Объем жил кредитов'!C23/Население!D23</f>
        <v>1.9300404858299594</v>
      </c>
      <c r="E23" s="90">
        <f>'Объем жил кредитов'!D23/Население!E23</f>
        <v>3.7803745928338763</v>
      </c>
      <c r="F23" s="90">
        <f>'Объем жил кредитов'!E23/Население!F23</f>
        <v>5.2670482420278004</v>
      </c>
      <c r="G23" s="90">
        <f>'Объем жил кредитов'!F23/Население!G23</f>
        <v>1.4660098522167486</v>
      </c>
      <c r="H23" s="89">
        <f>'Объем жил кредитов'!G23/Население!H23</f>
        <v>2.8551207327227313</v>
      </c>
      <c r="I23" s="84">
        <f t="shared" si="0"/>
        <v>6.895672572187614</v>
      </c>
      <c r="J23" s="89">
        <f>'Объем жил кредитов'!I23/Население!J23</f>
        <v>8.0811036789297663</v>
      </c>
      <c r="K23" s="89">
        <f>'Объем жил кредитов'!J23/Население!K23</f>
        <v>10.841575859178542</v>
      </c>
      <c r="L23" s="89">
        <f>'Объем жил кредитов'!K23/Население!L23</f>
        <v>13.641477749790093</v>
      </c>
      <c r="M23" s="89">
        <f>'Объем жил кредитов'!L23/Население!M23</f>
        <v>8.4764309764309758</v>
      </c>
      <c r="N23" s="89">
        <f>'Объем жил кредитов'!M23/Население!N23</f>
        <v>10.646114864864865</v>
      </c>
      <c r="O23" s="89">
        <f>'Объем жил кредитов'!N23/Население!O23</f>
        <v>13.403568394222599</v>
      </c>
      <c r="P23" s="89">
        <f>'Объем жил кредитов'!O23/Население!P23</f>
        <v>18.456335616438356</v>
      </c>
      <c r="Q23" s="89">
        <f>'Объем жил кредитов'!P23/Население!Q23</f>
        <v>17.94655172413793</v>
      </c>
      <c r="R23" s="89">
        <f>'Объем жил кредитов'!Q23/Население!R23</f>
        <v>27.589052997393569</v>
      </c>
    </row>
    <row r="24" spans="1:18" x14ac:dyDescent="0.25">
      <c r="A24" s="85">
        <v>23</v>
      </c>
      <c r="B24" s="84" t="s">
        <v>23</v>
      </c>
      <c r="C24" s="89">
        <f>'Объем жил кредитов'!B24/Население!C24</f>
        <v>0.28525641025641024</v>
      </c>
      <c r="D24" s="90">
        <f>'Объем жил кредитов'!C24/Население!D24</f>
        <v>1.4626595744680853</v>
      </c>
      <c r="E24" s="90">
        <f>'Объем жил кредитов'!D24/Население!E24</f>
        <v>2.9886872998932765</v>
      </c>
      <c r="F24" s="90">
        <f>'Объем жил кредитов'!E24/Население!F24</f>
        <v>3.6792956243329775</v>
      </c>
      <c r="G24" s="90">
        <f>'Объем жил кредитов'!F24/Население!G24</f>
        <v>0.93831376734258276</v>
      </c>
      <c r="H24" s="89">
        <f>'Объем жил кредитов'!G24/Население!H24</f>
        <v>1.4808917197452229</v>
      </c>
      <c r="I24" s="84">
        <f t="shared" si="0"/>
        <v>3.8463367459232334</v>
      </c>
      <c r="J24" s="89">
        <f>'Объем жил кредитов'!I24/Население!J24</f>
        <v>4.7308900523560213</v>
      </c>
      <c r="K24" s="89">
        <f>'Объем жил кредитов'!J24/Население!K24</f>
        <v>7.2118380062305292</v>
      </c>
      <c r="L24" s="89">
        <f>'Объем жил кредитов'!K24/Население!L24</f>
        <v>10.663570691434469</v>
      </c>
      <c r="M24" s="89">
        <f>'Объем жил кредитов'!L24/Население!M24</f>
        <v>7.0307377049180326</v>
      </c>
      <c r="N24" s="89">
        <f>'Объем жил кредитов'!M24/Население!N24</f>
        <v>8.7129817444219064</v>
      </c>
      <c r="O24" s="89">
        <f>'Объем жил кредитов'!N24/Население!O24</f>
        <v>12.326633165829145</v>
      </c>
      <c r="P24" s="89">
        <f>'Объем жил кредитов'!O24/Население!P24</f>
        <v>18.936127744510976</v>
      </c>
      <c r="Q24" s="89">
        <f>'Объем жил кредитов'!P24/Население!Q24</f>
        <v>18.741362290227048</v>
      </c>
      <c r="R24" s="89">
        <f>'Объем жил кредитов'!Q24/Население!R24</f>
        <v>28.536800785083415</v>
      </c>
    </row>
    <row r="25" spans="1:18" x14ac:dyDescent="0.25">
      <c r="A25" s="85">
        <v>24</v>
      </c>
      <c r="B25" s="84" t="s">
        <v>24</v>
      </c>
      <c r="C25" s="89">
        <f>'Объем жил кредитов'!B25/Население!C25</f>
        <v>0.21483679525222552</v>
      </c>
      <c r="D25" s="90">
        <f>'Объем жил кредитов'!C25/Население!D25</f>
        <v>0.82676399026763991</v>
      </c>
      <c r="E25" s="90">
        <f>'Объем жил кредитов'!D25/Население!E25</f>
        <v>2.6309523809523809</v>
      </c>
      <c r="F25" s="90">
        <f>'Объем жил кредитов'!E25/Население!F25</f>
        <v>4.322412737293325</v>
      </c>
      <c r="G25" s="90">
        <f>'Объем жил кредитов'!F25/Население!G25</f>
        <v>0.85575980392156858</v>
      </c>
      <c r="H25" s="89">
        <f>'Объем жил кредитов'!G25/Население!H25</f>
        <v>1.9389179755671901</v>
      </c>
      <c r="I25" s="84">
        <f t="shared" si="0"/>
        <v>5.4734696603187611</v>
      </c>
      <c r="J25" s="89">
        <f>'Объем жил кредитов'!I25/Население!J25</f>
        <v>7.0691033695031411</v>
      </c>
      <c r="K25" s="89">
        <f>'Объем жил кредитов'!J25/Население!K25</f>
        <v>9.5419501133786842</v>
      </c>
      <c r="L25" s="89">
        <f>'Объем жил кредитов'!K25/Население!L25</f>
        <v>12.769707207207206</v>
      </c>
      <c r="M25" s="89">
        <f>'Объем жил кредитов'!L25/Население!M25</f>
        <v>9.5413153456998305</v>
      </c>
      <c r="N25" s="89">
        <f>'Объем жил кредитов'!M25/Население!N25</f>
        <v>12.277901785714286</v>
      </c>
      <c r="O25" s="89">
        <f>'Объем жил кредитов'!N25/Население!O25</f>
        <v>17.211135611907387</v>
      </c>
      <c r="P25" s="89">
        <f>'Объем жил кредитов'!O25/Население!P25</f>
        <v>26.081168831168831</v>
      </c>
      <c r="Q25" s="89">
        <f>'Объем жил кредитов'!P25/Население!Q25</f>
        <v>24.903518123667379</v>
      </c>
      <c r="R25" s="89">
        <f>'Объем жил кредитов'!Q25/Население!R25</f>
        <v>37.473851030110936</v>
      </c>
    </row>
    <row r="26" spans="1:18" x14ac:dyDescent="0.25">
      <c r="A26" s="85">
        <v>25</v>
      </c>
      <c r="B26" s="84" t="s">
        <v>25</v>
      </c>
      <c r="C26" s="89">
        <f>'Объем жил кредитов'!B26/Население!C26</f>
        <v>0.21096543504171633</v>
      </c>
      <c r="D26" s="90">
        <f>'Объем жил кредитов'!C26/Население!D26</f>
        <v>0.87754629629629632</v>
      </c>
      <c r="E26" s="90">
        <f>'Объем жил кредитов'!D26/Население!E26</f>
        <v>2.4688448074679115</v>
      </c>
      <c r="F26" s="90">
        <f>'Объем жил кредитов'!E26/Население!F26</f>
        <v>3.888601645123384</v>
      </c>
      <c r="G26" s="90">
        <f>'Объем жил кредитов'!F26/Население!G26</f>
        <v>1.0635824436536181</v>
      </c>
      <c r="H26" s="89">
        <f>'Объем жил кредитов'!G26/Население!H26</f>
        <v>2.2065491183879091</v>
      </c>
      <c r="I26" s="84">
        <f t="shared" si="0"/>
        <v>5.4770619389007296</v>
      </c>
      <c r="J26" s="89">
        <f>'Объем жил кредитов'!I26/Население!J26</f>
        <v>6.5410256410256409</v>
      </c>
      <c r="K26" s="89">
        <f>'Объем жил кредитов'!J26/Население!K26</f>
        <v>9.5110246433203631</v>
      </c>
      <c r="L26" s="89">
        <f>'Объем жил кредитов'!K26/Население!L26</f>
        <v>14.661879895561357</v>
      </c>
      <c r="M26" s="89">
        <f>'Объем жил кредитов'!L26/Население!M26</f>
        <v>11.206036745406823</v>
      </c>
      <c r="N26" s="89">
        <f>'Объем жил кредитов'!M26/Население!N26</f>
        <v>12.28665785997358</v>
      </c>
      <c r="O26" s="89">
        <f>'Объем жил кредитов'!N26/Население!O26</f>
        <v>14.895225464190981</v>
      </c>
      <c r="P26" s="89">
        <f>'Объем жил кредитов'!O26/Население!P26</f>
        <v>21.256684491978611</v>
      </c>
      <c r="Q26" s="89">
        <f>'Объем жил кредитов'!P26/Население!Q26</f>
        <v>21.260458839406208</v>
      </c>
      <c r="R26" s="89">
        <f>'Объем жил кредитов'!Q26/Население!R26</f>
        <v>32.158253751705324</v>
      </c>
    </row>
    <row r="27" spans="1:18" x14ac:dyDescent="0.25">
      <c r="A27" s="85">
        <v>26</v>
      </c>
      <c r="B27" s="84" t="s">
        <v>26</v>
      </c>
      <c r="C27" s="89">
        <f>'Объем жил кредитов'!B27/Население!C27</f>
        <v>0.45045045045045046</v>
      </c>
      <c r="D27" s="90">
        <f>'Объем жил кредитов'!C27/Население!D27</f>
        <v>1.4206015037593986</v>
      </c>
      <c r="E27" s="90">
        <f>'Объем жил кредитов'!D27/Население!E27</f>
        <v>3.2802130898021309</v>
      </c>
      <c r="F27" s="90">
        <f>'Объем жил кредитов'!E27/Население!F27</f>
        <v>3.83819018404908</v>
      </c>
      <c r="G27" s="90">
        <f>'Объем жил кредитов'!F27/Население!G27</f>
        <v>0.98513931888544892</v>
      </c>
      <c r="H27" s="89">
        <f>'Объем жил кредитов'!G27/Население!H27</f>
        <v>2.1184834123222749</v>
      </c>
      <c r="I27" s="84">
        <f t="shared" si="0"/>
        <v>5.2438827733446391</v>
      </c>
      <c r="J27" s="89">
        <f>'Объем жил кредитов'!I27/Население!J27</f>
        <v>6.2507987220447285</v>
      </c>
      <c r="K27" s="89">
        <f>'Объем жил кредитов'!J27/Население!K27</f>
        <v>7.808988764044944</v>
      </c>
      <c r="L27" s="89">
        <f>'Объем жил кредитов'!K27/Население!L27</f>
        <v>10.046849757673668</v>
      </c>
      <c r="M27" s="89">
        <f>'Объем жил кредитов'!L27/Население!M27</f>
        <v>6.6980519480519485</v>
      </c>
      <c r="N27" s="89">
        <f>'Объем жил кредитов'!M27/Население!N27</f>
        <v>8.822185970636216</v>
      </c>
      <c r="O27" s="89">
        <f>'Объем жил кредитов'!N27/Население!O27</f>
        <v>11.278877887788779</v>
      </c>
      <c r="P27" s="89">
        <f>'Объем жил кредитов'!O27/Население!P27</f>
        <v>17.101666666666667</v>
      </c>
      <c r="Q27" s="89">
        <f>'Объем жил кредитов'!P27/Население!Q27</f>
        <v>16.13065326633166</v>
      </c>
      <c r="R27" s="89">
        <f>'Объем жил кредитов'!Q27/Население!R27</f>
        <v>24.201013513513512</v>
      </c>
    </row>
    <row r="28" spans="1:18" x14ac:dyDescent="0.25">
      <c r="A28" s="85">
        <v>27</v>
      </c>
      <c r="B28" s="84" t="s">
        <v>27</v>
      </c>
      <c r="C28" s="89">
        <f>'Объем жил кредитов'!B28/Население!C28</f>
        <v>0.1289875173370319</v>
      </c>
      <c r="D28" s="90">
        <f>'Объем жил кредитов'!C28/Население!D28</f>
        <v>0.6046896551724138</v>
      </c>
      <c r="E28" s="90">
        <f>'Объем жил кредитов'!D28/Население!E28</f>
        <v>1.550140056022409</v>
      </c>
      <c r="F28" s="90">
        <f>'Объем жил кредитов'!E28/Население!F28</f>
        <v>2.1109065155807363</v>
      </c>
      <c r="G28" s="90">
        <f>'Объем жил кредитов'!F28/Население!G28</f>
        <v>0.54238505747126442</v>
      </c>
      <c r="H28" s="89">
        <f>'Объем жил кредитов'!G28/Население!H28</f>
        <v>1.2742175856929956</v>
      </c>
      <c r="I28" s="84">
        <f t="shared" si="0"/>
        <v>3.5597160751189776</v>
      </c>
      <c r="J28" s="89">
        <f>'Объем жил кредитов'!I28/Население!J28</f>
        <v>4.570996978851964</v>
      </c>
      <c r="K28" s="89">
        <f>'Объем жил кредитов'!J28/Население!K28</f>
        <v>6.6742770167427699</v>
      </c>
      <c r="L28" s="89">
        <f>'Объем жил кредитов'!K28/Население!L28</f>
        <v>9.0583717357910913</v>
      </c>
      <c r="M28" s="89">
        <f>'Объем жил кредитов'!L28/Население!M28</f>
        <v>6.1764705882352944</v>
      </c>
      <c r="N28" s="89">
        <f>'Объем жил кредитов'!M28/Население!N28</f>
        <v>7.2710280373831777</v>
      </c>
      <c r="O28" s="89">
        <f>'Объем жил кредитов'!N28/Население!O28</f>
        <v>9.5959119496855347</v>
      </c>
      <c r="P28" s="89">
        <f>'Объем жил кредитов'!O28/Население!P28</f>
        <v>14.066666666666666</v>
      </c>
      <c r="Q28" s="89">
        <f>'Объем жил кредитов'!P28/Население!Q28</f>
        <v>13.792332268370608</v>
      </c>
      <c r="R28" s="89">
        <f>'Объем жил кредитов'!Q28/Население!R28</f>
        <v>20.285483870967742</v>
      </c>
    </row>
    <row r="29" spans="1:18" x14ac:dyDescent="0.25">
      <c r="A29" s="85">
        <v>28</v>
      </c>
      <c r="B29" s="84" t="s">
        <v>28</v>
      </c>
      <c r="C29" s="89">
        <f>'Объем жил кредитов'!B29/Население!C29</f>
        <v>0.28580521960534694</v>
      </c>
      <c r="D29" s="90">
        <f>'Объем жил кредитов'!C29/Население!D29</f>
        <v>1.8924688932547478</v>
      </c>
      <c r="E29" s="90">
        <f>'Объем жил кредитов'!D29/Население!E29</f>
        <v>5.9646029315248308</v>
      </c>
      <c r="F29" s="90">
        <f>'Объем жил кредитов'!E29/Население!F29</f>
        <v>8.8832749562171642</v>
      </c>
      <c r="G29" s="90">
        <f>'Объем жил кредитов'!F29/Население!G29</f>
        <v>1.5231121780881711</v>
      </c>
      <c r="H29" s="89">
        <f>'Объем жил кредитов'!G29/Население!H29</f>
        <v>3.2290263319044703</v>
      </c>
      <c r="I29" s="84">
        <f t="shared" si="0"/>
        <v>8.3607884639649317</v>
      </c>
      <c r="J29" s="89">
        <f>'Объем жил кредитов'!I29/Население!J29</f>
        <v>10.263524264120923</v>
      </c>
      <c r="K29" s="89">
        <f>'Объем жил кредитов'!J29/Население!K29</f>
        <v>12.875876851130164</v>
      </c>
      <c r="L29" s="89">
        <f>'Объем жил кредитов'!K29/Население!L29</f>
        <v>18.338983050847457</v>
      </c>
      <c r="M29" s="89">
        <f>'Объем жил кредитов'!L29/Население!M29</f>
        <v>12.807309605817068</v>
      </c>
      <c r="N29" s="89">
        <f>'Объем жил кредитов'!M29/Население!N29</f>
        <v>17.693297993184398</v>
      </c>
      <c r="O29" s="89">
        <f>'Объем жил кредитов'!N29/Население!O29</f>
        <v>24.183109118086698</v>
      </c>
      <c r="P29" s="89">
        <f>'Объем жил кредитов'!O29/Население!P29</f>
        <v>37.24721396731055</v>
      </c>
      <c r="Q29" s="89">
        <f>'Объем жил кредитов'!P29/Население!Q29</f>
        <v>37.086513523527231</v>
      </c>
      <c r="R29" s="89">
        <f>'Объем жил кредитов'!Q29/Население!R29</f>
        <v>54.659175334323926</v>
      </c>
    </row>
    <row r="30" spans="1:18" x14ac:dyDescent="0.25">
      <c r="A30" s="85">
        <v>29</v>
      </c>
      <c r="B30" s="84" t="s">
        <v>29</v>
      </c>
      <c r="C30" s="89">
        <f>'Объем жил кредитов'!B30/Население!C30</f>
        <v>0.17913832199546487</v>
      </c>
      <c r="D30" s="90">
        <f>'Объем жил кредитов'!C30/Население!D30</f>
        <v>0.47697516930022577</v>
      </c>
      <c r="E30" s="90">
        <f>'Объем жил кредитов'!D30/Население!E30</f>
        <v>1.3834467120181406</v>
      </c>
      <c r="F30" s="90">
        <f>'Объем жил кредитов'!E30/Население!F30</f>
        <v>2.1226757369614515</v>
      </c>
      <c r="G30" s="90">
        <f>'Объем жил кредитов'!F30/Население!G30</f>
        <v>0.49074492099322803</v>
      </c>
      <c r="H30" s="89">
        <f>'Объем жил кредитов'!G30/Население!H30</f>
        <v>1.2045454545454546</v>
      </c>
      <c r="I30" s="84">
        <f t="shared" si="0"/>
        <v>2.5090398365679265</v>
      </c>
      <c r="J30" s="89">
        <f>'Объем жил кредитов'!I30/Население!J30</f>
        <v>2.6089887640449438</v>
      </c>
      <c r="K30" s="89">
        <f>'Объем жил кредитов'!J30/Население!K30</f>
        <v>4.5784753363228701</v>
      </c>
      <c r="L30" s="89">
        <f>'Объем жил кредитов'!K30/Население!L30</f>
        <v>6.3630289532293984</v>
      </c>
      <c r="M30" s="89">
        <f>'Объем жил кредитов'!L30/Население!M30</f>
        <v>4.4700665188470063</v>
      </c>
      <c r="N30" s="89">
        <f>'Объем жил кредитов'!M30/Население!N30</f>
        <v>4.4427312775330394</v>
      </c>
      <c r="O30" s="89">
        <f>'Объем жил кредитов'!N30/Население!O30</f>
        <v>6.0308370044052859</v>
      </c>
      <c r="P30" s="89">
        <f>'Объем жил кредитов'!O30/Население!P30</f>
        <v>9.1780219780219774</v>
      </c>
      <c r="Q30" s="89">
        <f>'Объем жил кредитов'!P30/Население!Q30</f>
        <v>8.976241900647949</v>
      </c>
      <c r="R30" s="89">
        <f>'Объем жил кредитов'!Q30/Население!R30</f>
        <v>13.568034557235421</v>
      </c>
    </row>
    <row r="31" spans="1:18" x14ac:dyDescent="0.25">
      <c r="A31" s="85">
        <v>30</v>
      </c>
      <c r="B31" s="84" t="s">
        <v>30</v>
      </c>
      <c r="C31" s="89">
        <f>'Объем жил кредитов'!B31/Население!C31</f>
        <v>0.34693877551020408</v>
      </c>
      <c r="D31" s="90">
        <f>'Объем жил кредитов'!C31/Население!D31</f>
        <v>0.47128027681660895</v>
      </c>
      <c r="E31" s="90">
        <f>'Объем жил кредитов'!D31/Население!E31</f>
        <v>1.1804878048780487</v>
      </c>
      <c r="F31" s="90">
        <f>'Объем жил кредитов'!E31/Население!F31</f>
        <v>1.7489510489510489</v>
      </c>
      <c r="G31" s="90">
        <f>'Объем жил кредитов'!F31/Население!G31</f>
        <v>0.44647887323943664</v>
      </c>
      <c r="H31" s="89">
        <f>'Объем жил кредитов'!G31/Население!H31</f>
        <v>2.2941176470588234</v>
      </c>
      <c r="I31" s="84">
        <f t="shared" si="0"/>
        <v>5.1761599005799503</v>
      </c>
      <c r="J31" s="89">
        <f>'Объем жил кредитов'!I31/Население!J31</f>
        <v>5.7640845070422539</v>
      </c>
      <c r="K31" s="89">
        <f>'Объем жил кредитов'!J31/Население!K31</f>
        <v>8.1063829787234045</v>
      </c>
      <c r="L31" s="89">
        <f>'Объем жил кредитов'!K31/Население!L31</f>
        <v>10.523131672597865</v>
      </c>
      <c r="M31" s="89">
        <f>'Объем жил кредитов'!L31/Население!M31</f>
        <v>6.4946236559139781</v>
      </c>
      <c r="N31" s="89">
        <f>'Объем жил кредитов'!M31/Население!N31</f>
        <v>7.9496402877697845</v>
      </c>
      <c r="O31" s="89">
        <f>'Объем жил кредитов'!N31/Население!O31</f>
        <v>12.105454545454545</v>
      </c>
      <c r="P31" s="89">
        <f>'Объем жил кредитов'!O31/Население!P31</f>
        <v>19.602941176470587</v>
      </c>
      <c r="Q31" s="89">
        <f>'Объем жил кредитов'!P31/Население!Q31</f>
        <v>19.870848708487085</v>
      </c>
      <c r="R31" s="89">
        <f>'Объем жил кредитов'!Q31/Население!R31</f>
        <v>29.625925925925927</v>
      </c>
    </row>
    <row r="32" spans="1:18" x14ac:dyDescent="0.25">
      <c r="A32" s="85">
        <v>31</v>
      </c>
      <c r="B32" s="84" t="s">
        <v>31</v>
      </c>
      <c r="C32" s="112"/>
      <c r="D32" s="113"/>
      <c r="E32" s="113"/>
      <c r="F32" s="113"/>
      <c r="G32" s="113"/>
      <c r="H32" s="112"/>
      <c r="I32" s="114"/>
      <c r="J32" s="112"/>
      <c r="K32" s="112"/>
      <c r="L32" s="89">
        <f>'Объем жил кредитов'!K32/Население!L32</f>
        <v>2.6371308016877638E-2</v>
      </c>
      <c r="M32" s="89">
        <f>'Объем жил кредитов'!L32/Население!M32</f>
        <v>0.18668065023597274</v>
      </c>
      <c r="N32" s="89">
        <f>'Объем жил кредитов'!M32/Население!N32</f>
        <v>0.71443514644351469</v>
      </c>
      <c r="O32" s="89">
        <f>'Объем жил кредитов'!N32/Население!O32</f>
        <v>1.4070010449320793</v>
      </c>
      <c r="P32" s="89">
        <f>'Объем жил кредитов'!O32/Население!P32</f>
        <v>3.2426778242677825</v>
      </c>
      <c r="Q32" s="89">
        <f>'Объем жил кредитов'!P32/Население!Q32</f>
        <v>4.6297071129707117</v>
      </c>
      <c r="R32" s="89">
        <f>'Объем жил кредитов'!Q32/Население!R32</f>
        <v>8.5751840168243962</v>
      </c>
    </row>
    <row r="33" spans="1:18" x14ac:dyDescent="0.25">
      <c r="A33" s="85">
        <v>32</v>
      </c>
      <c r="B33" s="84" t="s">
        <v>32</v>
      </c>
      <c r="C33" s="89">
        <f>'Объем жил кредитов'!B33/Население!C33</f>
        <v>0.27989077433196802</v>
      </c>
      <c r="D33" s="90">
        <f>'Объем жил кредитов'!C33/Население!D33</f>
        <v>0.95843799058084767</v>
      </c>
      <c r="E33" s="90">
        <f>'Объем жил кредитов'!D33/Население!E33</f>
        <v>2.7446383062144677</v>
      </c>
      <c r="F33" s="90">
        <f>'Объем жил кредитов'!E33/Население!F33</f>
        <v>3.5872705974228816</v>
      </c>
      <c r="G33" s="90">
        <f>'Объем жил кредитов'!F33/Население!G33</f>
        <v>0.86322442629327112</v>
      </c>
      <c r="H33" s="89">
        <f>'Объем жил кредитов'!G33/Население!H33</f>
        <v>1.7921606118546844</v>
      </c>
      <c r="I33" s="84">
        <f t="shared" si="0"/>
        <v>4.2481643641999005</v>
      </c>
      <c r="J33" s="89">
        <f>'Объем жил кредитов'!I33/Население!J33</f>
        <v>4.9120075046904317</v>
      </c>
      <c r="K33" s="89">
        <f>'Объем жил кредитов'!J33/Население!K33</f>
        <v>6.684863064396743</v>
      </c>
      <c r="L33" s="89">
        <f>'Объем жил кредитов'!K33/Население!L33</f>
        <v>9.3577191052438575</v>
      </c>
      <c r="M33" s="89">
        <f>'Объем жил кредитов'!L33/Население!M33</f>
        <v>5.2499093217265145</v>
      </c>
      <c r="N33" s="89">
        <f>'Объем жил кредитов'!M33/Население!N33</f>
        <v>6.6104828576557173</v>
      </c>
      <c r="O33" s="89">
        <f>'Объем жил кредитов'!N33/Население!O33</f>
        <v>9.3508834552918074</v>
      </c>
      <c r="P33" s="89">
        <f>'Объем жил кредитов'!O33/Население!P33</f>
        <v>13.902620396600566</v>
      </c>
      <c r="Q33" s="89">
        <f>'Объем жил кредитов'!P33/Население!Q33</f>
        <v>13.969168428470754</v>
      </c>
      <c r="R33" s="89">
        <f>'Объем жил кредитов'!Q33/Население!R33</f>
        <v>21.150774102744546</v>
      </c>
    </row>
    <row r="34" spans="1:18" x14ac:dyDescent="0.25">
      <c r="A34" s="85">
        <v>33</v>
      </c>
      <c r="B34" s="84" t="s">
        <v>33</v>
      </c>
      <c r="C34" s="89">
        <f>'Объем жил кредитов'!B34/Население!C34</f>
        <v>0.24925224327018944</v>
      </c>
      <c r="D34" s="90">
        <f>'Объем жил кредитов'!C34/Население!D34</f>
        <v>1.0195171026156942</v>
      </c>
      <c r="E34" s="90">
        <f>'Объем жил кредитов'!D34/Население!E34</f>
        <v>2.3563380281690138</v>
      </c>
      <c r="F34" s="90">
        <f>'Объем жил кредитов'!E34/Население!F34</f>
        <v>2.8680319680319681</v>
      </c>
      <c r="G34" s="90">
        <f>'Объем жил кредитов'!F34/Население!G34</f>
        <v>1.0619900497512438</v>
      </c>
      <c r="H34" s="89">
        <f>'Объем жил кредитов'!G34/Население!H34</f>
        <v>2.1891089108910893</v>
      </c>
      <c r="I34" s="84">
        <f t="shared" si="0"/>
        <v>4.6787538813052905</v>
      </c>
      <c r="J34" s="89">
        <f>'Объем жил кредитов'!I34/Население!J34</f>
        <v>4.9792899408284024</v>
      </c>
      <c r="K34" s="89">
        <f>'Объем жил кредитов'!J34/Население!K34</f>
        <v>7.5103244837758112</v>
      </c>
      <c r="L34" s="89">
        <f>'Объем жил кредитов'!K34/Население!L34</f>
        <v>9.6327130264446623</v>
      </c>
      <c r="M34" s="89">
        <f>'Объем жил кредитов'!L34/Население!M34</f>
        <v>6.1275760549558393</v>
      </c>
      <c r="N34" s="89">
        <f>'Объем жил кредитов'!M34/Население!N34</f>
        <v>7.0529931305201181</v>
      </c>
      <c r="O34" s="89">
        <f>'Объем жил кредитов'!N34/Население!O34</f>
        <v>9.1799410029498532</v>
      </c>
      <c r="P34" s="89">
        <f>'Объем жил кредитов'!O34/Население!P34</f>
        <v>13.428994082840237</v>
      </c>
      <c r="Q34" s="89">
        <f>'Объем жил кредитов'!P34/Население!Q34</f>
        <v>13.934393638170974</v>
      </c>
      <c r="R34" s="89">
        <f>'Объем жил кредитов'!Q34/Население!R34</f>
        <v>19.881763527054108</v>
      </c>
    </row>
    <row r="35" spans="1:18" x14ac:dyDescent="0.25">
      <c r="A35" s="85">
        <v>34</v>
      </c>
      <c r="B35" s="84" t="s">
        <v>34</v>
      </c>
      <c r="C35" s="89">
        <f>'Объем жил кредитов'!B35/Население!C35</f>
        <v>0.25075757575757573</v>
      </c>
      <c r="D35" s="90">
        <f>'Объем жил кредитов'!C35/Население!D35</f>
        <v>1.0826251896813355</v>
      </c>
      <c r="E35" s="90">
        <f>'Объем жил кредитов'!D35/Население!E35</f>
        <v>3.2166793893129775</v>
      </c>
      <c r="F35" s="90">
        <f>'Объем жил кредитов'!E35/Население!F35</f>
        <v>3.427941740130318</v>
      </c>
      <c r="G35" s="90">
        <f>'Объем жил кредитов'!F35/Население!G35</f>
        <v>0.76960369372835713</v>
      </c>
      <c r="H35" s="89">
        <f>'Объем жил кредитов'!G35/Население!H35</f>
        <v>2.0276179516685846</v>
      </c>
      <c r="I35" s="84">
        <f t="shared" si="0"/>
        <v>4.4010209714130681</v>
      </c>
      <c r="J35" s="89">
        <f>'Объем жил кредитов'!I35/Население!J35</f>
        <v>4.7468060394889662</v>
      </c>
      <c r="K35" s="89">
        <f>'Объем жил кредитов'!J35/Население!K35</f>
        <v>6.2537952510704553</v>
      </c>
      <c r="L35" s="89">
        <f>'Объем жил кредитов'!K35/Население!L35</f>
        <v>8.7622213531482203</v>
      </c>
      <c r="M35" s="89">
        <f>'Объем жил кредитов'!L35/Население!M35</f>
        <v>5.7898664571877454</v>
      </c>
      <c r="N35" s="89">
        <f>'Объем жил кредитов'!M35/Население!N35</f>
        <v>7.1021696252465487</v>
      </c>
      <c r="O35" s="89">
        <f>'Объем жил кредитов'!N35/Население!O35</f>
        <v>9.9627132090440309</v>
      </c>
      <c r="P35" s="89">
        <f>'Объем жил кредитов'!O35/Население!P35</f>
        <v>14.216905901116428</v>
      </c>
      <c r="Q35" s="89">
        <f>'Объем жил кредитов'!P35/Население!Q35</f>
        <v>14.362906463267764</v>
      </c>
      <c r="R35" s="89">
        <f>'Объем жил кредитов'!Q35/Население!R35</f>
        <v>20.406868686868687</v>
      </c>
    </row>
    <row r="36" spans="1:18" x14ac:dyDescent="0.25">
      <c r="A36" s="85">
        <v>35</v>
      </c>
      <c r="B36" s="84" t="s">
        <v>35</v>
      </c>
      <c r="C36" s="89">
        <f>'Объем жил кредитов'!B36/Население!C36</f>
        <v>0.34579870729455214</v>
      </c>
      <c r="D36" s="90">
        <f>'Объем жил кредитов'!C36/Население!D36</f>
        <v>0.9485594795539033</v>
      </c>
      <c r="E36" s="90">
        <f>'Объем жил кредитов'!D36/Население!E36</f>
        <v>2.5616697848456504</v>
      </c>
      <c r="F36" s="90">
        <f>'Объем жил кредитов'!E36/Население!F36</f>
        <v>3.5135370152761456</v>
      </c>
      <c r="G36" s="90">
        <f>'Объем жил кредитов'!F36/Население!G36</f>
        <v>0.7952380952380953</v>
      </c>
      <c r="H36" s="89">
        <f>'Объем жил кредитов'!G36/Население!H36</f>
        <v>1.7990643274853801</v>
      </c>
      <c r="I36" s="84">
        <f t="shared" si="0"/>
        <v>4.087381205717632</v>
      </c>
      <c r="J36" s="89">
        <f>'Объем жил кредитов'!I36/Население!J36</f>
        <v>4.5766337564645037</v>
      </c>
      <c r="K36" s="89">
        <f>'Объем жил кредитов'!J36/Население!K36</f>
        <v>6.5393311351860577</v>
      </c>
      <c r="L36" s="89">
        <f>'Объем жил кредитов'!K36/Население!L36</f>
        <v>9.2765205091937766</v>
      </c>
      <c r="M36" s="89">
        <f>'Объем жил кредитов'!L36/Население!M36</f>
        <v>5.8942398489140695</v>
      </c>
      <c r="N36" s="89">
        <f>'Объем жил кредитов'!M36/Население!N36</f>
        <v>7.3103285275348622</v>
      </c>
      <c r="O36" s="89">
        <f>'Объем жил кредитов'!N36/Население!O36</f>
        <v>10.023217247097843</v>
      </c>
      <c r="P36" s="89">
        <f>'Объем жил кредитов'!O36/Население!P36</f>
        <v>14.9467047347133</v>
      </c>
      <c r="Q36" s="89">
        <f>'Объем жил кредитов'!P36/Население!Q36</f>
        <v>14.442115292996665</v>
      </c>
      <c r="R36" s="89">
        <f>'Объем жил кредитов'!Q36/Население!R36</f>
        <v>21.132472501195601</v>
      </c>
    </row>
    <row r="37" spans="1:18" x14ac:dyDescent="0.25">
      <c r="A37" s="85">
        <v>36</v>
      </c>
      <c r="B37" s="84" t="s">
        <v>36</v>
      </c>
      <c r="C37" s="112"/>
      <c r="D37" s="113"/>
      <c r="E37" s="113"/>
      <c r="F37" s="113"/>
      <c r="G37" s="113"/>
      <c r="H37" s="112"/>
      <c r="I37" s="114"/>
      <c r="J37" s="112"/>
      <c r="K37" s="112"/>
      <c r="L37" s="89">
        <f>'Объем жил кредитов'!K37/Население!L37</f>
        <v>4.0100250626566414E-2</v>
      </c>
      <c r="M37" s="89">
        <f>'Объем жил кредитов'!L37/Население!M37</f>
        <v>0.26682692307692307</v>
      </c>
      <c r="N37" s="89">
        <f>'Объем жил кредитов'!M37/Население!N37</f>
        <v>1.0932400932400932</v>
      </c>
      <c r="O37" s="89">
        <f>'Объем жил кредитов'!N37/Население!O37</f>
        <v>2.3112128146453088</v>
      </c>
      <c r="P37" s="89">
        <f>'Объем жил кредитов'!O37/Население!P37</f>
        <v>4.8532731376975171</v>
      </c>
      <c r="Q37" s="89">
        <f>'Объем жил кредитов'!P37/Население!Q37</f>
        <v>6.7060133630289531</v>
      </c>
      <c r="R37" s="89">
        <f>'Объем жил кредитов'!Q37/Население!R37</f>
        <v>10.609803921568627</v>
      </c>
    </row>
    <row r="38" spans="1:18" x14ac:dyDescent="0.25">
      <c r="A38" s="85">
        <v>37</v>
      </c>
      <c r="B38" s="84" t="s">
        <v>37</v>
      </c>
      <c r="C38" s="89">
        <f>'Объем жил кредитов'!B38/Население!C38</f>
        <v>2.3765317489788339E-2</v>
      </c>
      <c r="D38" s="90">
        <f>'Объем жил кредитов'!C38/Население!D38</f>
        <v>4.6308216584627034E-2</v>
      </c>
      <c r="E38" s="90">
        <f>'Объем жил кредитов'!D38/Население!E38</f>
        <v>0.11116961263632946</v>
      </c>
      <c r="F38" s="90">
        <f>'Объем жил кредитов'!E38/Население!F38</f>
        <v>0.26781994047619045</v>
      </c>
      <c r="G38" s="90">
        <f>'Объем жил кредитов'!F38/Население!G38</f>
        <v>0.12422566371681415</v>
      </c>
      <c r="H38" s="89">
        <f>'Объем жил кредитов'!G38/Население!H38</f>
        <v>0.21791352093342484</v>
      </c>
      <c r="I38" s="84">
        <f t="shared" si="0"/>
        <v>1.0707648447623455</v>
      </c>
      <c r="J38" s="89">
        <f>'Объем жил кредитов'!I38/Население!J38</f>
        <v>1.7057026476578412</v>
      </c>
      <c r="K38" s="89">
        <f>'Объем жил кредитов'!J38/Население!K38</f>
        <v>1.5030364372469636</v>
      </c>
      <c r="L38" s="89">
        <f>'Объем жил кредитов'!K38/Население!L38</f>
        <v>1.5759197324414715</v>
      </c>
      <c r="M38" s="89">
        <f>'Объем жил кредитов'!L38/Население!M38</f>
        <v>1.1701492537313434</v>
      </c>
      <c r="N38" s="89">
        <f>'Объем жил кредитов'!M38/Население!N38</f>
        <v>1.3763971071663379</v>
      </c>
      <c r="O38" s="89">
        <f>'Объем жил кредитов'!N38/Население!O38</f>
        <v>1.9647519582245432</v>
      </c>
      <c r="P38" s="89">
        <f>'Объем жил кредитов'!O38/Население!P38</f>
        <v>3.0946208684381076</v>
      </c>
      <c r="Q38" s="89">
        <f>'Объем жил кредитов'!P38/Население!Q38</f>
        <v>3.7730633236901316</v>
      </c>
      <c r="R38" s="89">
        <f>'Объем жил кредитов'!Q38/Население!R38</f>
        <v>5.5129269071177784</v>
      </c>
    </row>
    <row r="39" spans="1:18" x14ac:dyDescent="0.25">
      <c r="A39" s="85">
        <v>38</v>
      </c>
      <c r="B39" s="84" t="s">
        <v>38</v>
      </c>
      <c r="C39" s="89">
        <f>'Объем жил кредитов'!B39/Население!C39</f>
        <v>5.2757793764988008E-2</v>
      </c>
      <c r="D39" s="90">
        <f>'Объем жил кредитов'!C39/Население!D39</f>
        <v>6.6735112936344973E-2</v>
      </c>
      <c r="E39" s="90">
        <f>'Объем жил кредитов'!D39/Население!E39</f>
        <v>6.876267748478701E-2</v>
      </c>
      <c r="F39" s="90">
        <f>'Объем жил кредитов'!E39/Население!F39</f>
        <v>0.14829659318637275</v>
      </c>
      <c r="G39" s="90">
        <f>'Объем жил кредитов'!F39/Население!G39</f>
        <v>4.0944881889763779E-2</v>
      </c>
      <c r="H39" s="89">
        <f>'Объем жил кредитов'!G39/Население!H39</f>
        <v>1.5879518072289156</v>
      </c>
      <c r="I39" s="84">
        <f t="shared" si="0"/>
        <v>2.7180423049664721</v>
      </c>
      <c r="J39" s="89">
        <f>'Объем жил кредитов'!I39/Население!J39</f>
        <v>2.2601809954751131</v>
      </c>
      <c r="K39" s="89">
        <f>'Объем жил кредитов'!J39/Население!K39</f>
        <v>2.6953642384105962</v>
      </c>
      <c r="L39" s="89">
        <f>'Объем жил кредитов'!K39/Население!L39</f>
        <v>0.57974137931034486</v>
      </c>
      <c r="M39" s="89">
        <f>'Объем жил кредитов'!L39/Население!M39</f>
        <v>0.27061310782241016</v>
      </c>
      <c r="N39" s="89">
        <f>'Объем жил кредитов'!M39/Население!N39</f>
        <v>0.67567567567567566</v>
      </c>
      <c r="O39" s="89">
        <f>'Объем жил кредитов'!N39/Население!O39</f>
        <v>0.63319672131147542</v>
      </c>
      <c r="P39" s="89">
        <f>'Объем жил кредитов'!O39/Население!P39</f>
        <v>0.96385542168674698</v>
      </c>
      <c r="Q39" s="89">
        <f>'Объем жил кредитов'!P39/Население!Q39</f>
        <v>0.78303747534516766</v>
      </c>
      <c r="R39" s="89">
        <f>'Объем жил кредитов'!Q39/Население!R39</f>
        <v>2.1085271317829459</v>
      </c>
    </row>
    <row r="40" spans="1:18" x14ac:dyDescent="0.25">
      <c r="A40" s="85">
        <v>39</v>
      </c>
      <c r="B40" s="84" t="s">
        <v>42</v>
      </c>
      <c r="C40" s="89">
        <f>'Объем жил кредитов'!B40/Население!C40</f>
        <v>0.13856812933025403</v>
      </c>
      <c r="D40" s="90">
        <f>'Объем жил кредитов'!C40/Население!D40</f>
        <v>0.64574944071588358</v>
      </c>
      <c r="E40" s="90">
        <f>'Объем жил кредитов'!D40/Население!E40</f>
        <v>1.2749719416386083</v>
      </c>
      <c r="F40" s="90">
        <f>'Объем жил кредитов'!E40/Население!F40</f>
        <v>1.6768799102132435</v>
      </c>
      <c r="G40" s="90">
        <f>'Объем жил кредитов'!F40/Население!G40</f>
        <v>0.54360986547085199</v>
      </c>
      <c r="H40" s="89">
        <f>'Объем жил кредитов'!G40/Население!H40</f>
        <v>0.91627906976744189</v>
      </c>
      <c r="I40" s="84">
        <f t="shared" si="0"/>
        <v>3.1485258683704687</v>
      </c>
      <c r="J40" s="89">
        <f>'Объем жил кредитов'!I40/Население!J40</f>
        <v>4.4644935972060535</v>
      </c>
      <c r="K40" s="89">
        <f>'Объем жил кредитов'!J40/Население!K40</f>
        <v>4.5797438882421417</v>
      </c>
      <c r="L40" s="89">
        <f>'Объем жил кредитов'!K40/Население!L40</f>
        <v>4.1811846689895473</v>
      </c>
      <c r="M40" s="89">
        <f>'Объем жил кредитов'!L40/Население!M40</f>
        <v>2.6682134570765661</v>
      </c>
      <c r="N40" s="89">
        <f>'Объем жил кредитов'!M40/Население!N40</f>
        <v>3.4369942196531791</v>
      </c>
      <c r="O40" s="89">
        <f>'Объем жил кредитов'!N40/Население!O40</f>
        <v>4.6346820809248559</v>
      </c>
      <c r="P40" s="89">
        <f>'Объем жил кредитов'!O40/Население!P40</f>
        <v>6.6789838337182452</v>
      </c>
      <c r="Q40" s="89">
        <f>'Объем жил кредитов'!P40/Население!Q40</f>
        <v>7.1244239631336406</v>
      </c>
      <c r="R40" s="89">
        <f>'Объем жил кредитов'!Q40/Население!R40</f>
        <v>10.385500575373992</v>
      </c>
    </row>
    <row r="41" spans="1:18" x14ac:dyDescent="0.25">
      <c r="A41" s="85">
        <v>40</v>
      </c>
      <c r="B41" s="84" t="s">
        <v>39</v>
      </c>
      <c r="C41" s="89">
        <f>'Объем жил кредитов'!B41/Население!C41</f>
        <v>9.0109890109890109E-2</v>
      </c>
      <c r="D41" s="90">
        <f>'Объем жил кредитов'!C41/Население!D41</f>
        <v>0.48607888631090485</v>
      </c>
      <c r="E41" s="90">
        <f>'Объем жил кредитов'!D41/Население!E41</f>
        <v>0.71002331002331009</v>
      </c>
      <c r="F41" s="90">
        <f>'Объем жил кредитов'!E41/Население!F41</f>
        <v>0.98360655737704916</v>
      </c>
      <c r="G41" s="90">
        <f>'Объем жил кредитов'!F41/Население!G41</f>
        <v>0.35526932084309132</v>
      </c>
      <c r="H41" s="89">
        <f>'Объем жил кредитов'!G41/Население!H41</f>
        <v>0.76310272536687629</v>
      </c>
      <c r="I41" s="84">
        <f t="shared" si="0"/>
        <v>1.8520857762143339</v>
      </c>
      <c r="J41" s="89">
        <f>'Объем жил кредитов'!I41/Население!J41</f>
        <v>2.1779661016949152</v>
      </c>
      <c r="K41" s="89">
        <f>'Объем жил кредитов'!J41/Население!K41</f>
        <v>3.5553191489361704</v>
      </c>
      <c r="L41" s="89">
        <f>'Объем жил кредитов'!K41/Население!L41</f>
        <v>4.3667377398720681</v>
      </c>
      <c r="M41" s="89">
        <f>'Объем жил кредитов'!L41/Население!M41</f>
        <v>3.7628205128205128</v>
      </c>
      <c r="N41" s="89">
        <f>'Объем жил кредитов'!M41/Население!N41</f>
        <v>3.6587982832618025</v>
      </c>
      <c r="O41" s="89">
        <f>'Объем жил кредитов'!N41/Население!O41</f>
        <v>4.5901287553648071</v>
      </c>
      <c r="P41" s="89">
        <f>'Объем жил кредитов'!O41/Население!P41</f>
        <v>6.8605150214592276</v>
      </c>
      <c r="Q41" s="89">
        <f>'Объем жил кредитов'!P41/Население!Q41</f>
        <v>7.0836909871244638</v>
      </c>
      <c r="R41" s="89">
        <f>'Объем жил кредитов'!Q41/Население!R41</f>
        <v>11.012903225806452</v>
      </c>
    </row>
    <row r="42" spans="1:18" x14ac:dyDescent="0.25">
      <c r="A42" s="85">
        <v>41</v>
      </c>
      <c r="B42" s="84" t="s">
        <v>43</v>
      </c>
      <c r="C42" s="89">
        <f>'Объем жил кредитов'!B42/Население!C42</f>
        <v>0.39038189533239037</v>
      </c>
      <c r="D42" s="90">
        <f>'Объем жил кредитов'!C42/Население!D42</f>
        <v>1.1215099715099714</v>
      </c>
      <c r="E42" s="90">
        <f>'Объем жил кредитов'!D42/Население!E42</f>
        <v>1.4997146932952923</v>
      </c>
      <c r="F42" s="90">
        <f>'Объем жил кредитов'!E42/Население!F42</f>
        <v>0.60527065527065527</v>
      </c>
      <c r="G42" s="90">
        <f>'Объем жил кредитов'!F42/Население!G42</f>
        <v>0.2603988603988604</v>
      </c>
      <c r="H42" s="89">
        <f>'Объем жил кредитов'!G42/Население!H42</f>
        <v>0.73735955056179781</v>
      </c>
      <c r="I42" s="84">
        <f t="shared" si="0"/>
        <v>2.0992575675589649</v>
      </c>
      <c r="J42" s="89">
        <f>'Объем жил кредитов'!I42/Население!J42</f>
        <v>2.7237960339943341</v>
      </c>
      <c r="K42" s="89">
        <f>'Объем жил кредитов'!J42/Население!K42</f>
        <v>4.6278409090909092</v>
      </c>
      <c r="L42" s="89">
        <f>'Объем жил кредитов'!K42/Население!L42</f>
        <v>5.8186968838526916</v>
      </c>
      <c r="M42" s="89">
        <f>'Объем жил кредитов'!L42/Население!M42</f>
        <v>4.2073863636363633</v>
      </c>
      <c r="N42" s="89">
        <f>'Объем жил кредитов'!M42/Население!N42</f>
        <v>5.3485064011379801</v>
      </c>
      <c r="O42" s="89">
        <f>'Объем жил кредитов'!N42/Население!O42</f>
        <v>5.8475783475783478</v>
      </c>
      <c r="P42" s="89">
        <f>'Объем жил кредитов'!O42/Население!P42</f>
        <v>8.4878397711015729</v>
      </c>
      <c r="Q42" s="89">
        <f>'Объем жил кредитов'!P42/Население!Q42</f>
        <v>8.6987087517934008</v>
      </c>
      <c r="R42" s="89">
        <f>'Объем жил кредитов'!Q42/Население!R42</f>
        <v>12.955266955266955</v>
      </c>
    </row>
    <row r="43" spans="1:18" x14ac:dyDescent="0.25">
      <c r="A43" s="85">
        <v>42</v>
      </c>
      <c r="B43" s="84" t="s">
        <v>40</v>
      </c>
      <c r="C43" s="89">
        <f>'Объем жил кредитов'!B43/Население!C43</f>
        <v>3.472222222222222E-3</v>
      </c>
      <c r="D43" s="90">
        <f>'Объем жил кредитов'!C43/Население!D43</f>
        <v>3.1212381771281168E-2</v>
      </c>
      <c r="E43" s="90">
        <f>'Объем жил кредитов'!D43/Население!E43</f>
        <v>1.6047297297297296E-2</v>
      </c>
      <c r="F43" s="90">
        <f>'Объем жил кредитов'!E43/Население!F43</f>
        <v>3.6972704714640203E-2</v>
      </c>
      <c r="G43" s="90">
        <f>'Объем жил кредитов'!F43/Население!G43</f>
        <v>1.0008071025020177E-2</v>
      </c>
      <c r="H43" s="89">
        <f>'Объем жил кредитов'!G43/Население!H43</f>
        <v>0.93333333333333335</v>
      </c>
      <c r="I43" s="84">
        <f t="shared" si="0"/>
        <v>0.9831446540880503</v>
      </c>
      <c r="J43" s="89">
        <f>'Объем жил кредитов'!I43/Население!J43</f>
        <v>9.9622641509433965E-2</v>
      </c>
      <c r="K43" s="89">
        <f>'Объем жил кредитов'!J43/Население!K43</f>
        <v>0.15304606240713226</v>
      </c>
      <c r="L43" s="89">
        <f>'Объем жил кредитов'!K43/Население!L43</f>
        <v>0.47737226277372263</v>
      </c>
      <c r="M43" s="89">
        <f>'Объем жил кредитов'!L43/Население!M43</f>
        <v>0.45695839311334291</v>
      </c>
      <c r="N43" s="89">
        <f>'Объем жил кредитов'!M43/Население!N43</f>
        <v>0.719434628975265</v>
      </c>
      <c r="O43" s="89">
        <f>'Объем жил кредитов'!N43/Население!O43</f>
        <v>0.79958246346555328</v>
      </c>
      <c r="P43" s="89">
        <f>'Объем жил кредитов'!O43/Население!P43</f>
        <v>1.3170899107755663</v>
      </c>
      <c r="Q43" s="89">
        <f>'Объем жил кредитов'!P43/Население!Q43</f>
        <v>1.7417173766058147</v>
      </c>
      <c r="R43" s="89">
        <f>'Объем жил кредитов'!Q43/Население!R43</f>
        <v>3.6194926568758343</v>
      </c>
    </row>
    <row r="44" spans="1:18" x14ac:dyDescent="0.25">
      <c r="A44" s="85">
        <v>43</v>
      </c>
      <c r="B44" s="84" t="s">
        <v>41</v>
      </c>
      <c r="C44" s="89">
        <f>'Объем жил кредитов'!B44/Население!C44</f>
        <v>0.36730979250091006</v>
      </c>
      <c r="D44" s="90">
        <f>'Объем жил кредитов'!C44/Население!D44</f>
        <v>1.2559778597785978</v>
      </c>
      <c r="E44" s="90">
        <f>'Объем жил кредитов'!D44/Население!E44</f>
        <v>1.8840059237319511</v>
      </c>
      <c r="F44" s="90">
        <f>'Объем жил кредитов'!E44/Население!F44</f>
        <v>2.7524214417744917</v>
      </c>
      <c r="G44" s="90">
        <f>'Объем жил кредитов'!F44/Население!G44</f>
        <v>0.89612116734392322</v>
      </c>
      <c r="H44" s="89">
        <f>'Объем жил кредитов'!G44/Население!H44</f>
        <v>2.0262024407753052</v>
      </c>
      <c r="I44" s="84">
        <f t="shared" si="0"/>
        <v>4.3452637091378996</v>
      </c>
      <c r="J44" s="89">
        <f>'Объем жил кредитов'!I44/Население!J44</f>
        <v>4.6381225367251879</v>
      </c>
      <c r="K44" s="89">
        <f>'Объем жил кредитов'!J44/Население!K44</f>
        <v>5.6750178954903365</v>
      </c>
      <c r="L44" s="89">
        <f>'Объем жил кредитов'!K44/Население!L44</f>
        <v>7.57449088960343</v>
      </c>
      <c r="M44" s="89">
        <f>'Объем жил кредитов'!L44/Население!M44</f>
        <v>5.2794432548179868</v>
      </c>
      <c r="N44" s="89">
        <f>'Объем жил кредитов'!M44/Население!N44</f>
        <v>6.1604850213980029</v>
      </c>
      <c r="O44" s="89">
        <f>'Объем жил кредитов'!N44/Население!O44</f>
        <v>8.0610496251338812</v>
      </c>
      <c r="P44" s="89">
        <f>'Объем жил кредитов'!O44/Население!P44</f>
        <v>12.115921288014311</v>
      </c>
      <c r="Q44" s="89">
        <f>'Объем жил кредитов'!P44/Население!Q44</f>
        <v>11.764894755618979</v>
      </c>
      <c r="R44" s="89">
        <f>'Объем жил кредитов'!Q44/Население!R44</f>
        <v>16.666666666666668</v>
      </c>
    </row>
    <row r="45" spans="1:18" x14ac:dyDescent="0.25">
      <c r="A45" s="85">
        <v>44</v>
      </c>
      <c r="B45" s="84" t="s">
        <v>44</v>
      </c>
      <c r="C45" s="89">
        <f>'Объем жил кредитов'!B45/Население!C45</f>
        <v>1.2771765863256272</v>
      </c>
      <c r="D45" s="90">
        <f>'Объем жил кредитов'!C45/Население!D45</f>
        <v>2.6952252030519324</v>
      </c>
      <c r="E45" s="90">
        <f>'Объем жил кредитов'!D45/Население!E45</f>
        <v>3.7553690446803261</v>
      </c>
      <c r="F45" s="90">
        <f>'Объем жил кредитов'!E45/Население!F45</f>
        <v>4.1419195657537626</v>
      </c>
      <c r="G45" s="90">
        <f>'Объем жил кредитов'!F45/Население!G45</f>
        <v>0.90697559773231451</v>
      </c>
      <c r="H45" s="89">
        <f>'Объем жил кредитов'!G45/Население!H45</f>
        <v>2.4629174852652258</v>
      </c>
      <c r="I45" s="84">
        <f t="shared" si="0"/>
        <v>5.7943629420492693</v>
      </c>
      <c r="J45" s="89">
        <f>'Объем жил кредитов'!I45/Население!J45</f>
        <v>6.6628909135680869</v>
      </c>
      <c r="K45" s="89">
        <f>'Объем жил кредитов'!J45/Население!K45</f>
        <v>9.3837837837837839</v>
      </c>
      <c r="L45" s="89">
        <f>'Объем жил кредитов'!K45/Население!L45</f>
        <v>11.950638506876228</v>
      </c>
      <c r="M45" s="89">
        <f>'Объем жил кредитов'!L45/Население!M45</f>
        <v>7.8322279538197002</v>
      </c>
      <c r="N45" s="89">
        <f>'Объем жил кредитов'!M45/Население!N45</f>
        <v>10.7853454634866</v>
      </c>
      <c r="O45" s="89">
        <f>'Объем жил кредитов'!N45/Население!O45</f>
        <v>14.991139552055131</v>
      </c>
      <c r="P45" s="89">
        <f>'Объем жил кредитов'!O45/Население!P45</f>
        <v>22.888175759071835</v>
      </c>
      <c r="Q45" s="89">
        <f>'Объем жил кредитов'!P45/Население!Q45</f>
        <v>22.068845963348192</v>
      </c>
      <c r="R45" s="89">
        <f>'Объем жил кредитов'!Q45/Население!R45</f>
        <v>31.619830592924764</v>
      </c>
    </row>
    <row r="46" spans="1:18" x14ac:dyDescent="0.25">
      <c r="A46" s="85">
        <v>45</v>
      </c>
      <c r="B46" s="84" t="s">
        <v>45</v>
      </c>
      <c r="C46" s="89">
        <f>'Объем жил кредитов'!B46/Население!C46</f>
        <v>0.4838709677419355</v>
      </c>
      <c r="D46" s="90">
        <f>'Объем жил кредитов'!C46/Население!D46</f>
        <v>1.2946629213483145</v>
      </c>
      <c r="E46" s="90">
        <f>'Объем жил кредитов'!D46/Население!E46</f>
        <v>2.9775106082036773</v>
      </c>
      <c r="F46" s="90">
        <f>'Объем жил кредитов'!E46/Население!F46</f>
        <v>3.2543385490753916</v>
      </c>
      <c r="G46" s="90">
        <f>'Объем жил кредитов'!F46/Население!G46</f>
        <v>0.72657142857142865</v>
      </c>
      <c r="H46" s="89">
        <f>'Объем жил кредитов'!G46/Население!H46</f>
        <v>1.9741007194244604</v>
      </c>
      <c r="I46" s="84">
        <f t="shared" si="0"/>
        <v>4.6936659368157647</v>
      </c>
      <c r="J46" s="89">
        <f>'Объем жил кредитов'!I46/Население!J46</f>
        <v>5.4391304347826086</v>
      </c>
      <c r="K46" s="89">
        <f>'Объем жил кредитов'!J46/Население!K46</f>
        <v>7.745639534883721</v>
      </c>
      <c r="L46" s="89">
        <f>'Объем жил кредитов'!K46/Население!L46</f>
        <v>11.071324599708879</v>
      </c>
      <c r="M46" s="89">
        <f>'Объем жил кредитов'!L46/Население!M46</f>
        <v>7.6720116618075798</v>
      </c>
      <c r="N46" s="89">
        <f>'Объем жил кредитов'!M46/Население!N46</f>
        <v>10.366423357664234</v>
      </c>
      <c r="O46" s="89">
        <f>'Объем жил кредитов'!N46/Население!O46</f>
        <v>12.571847507331379</v>
      </c>
      <c r="P46" s="89">
        <f>'Объем жил кредитов'!O46/Население!P46</f>
        <v>17.933920704845814</v>
      </c>
      <c r="Q46" s="89">
        <f>'Объем жил кредитов'!P46/Население!Q46</f>
        <v>15.87039764359352</v>
      </c>
      <c r="R46" s="89">
        <f>'Объем жил кредитов'!Q46/Население!R46</f>
        <v>22.543703703703702</v>
      </c>
    </row>
    <row r="47" spans="1:18" x14ac:dyDescent="0.25">
      <c r="A47" s="85">
        <v>46</v>
      </c>
      <c r="B47" s="84" t="s">
        <v>46</v>
      </c>
      <c r="C47" s="89">
        <f>'Объем жил кредитов'!B47/Население!C47</f>
        <v>0.4</v>
      </c>
      <c r="D47" s="90">
        <f>'Объем жил кредитов'!C47/Население!D47</f>
        <v>1.0970828471411902</v>
      </c>
      <c r="E47" s="90">
        <f>'Объем жил кредитов'!D47/Население!E47</f>
        <v>2.0286556603773582</v>
      </c>
      <c r="F47" s="90">
        <f>'Объем жил кредитов'!E47/Население!F47</f>
        <v>3.4329761904761904</v>
      </c>
      <c r="G47" s="90">
        <f>'Объем жил кредитов'!F47/Население!G47</f>
        <v>1.1823529411764706</v>
      </c>
      <c r="H47" s="89">
        <f>'Объем жил кредитов'!G47/Население!H47</f>
        <v>1.9976019184652278</v>
      </c>
      <c r="I47" s="84">
        <f t="shared" si="0"/>
        <v>4.6496165704798802</v>
      </c>
      <c r="J47" s="89">
        <f>'Объем жил кредитов'!I47/Население!J47</f>
        <v>5.3040293040293038</v>
      </c>
      <c r="K47" s="89">
        <f>'Объем жил кредитов'!J47/Население!K47</f>
        <v>6.9704433497536948</v>
      </c>
      <c r="L47" s="89">
        <f>'Объем жил кредитов'!K47/Население!L47</f>
        <v>9.6205191594561192</v>
      </c>
      <c r="M47" s="89">
        <f>'Объем жил кредитов'!L47/Население!M47</f>
        <v>6.2032218091697642</v>
      </c>
      <c r="N47" s="89">
        <f>'Объем жил кредитов'!M47/Население!N47</f>
        <v>10.179455445544555</v>
      </c>
      <c r="O47" s="89">
        <f>'Объем жил кредитов'!N47/Население!O47</f>
        <v>12.926708074534162</v>
      </c>
      <c r="P47" s="89">
        <f>'Объем жил кредитов'!O47/Население!P47</f>
        <v>17.91069182389937</v>
      </c>
      <c r="Q47" s="89">
        <f>'Объем жил кредитов'!P47/Население!Q47</f>
        <v>15.546835443037974</v>
      </c>
      <c r="R47" s="89">
        <f>'Объем жил кредитов'!Q47/Население!R47</f>
        <v>22.01155327342747</v>
      </c>
    </row>
    <row r="48" spans="1:18" x14ac:dyDescent="0.25">
      <c r="A48" s="85">
        <v>47</v>
      </c>
      <c r="B48" s="84" t="s">
        <v>47</v>
      </c>
      <c r="C48" s="89">
        <f>'Объем жил кредитов'!B48/Население!C48</f>
        <v>0.50664540138224345</v>
      </c>
      <c r="D48" s="90">
        <f>'Объем жил кредитов'!C48/Население!D48</f>
        <v>2.097182349813929</v>
      </c>
      <c r="E48" s="90">
        <f>'Объем жил кредитов'!D48/Население!E48</f>
        <v>4.2546010638297869</v>
      </c>
      <c r="F48" s="90">
        <f>'Объем жил кредитов'!E48/Население!F48</f>
        <v>3.7324475152803616</v>
      </c>
      <c r="G48" s="90">
        <f>'Объем жил кредитов'!F48/Население!G48</f>
        <v>0.90673918811355803</v>
      </c>
      <c r="H48" s="89">
        <f>'Объем жил кредитов'!G48/Население!H48</f>
        <v>3.6076049643517294</v>
      </c>
      <c r="I48" s="84">
        <f t="shared" si="0"/>
        <v>7.6202946556128488</v>
      </c>
      <c r="J48" s="89">
        <f>'Объем жил кредитов'!I48/Население!J48</f>
        <v>8.0253793825222388</v>
      </c>
      <c r="K48" s="89">
        <f>'Объем жил кредитов'!J48/Население!K48</f>
        <v>10.008858780614904</v>
      </c>
      <c r="L48" s="89">
        <f>'Объем жил кредитов'!K48/Население!L48</f>
        <v>13.736186770428015</v>
      </c>
      <c r="M48" s="89">
        <f>'Объем жил кредитов'!L48/Население!M48</f>
        <v>9.8105453605582831</v>
      </c>
      <c r="N48" s="89">
        <f>'Объем жил кредитов'!M48/Население!N48</f>
        <v>12.613384813384814</v>
      </c>
      <c r="O48" s="89">
        <f>'Объем жил кредитов'!N48/Население!O48</f>
        <v>17.194351732991013</v>
      </c>
      <c r="P48" s="89">
        <f>'Объем жил кредитов'!O48/Население!P48</f>
        <v>24.562708386765838</v>
      </c>
      <c r="Q48" s="89">
        <f>'Объем жил кредитов'!P48/Население!Q48</f>
        <v>23.138355111452729</v>
      </c>
      <c r="R48" s="89">
        <f>'Объем жил кредитов'!Q48/Население!R48</f>
        <v>36.382639958911149</v>
      </c>
    </row>
    <row r="49" spans="1:18" x14ac:dyDescent="0.25">
      <c r="A49" s="85">
        <v>48</v>
      </c>
      <c r="B49" s="84" t="s">
        <v>48</v>
      </c>
      <c r="C49" s="89">
        <f>'Объем жил кредитов'!B49/Население!C49</f>
        <v>0.93531694695989653</v>
      </c>
      <c r="D49" s="90">
        <f>'Объем жил кредитов'!C49/Население!D49</f>
        <v>3.272215025906736</v>
      </c>
      <c r="E49" s="90">
        <f>'Объем жил кредитов'!D49/Население!E49</f>
        <v>4.3714564369310791</v>
      </c>
      <c r="F49" s="90">
        <f>'Объем жил кредитов'!E49/Население!F49</f>
        <v>4.1793215916503588</v>
      </c>
      <c r="G49" s="90">
        <f>'Объем жил кредитов'!F49/Население!G49</f>
        <v>2.0109221713538261</v>
      </c>
      <c r="H49" s="89">
        <f>'Объем жил кредитов'!G49/Население!H49</f>
        <v>3.5105263157894737</v>
      </c>
      <c r="I49" s="84">
        <f t="shared" si="0"/>
        <v>7.3573642604535054</v>
      </c>
      <c r="J49" s="89">
        <f>'Объем жил кредитов'!I49/Население!J49</f>
        <v>7.6936758893280635</v>
      </c>
      <c r="K49" s="89">
        <f>'Объем жил кредитов'!J49/Население!K49</f>
        <v>10.222808174027687</v>
      </c>
      <c r="L49" s="89">
        <f>'Объем жил кредитов'!K49/Население!L49</f>
        <v>13.111989459815547</v>
      </c>
      <c r="M49" s="89">
        <f>'Объем жил кредитов'!L49/Население!M49</f>
        <v>8.8536585365853657</v>
      </c>
      <c r="N49" s="89">
        <f>'Объем жил кредитов'!M49/Население!N49</f>
        <v>10.853658536585366</v>
      </c>
      <c r="O49" s="89">
        <f>'Объем жил кредитов'!N49/Население!O49</f>
        <v>13.905485789821547</v>
      </c>
      <c r="P49" s="89">
        <f>'Объем жил кредитов'!O49/Население!P49</f>
        <v>20.21632382216324</v>
      </c>
      <c r="Q49" s="89">
        <f>'Объем жил кредитов'!P49/Население!Q49</f>
        <v>19.195203197868089</v>
      </c>
      <c r="R49" s="89">
        <f>'Объем жил кредитов'!Q49/Население!R49</f>
        <v>30.531145344943067</v>
      </c>
    </row>
    <row r="50" spans="1:18" x14ac:dyDescent="0.25">
      <c r="A50" s="85">
        <v>49</v>
      </c>
      <c r="B50" s="84" t="s">
        <v>49</v>
      </c>
      <c r="C50" s="89">
        <f>'Объем жил кредитов'!B50/Население!C50</f>
        <v>0.99843627834245507</v>
      </c>
      <c r="D50" s="90">
        <f>'Объем жил кредитов'!C50/Население!D50</f>
        <v>2.5630030959752323</v>
      </c>
      <c r="E50" s="90">
        <f>'Объем жил кредитов'!D50/Население!E50</f>
        <v>3.4678071539657855</v>
      </c>
      <c r="F50" s="90">
        <f>'Объем жил кредитов'!E50/Население!F50</f>
        <v>4.9556162246489865</v>
      </c>
      <c r="G50" s="90">
        <f>'Объем жил кредитов'!F50/Население!G50</f>
        <v>1.4332290852228302</v>
      </c>
      <c r="H50" s="89">
        <f>'Объем жил кредитов'!G50/Население!H50</f>
        <v>2.7937649880095923</v>
      </c>
      <c r="I50" s="84">
        <f t="shared" si="0"/>
        <v>6.6458550201639337</v>
      </c>
      <c r="J50" s="89">
        <f>'Объем жил кредитов'!I50/Население!J50</f>
        <v>7.704180064308682</v>
      </c>
      <c r="K50" s="89">
        <f>'Объем жил кредитов'!J50/Население!K50</f>
        <v>10.879838709677419</v>
      </c>
      <c r="L50" s="89">
        <f>'Объем жил кредитов'!K50/Население!L50</f>
        <v>15.363489499192246</v>
      </c>
      <c r="M50" s="89">
        <f>'Объем жил кредитов'!L50/Население!M50</f>
        <v>9.6491511721907841</v>
      </c>
      <c r="N50" s="89">
        <f>'Объем жил кредитов'!M50/Население!N50</f>
        <v>12.380258899676376</v>
      </c>
      <c r="O50" s="89">
        <f>'Объем жил кредитов'!N50/Население!O50</f>
        <v>17.366368805848904</v>
      </c>
      <c r="P50" s="89">
        <f>'Объем жил кредитов'!O50/Население!P50</f>
        <v>23.92886345053148</v>
      </c>
      <c r="Q50" s="89">
        <f>'Объем жил кредитов'!P50/Население!Q50</f>
        <v>21.651888341543515</v>
      </c>
      <c r="R50" s="89">
        <f>'Объем жил кредитов'!Q50/Население!R50</f>
        <v>33.232615894039732</v>
      </c>
    </row>
    <row r="51" spans="1:18" x14ac:dyDescent="0.25">
      <c r="A51" s="85">
        <v>50</v>
      </c>
      <c r="B51" s="84" t="s">
        <v>50</v>
      </c>
      <c r="C51" s="89">
        <f>'Объем жил кредитов'!B51/Население!C51</f>
        <v>0.81978668628172124</v>
      </c>
      <c r="D51" s="90">
        <f>'Объем жил кредитов'!C51/Население!D51</f>
        <v>2.5232532751091701</v>
      </c>
      <c r="E51" s="90">
        <f>'Объем жил кредитов'!D51/Население!E51</f>
        <v>5.196960820212376</v>
      </c>
      <c r="F51" s="90">
        <f>'Объем жил кредитов'!E51/Население!F51</f>
        <v>6.531199411331861</v>
      </c>
      <c r="G51" s="90">
        <f>'Объем жил кредитов'!F51/Население!G51</f>
        <v>1.9679468242245199</v>
      </c>
      <c r="H51" s="89">
        <f>'Объем жил кредитов'!G51/Население!H51</f>
        <v>3.665148063781321</v>
      </c>
      <c r="I51" s="84">
        <f t="shared" si="0"/>
        <v>7.6391419893697794</v>
      </c>
      <c r="J51" s="89">
        <f>'Объем жил кредитов'!I51/Население!J51</f>
        <v>7.9479878511769169</v>
      </c>
      <c r="K51" s="89">
        <f>'Объем жил кредитов'!J51/Население!K51</f>
        <v>10.688543247344461</v>
      </c>
      <c r="L51" s="89">
        <f>'Объем жил кредитов'!K51/Население!L51</f>
        <v>13.326128175957528</v>
      </c>
      <c r="M51" s="89">
        <f>'Объем жил кредитов'!L51/Население!M51</f>
        <v>8.1837509491268037</v>
      </c>
      <c r="N51" s="89">
        <f>'Объем жил кредитов'!M51/Население!N51</f>
        <v>9.9661854103343472</v>
      </c>
      <c r="O51" s="89">
        <f>'Объем жил кредитов'!N51/Население!O51</f>
        <v>13.555470834921845</v>
      </c>
      <c r="P51" s="89">
        <f>'Объем жил кредитов'!O51/Население!P51</f>
        <v>19.996553044810419</v>
      </c>
      <c r="Q51" s="89">
        <f>'Объем жил кредитов'!P51/Население!Q51</f>
        <v>19.897652943439784</v>
      </c>
      <c r="R51" s="89">
        <f>'Объем жил кредитов'!Q51/Население!R51</f>
        <v>30.016285381930981</v>
      </c>
    </row>
    <row r="52" spans="1:18" x14ac:dyDescent="0.25">
      <c r="A52" s="85">
        <v>51</v>
      </c>
      <c r="B52" s="84" t="s">
        <v>51</v>
      </c>
      <c r="C52" s="89">
        <f>'Объем жил кредитов'!B52/Население!C52</f>
        <v>0.51656095842142358</v>
      </c>
      <c r="D52" s="90">
        <f>'Объем жил кредитов'!C52/Население!D52</f>
        <v>1.8948024948024946</v>
      </c>
      <c r="E52" s="90">
        <f>'Объем жил кредитов'!D52/Население!E52</f>
        <v>2.9843027330063072</v>
      </c>
      <c r="F52" s="90">
        <f>'Объем жил кредитов'!E52/Население!F52</f>
        <v>3.3215145081387121</v>
      </c>
      <c r="G52" s="90">
        <f>'Объем жил кредитов'!F52/Население!G52</f>
        <v>1.3718772305496074</v>
      </c>
      <c r="H52" s="89">
        <f>'Объем жил кредитов'!G52/Население!H52</f>
        <v>3.1486183719193428</v>
      </c>
      <c r="I52" s="84">
        <f t="shared" si="0"/>
        <v>6.4424015409868183</v>
      </c>
      <c r="J52" s="89">
        <f>'Объем жил кредитов'!I52/Население!J52</f>
        <v>6.587566338134951</v>
      </c>
      <c r="K52" s="89">
        <f>'Объем жил кредитов'!J52/Население!K52</f>
        <v>8.9778794813119749</v>
      </c>
      <c r="L52" s="89">
        <f>'Объем жил кредитов'!K52/Население!L52</f>
        <v>12.419478527607362</v>
      </c>
      <c r="M52" s="89">
        <f>'Объем жил кредитов'!L52/Население!M52</f>
        <v>7.7525057825751738</v>
      </c>
      <c r="N52" s="89">
        <f>'Объем жил кредитов'!M52/Население!N52</f>
        <v>10.01547987616099</v>
      </c>
      <c r="O52" s="89">
        <f>'Объем жил кредитов'!N52/Население!O52</f>
        <v>14.399064692127826</v>
      </c>
      <c r="P52" s="89">
        <f>'Объем жил кредитов'!O52/Население!P52</f>
        <v>20.199685534591193</v>
      </c>
      <c r="Q52" s="89">
        <f>'Объем жил кредитов'!P52/Население!Q52</f>
        <v>17.853523357086303</v>
      </c>
      <c r="R52" s="89">
        <f>'Объем жил кредитов'!Q52/Население!R52</f>
        <v>26.798400000000001</v>
      </c>
    </row>
    <row r="53" spans="1:18" x14ac:dyDescent="0.25">
      <c r="A53" s="85">
        <v>52</v>
      </c>
      <c r="B53" s="84" t="s">
        <v>52</v>
      </c>
      <c r="C53" s="89">
        <f>'Объем жил кредитов'!B53/Население!C53</f>
        <v>0.71060339777387227</v>
      </c>
      <c r="D53" s="90">
        <f>'Объем жил кредитов'!C53/Население!D53</f>
        <v>1.8473761360304894</v>
      </c>
      <c r="E53" s="90">
        <f>'Объем жил кредитов'!D53/Население!E53</f>
        <v>3.5602188701567585</v>
      </c>
      <c r="F53" s="90">
        <f>'Объем жил кредитов'!E53/Население!F53</f>
        <v>4.864583333333333</v>
      </c>
      <c r="G53" s="90">
        <f>'Объем жил кредитов'!F53/Население!G53</f>
        <v>1.0569589943130799</v>
      </c>
      <c r="H53" s="89">
        <f>'Объем жил кредитов'!G53/Население!H53</f>
        <v>2.3425030229746069</v>
      </c>
      <c r="I53" s="84">
        <f t="shared" si="0"/>
        <v>5.3636276430353966</v>
      </c>
      <c r="J53" s="89">
        <f>'Объем жил кредитов'!I53/Население!J53</f>
        <v>6.0422492401215804</v>
      </c>
      <c r="K53" s="89">
        <f>'Объем жил кредитов'!J53/Население!K53</f>
        <v>8.6345626333434922</v>
      </c>
      <c r="L53" s="89">
        <f>'Объем жил кредитов'!K53/Население!L53</f>
        <v>11.534250764525995</v>
      </c>
      <c r="M53" s="89">
        <f>'Объем жил кредитов'!L53/Население!M53</f>
        <v>7.2601226993865033</v>
      </c>
      <c r="N53" s="89">
        <f>'Объем жил кредитов'!M53/Население!N53</f>
        <v>9.4276477832512313</v>
      </c>
      <c r="O53" s="89">
        <f>'Объем жил кредитов'!N53/Население!O53</f>
        <v>12.608037094281299</v>
      </c>
      <c r="P53" s="89">
        <f>'Объем жил кредитов'!O53/Население!P53</f>
        <v>17.98786936236392</v>
      </c>
      <c r="Q53" s="89">
        <f>'Объем жил кредитов'!P53/Население!Q53</f>
        <v>16.369341242585076</v>
      </c>
      <c r="R53" s="89">
        <f>'Объем жил кредитов'!Q53/Население!R53</f>
        <v>25.120868744098207</v>
      </c>
    </row>
    <row r="54" spans="1:18" x14ac:dyDescent="0.25">
      <c r="A54" s="85">
        <v>53</v>
      </c>
      <c r="B54" s="84" t="s">
        <v>53</v>
      </c>
      <c r="C54" s="89">
        <f>'Объем жил кредитов'!B54/Население!C54</f>
        <v>0.58098423315814618</v>
      </c>
      <c r="D54" s="90">
        <f>'Объем жил кредитов'!C54/Население!D54</f>
        <v>1.6456033676333022</v>
      </c>
      <c r="E54" s="90">
        <f>'Объем жил кредитов'!D54/Население!E54</f>
        <v>3.3907337723424269</v>
      </c>
      <c r="F54" s="90">
        <f>'Объем жил кредитов'!E54/Население!F54</f>
        <v>3.4565832940066068</v>
      </c>
      <c r="G54" s="90">
        <f>'Объем жил кредитов'!F54/Население!G54</f>
        <v>1.1198390151515152</v>
      </c>
      <c r="H54" s="89">
        <f>'Объем жил кредитов'!G54/Население!H54</f>
        <v>3.0236220472440944</v>
      </c>
      <c r="I54" s="84">
        <f t="shared" si="0"/>
        <v>6.4345843488313959</v>
      </c>
      <c r="J54" s="89">
        <f>'Объем жил кредитов'!I54/Население!J54</f>
        <v>6.8219246031746028</v>
      </c>
      <c r="K54" s="89">
        <f>'Объем жил кредитов'!J54/Население!K54</f>
        <v>8.6834245893479345</v>
      </c>
      <c r="L54" s="89">
        <f>'Объем жил кредитов'!K54/Население!L54</f>
        <v>11.894552723638181</v>
      </c>
      <c r="M54" s="89">
        <f>'Объем жил кредитов'!L54/Население!M54</f>
        <v>8.1453634085213036</v>
      </c>
      <c r="N54" s="89">
        <f>'Объем жил кредитов'!M54/Население!N54</f>
        <v>9.3989949748743715</v>
      </c>
      <c r="O54" s="89">
        <f>'Объем жил кредитов'!N54/Население!O54</f>
        <v>12.696157735085945</v>
      </c>
      <c r="P54" s="89">
        <f>'Объем жил кредитов'!O54/Население!P54</f>
        <v>19.725420275089149</v>
      </c>
      <c r="Q54" s="89">
        <f>'Объем жил кредитов'!P54/Население!Q54</f>
        <v>18.457332652018394</v>
      </c>
      <c r="R54" s="89">
        <f>'Объем жил кредитов'!Q54/Население!R54</f>
        <v>26.669583118888315</v>
      </c>
    </row>
    <row r="55" spans="1:18" x14ac:dyDescent="0.25">
      <c r="A55" s="85">
        <v>54</v>
      </c>
      <c r="B55" s="84" t="s">
        <v>54</v>
      </c>
      <c r="C55" s="89">
        <f>'Объем жил кредитов'!B55/Население!C55</f>
        <v>0.2380281690140845</v>
      </c>
      <c r="D55" s="90">
        <f>'Объем жил кредитов'!C55/Население!D55</f>
        <v>0.72130681818181819</v>
      </c>
      <c r="E55" s="90">
        <f>'Объем жил кредитов'!D55/Население!E55</f>
        <v>1.9021489971346706</v>
      </c>
      <c r="F55" s="90">
        <f>'Объем жил кредитов'!E55/Население!F55</f>
        <v>2.8042507204610954</v>
      </c>
      <c r="G55" s="90">
        <f>'Объем жил кредитов'!F55/Население!G55</f>
        <v>0.7269565217391305</v>
      </c>
      <c r="H55" s="89">
        <f>'Объем жил кредитов'!G55/Население!H55</f>
        <v>1.9508670520231215</v>
      </c>
      <c r="I55" s="84">
        <f t="shared" si="0"/>
        <v>4.3153666867930269</v>
      </c>
      <c r="J55" s="89">
        <f>'Объем жил кредитов'!I55/Население!J55</f>
        <v>4.72899926953981</v>
      </c>
      <c r="K55" s="89">
        <f>'Объем жил кредитов'!J55/Население!K55</f>
        <v>6.5951506245407785</v>
      </c>
      <c r="L55" s="89">
        <f>'Объем жил кредитов'!K55/Население!L55</f>
        <v>9.4660766961651923</v>
      </c>
      <c r="M55" s="89">
        <f>'Объем жил кредитов'!L55/Население!M55</f>
        <v>5.9162342475908076</v>
      </c>
      <c r="N55" s="89">
        <f>'Объем жил кредитов'!M55/Население!N55</f>
        <v>7.3226527570789868</v>
      </c>
      <c r="O55" s="89">
        <f>'Объем жил кредитов'!N55/Население!O55</f>
        <v>10.438438438438439</v>
      </c>
      <c r="P55" s="89">
        <f>'Объем жил кредитов'!O55/Население!P55</f>
        <v>15.361153262518968</v>
      </c>
      <c r="Q55" s="89">
        <f>'Объем жил кредитов'!P55/Население!Q55</f>
        <v>15.038284839203675</v>
      </c>
      <c r="R55" s="89">
        <f>'Объем жил кредитов'!Q55/Население!R55</f>
        <v>24.10224632068164</v>
      </c>
    </row>
    <row r="56" spans="1:18" x14ac:dyDescent="0.25">
      <c r="A56" s="85">
        <v>55</v>
      </c>
      <c r="B56" s="84" t="s">
        <v>55</v>
      </c>
      <c r="C56" s="89">
        <f>'Объем жил кредитов'!B56/Население!C56</f>
        <v>0.88468691878487293</v>
      </c>
      <c r="D56" s="90">
        <f>'Объем жил кредитов'!C56/Население!D56</f>
        <v>2.5633740984634681</v>
      </c>
      <c r="E56" s="90">
        <f>'Объем жил кредитов'!D56/Население!E56</f>
        <v>5.9020138451856505</v>
      </c>
      <c r="F56" s="90">
        <f>'Объем жил кредитов'!E56/Население!F56</f>
        <v>5.9786952410967542</v>
      </c>
      <c r="G56" s="90">
        <f>'Объем жил кредитов'!F56/Население!G56</f>
        <v>1.2917691579943236</v>
      </c>
      <c r="H56" s="89">
        <f>'Объем жил кредитов'!G56/Население!H56</f>
        <v>2.9975116640746502</v>
      </c>
      <c r="I56" s="84">
        <f t="shared" si="0"/>
        <v>6.8163725417590575</v>
      </c>
      <c r="J56" s="89">
        <f>'Объем жил кредитов'!I56/Население!J56</f>
        <v>7.6377217553688146</v>
      </c>
      <c r="K56" s="89">
        <f>'Объем жил кредитов'!J56/Население!K56</f>
        <v>9.6265960759887879</v>
      </c>
      <c r="L56" s="89">
        <f>'Объем жил кредитов'!K56/Население!L56</f>
        <v>12.816993464052288</v>
      </c>
      <c r="M56" s="89">
        <f>'Объем жил кредитов'!L56/Население!M56</f>
        <v>8.1300686213349973</v>
      </c>
      <c r="N56" s="89">
        <f>'Объем жил кредитов'!M56/Население!N56</f>
        <v>9.5288791757727136</v>
      </c>
      <c r="O56" s="89">
        <f>'Объем жил кредитов'!N56/Население!O56</f>
        <v>12.735671782023175</v>
      </c>
      <c r="P56" s="89">
        <f>'Объем жил кредитов'!O56/Население!P56</f>
        <v>18.364121897580898</v>
      </c>
      <c r="Q56" s="89">
        <f>'Объем жил кредитов'!P56/Население!Q56</f>
        <v>17.026423403586033</v>
      </c>
      <c r="R56" s="89">
        <f>'Объем жил кредитов'!Q56/Население!R56</f>
        <v>24.349714648065948</v>
      </c>
    </row>
    <row r="57" spans="1:18" x14ac:dyDescent="0.25">
      <c r="A57" s="85">
        <v>56</v>
      </c>
      <c r="B57" s="84" t="s">
        <v>56</v>
      </c>
      <c r="C57" s="89">
        <f>'Объем жил кредитов'!B57/Население!C57</f>
        <v>0.24006175221922038</v>
      </c>
      <c r="D57" s="90">
        <f>'Объем жил кредитов'!C57/Население!D57</f>
        <v>1.0213190184049079</v>
      </c>
      <c r="E57" s="90">
        <f>'Объем жил кредитов'!D57/Население!E57</f>
        <v>2.7292485549132945</v>
      </c>
      <c r="F57" s="90">
        <f>'Объем жил кредитов'!E57/Население!F57</f>
        <v>2.6453560371517031</v>
      </c>
      <c r="G57" s="90">
        <f>'Объем жил кредитов'!F57/Население!G57</f>
        <v>0.7488534784298484</v>
      </c>
      <c r="H57" s="89">
        <f>'Объем жил кредитов'!G57/Население!H57</f>
        <v>2.0944819372766972</v>
      </c>
      <c r="I57" s="84">
        <f t="shared" si="0"/>
        <v>4.6402270431496495</v>
      </c>
      <c r="J57" s="89">
        <f>'Объем жил кредитов'!I57/Население!J57</f>
        <v>5.0914902117459047</v>
      </c>
      <c r="K57" s="89">
        <f>'Объем жил кредитов'!J57/Население!K57</f>
        <v>7.0340408490188224</v>
      </c>
      <c r="L57" s="89">
        <f>'Объем жил кредитов'!K57/Население!L57</f>
        <v>9.3481748896911352</v>
      </c>
      <c r="M57" s="89">
        <f>'Объем жил кредитов'!L57/Население!M57</f>
        <v>5.759646302250804</v>
      </c>
      <c r="N57" s="89">
        <f>'Объем жил кредитов'!M57/Население!N57</f>
        <v>7.2206534893102061</v>
      </c>
      <c r="O57" s="89">
        <f>'Объем жил кредитов'!N57/Население!O57</f>
        <v>10.009338205440519</v>
      </c>
      <c r="P57" s="89">
        <f>'Объем жил кредитов'!O57/Население!P57</f>
        <v>15.02744776730848</v>
      </c>
      <c r="Q57" s="89">
        <f>'Объем жил кредитов'!P57/Население!Q57</f>
        <v>14.453344343517754</v>
      </c>
      <c r="R57" s="89">
        <f>'Объем жил кредитов'!Q57/Население!R57</f>
        <v>21.412943632567849</v>
      </c>
    </row>
    <row r="58" spans="1:18" x14ac:dyDescent="0.25">
      <c r="A58" s="85">
        <v>57</v>
      </c>
      <c r="B58" s="84" t="s">
        <v>57</v>
      </c>
      <c r="C58" s="89">
        <f>'Объем жил кредитов'!B58/Население!C58</f>
        <v>0.25671641791044775</v>
      </c>
      <c r="D58" s="90">
        <f>'Объем жил кредитов'!C58/Население!D58</f>
        <v>1.0570359281437125</v>
      </c>
      <c r="E58" s="90">
        <f>'Объем жил кредитов'!D58/Население!E58</f>
        <v>3.0568078668683811</v>
      </c>
      <c r="F58" s="90">
        <f>'Объем жил кредитов'!E58/Население!F58</f>
        <v>3.2401676829268293</v>
      </c>
      <c r="G58" s="90">
        <f>'Объем жил кредитов'!F58/Население!G58</f>
        <v>0.94383141762452116</v>
      </c>
      <c r="H58" s="89">
        <f>'Объем жил кредитов'!G58/Население!H58</f>
        <v>2.9441860465116281</v>
      </c>
      <c r="I58" s="84">
        <f t="shared" si="0"/>
        <v>6.7083147749260714</v>
      </c>
      <c r="J58" s="89">
        <f>'Объем жил кредитов'!I58/Население!J58</f>
        <v>7.5282574568288858</v>
      </c>
      <c r="K58" s="89">
        <f>'Объем жил кредитов'!J58/Население!K58</f>
        <v>10.484227129337539</v>
      </c>
      <c r="L58" s="89">
        <f>'Объем жил кредитов'!K58/Население!L58</f>
        <v>13.412044374009509</v>
      </c>
      <c r="M58" s="89">
        <f>'Объем жил кредитов'!L58/Население!M58</f>
        <v>8.1351351351351351</v>
      </c>
      <c r="N58" s="89">
        <f>'Объем жил кредитов'!M58/Население!N58</f>
        <v>10.426975259377494</v>
      </c>
      <c r="O58" s="89">
        <f>'Объем жил кредитов'!N58/Население!O58</f>
        <v>13.307939053728949</v>
      </c>
      <c r="P58" s="89">
        <f>'Объем жил кредитов'!O58/Население!P58</f>
        <v>17.714054927302101</v>
      </c>
      <c r="Q58" s="89">
        <f>'Объем жил кредитов'!P58/Население!Q58</f>
        <v>15.357723577235772</v>
      </c>
      <c r="R58" s="89">
        <f>'Объем жил кредитов'!Q58/Население!R58</f>
        <v>23.172413793103448</v>
      </c>
    </row>
    <row r="59" spans="1:18" x14ac:dyDescent="0.25">
      <c r="A59" s="85">
        <v>58</v>
      </c>
      <c r="B59" s="84" t="s">
        <v>58</v>
      </c>
      <c r="C59" s="89">
        <f>'Объем жил кредитов'!B59/Население!C59</f>
        <v>0.22972972972972974</v>
      </c>
      <c r="D59" s="90">
        <f>'Объем жил кредитов'!C59/Население!D59</f>
        <v>1.5641836734693879</v>
      </c>
      <c r="E59" s="90">
        <f>'Объем жил кредитов'!D59/Население!E59</f>
        <v>2.9176470588235293</v>
      </c>
      <c r="F59" s="90">
        <f>'Объем жил кредитов'!E59/Население!F59</f>
        <v>3.3116666666666665</v>
      </c>
      <c r="G59" s="90">
        <f>'Объем жил кредитов'!F59/Население!G59</f>
        <v>1.1972717733473242</v>
      </c>
      <c r="H59" s="89">
        <f>'Объем жил кредитов'!G59/Население!H59</f>
        <v>2.3014301430143016</v>
      </c>
      <c r="I59" s="84">
        <f t="shared" si="0"/>
        <v>5.2286310459488394</v>
      </c>
      <c r="J59" s="89">
        <f>'Объем жил кредитов'!I59/Население!J59</f>
        <v>5.8544018058690748</v>
      </c>
      <c r="K59" s="89">
        <f>'Объем жил кредитов'!J59/Население!K59</f>
        <v>7.490307867730901</v>
      </c>
      <c r="L59" s="89">
        <f>'Объем жил кредитов'!K59/Население!L59</f>
        <v>9.4011494252873558</v>
      </c>
      <c r="M59" s="89">
        <f>'Объем жил кредитов'!L59/Население!M59</f>
        <v>14.640371229698376</v>
      </c>
      <c r="N59" s="89">
        <f>'Объем жил кредитов'!M59/Население!N59</f>
        <v>7.033957845433255</v>
      </c>
      <c r="O59" s="89">
        <f>'Объем жил кредитов'!N59/Население!O59</f>
        <v>10.16193853427896</v>
      </c>
      <c r="P59" s="89">
        <f>'Объем жил кредитов'!O59/Население!P59</f>
        <v>15.526946107784431</v>
      </c>
      <c r="Q59" s="89">
        <f>'Объем жил кредитов'!P59/Население!Q59</f>
        <v>15.557436517533253</v>
      </c>
      <c r="R59" s="89">
        <f>'Объем жил кредитов'!Q59/Население!R59</f>
        <v>22.356532356532355</v>
      </c>
    </row>
    <row r="60" spans="1:18" x14ac:dyDescent="0.25">
      <c r="A60" s="85">
        <v>59</v>
      </c>
      <c r="B60" s="84" t="s">
        <v>59</v>
      </c>
      <c r="C60" s="89">
        <f>'Объем жил кредитов'!B60/Население!C60</f>
        <v>0.57805325987144174</v>
      </c>
      <c r="D60" s="90">
        <f>'Объем жил кредитов'!C60/Население!D60</f>
        <v>2.4221768707482991</v>
      </c>
      <c r="E60" s="90">
        <f>'Объем жил кредитов'!D60/Население!E60</f>
        <v>4.5620000000000003</v>
      </c>
      <c r="F60" s="90">
        <f>'Объем жил кредитов'!E60/Население!F60</f>
        <v>5.3610782529572338</v>
      </c>
      <c r="G60" s="90">
        <f>'Объем жил кредитов'!F60/Население!G60</f>
        <v>0.99401592718998855</v>
      </c>
      <c r="H60" s="89">
        <f>'Объем жил кредитов'!G60/Население!H60</f>
        <v>2.9890621363742147</v>
      </c>
      <c r="I60" s="84">
        <f t="shared" si="0"/>
        <v>7.2205264551879313</v>
      </c>
      <c r="J60" s="89">
        <f>'Объем жил кредитов'!I60/Население!J60</f>
        <v>8.4629286376274333</v>
      </c>
      <c r="K60" s="89">
        <f>'Объем жил кредитов'!J60/Население!K60</f>
        <v>10.945383013191391</v>
      </c>
      <c r="L60" s="89">
        <f>'Объем жил кредитов'!K60/Население!L60</f>
        <v>13.826900855095909</v>
      </c>
      <c r="M60" s="89">
        <f>'Объем жил кредитов'!L60/Население!M60</f>
        <v>8.1806004618937642</v>
      </c>
      <c r="N60" s="89">
        <f>'Объем жил кредитов'!M60/Население!N60</f>
        <v>10.22984522984523</v>
      </c>
      <c r="O60" s="89">
        <f>'Объем жил кредитов'!N60/Население!O60</f>
        <v>15.140809248554913</v>
      </c>
      <c r="P60" s="89">
        <f>'Объем жил кредитов'!O60/Население!P60</f>
        <v>22.753475440222427</v>
      </c>
      <c r="Q60" s="89">
        <f>'Объем жил кредитов'!P60/Население!Q60</f>
        <v>21.575968452795173</v>
      </c>
      <c r="R60" s="89">
        <f>'Объем жил кредитов'!Q60/Население!R60</f>
        <v>32.840326340326342</v>
      </c>
    </row>
    <row r="61" spans="1:18" x14ac:dyDescent="0.25">
      <c r="A61" s="85">
        <v>60</v>
      </c>
      <c r="B61" s="84" t="s">
        <v>60</v>
      </c>
      <c r="C61" s="89">
        <f>'Объем жил кредитов'!B61/Население!C61</f>
        <v>1.8545840922890102</v>
      </c>
      <c r="D61" s="90">
        <f>'Объем жил кредитов'!C61/Население!D61</f>
        <v>7.4332229912729453</v>
      </c>
      <c r="E61" s="90">
        <f>'Объем жил кредитов'!D61/Население!E61</f>
        <v>11.434349775784753</v>
      </c>
      <c r="F61" s="90">
        <f>'Объем жил кредитов'!E61/Население!F61</f>
        <v>13.258209839952578</v>
      </c>
      <c r="G61" s="90">
        <f>'Объем жил кредитов'!F61/Население!G61</f>
        <v>3.5776404824948513</v>
      </c>
      <c r="H61" s="89">
        <f>'Объем жил кредитов'!G61/Население!H61</f>
        <v>10.608810572687224</v>
      </c>
      <c r="I61" s="84">
        <f t="shared" si="0"/>
        <v>20.553555659557063</v>
      </c>
      <c r="J61" s="89">
        <f>'Объем жил кредитов'!I61/Население!J61</f>
        <v>19.889490173739674</v>
      </c>
      <c r="K61" s="89">
        <f>'Объем жил кредитов'!J61/Население!K61</f>
        <v>24.441342357586013</v>
      </c>
      <c r="L61" s="89">
        <f>'Объем жил кредитов'!K61/Население!L61</f>
        <v>26.325328120636694</v>
      </c>
      <c r="M61" s="89">
        <f>'Объем жил кредитов'!L61/Население!M61</f>
        <v>17.360995850622405</v>
      </c>
      <c r="N61" s="89">
        <f>'Объем жил кредитов'!M61/Население!N61</f>
        <v>20.131693989071039</v>
      </c>
      <c r="O61" s="89">
        <f>'Объем жил кредитов'!N61/Население!O61</f>
        <v>27.535752979414951</v>
      </c>
      <c r="P61" s="89">
        <f>'Объем жил кредитов'!O61/Население!P61</f>
        <v>38.249261348374965</v>
      </c>
      <c r="Q61" s="89">
        <f>'Объем жил кредитов'!P61/Население!Q61</f>
        <v>35.368112856002128</v>
      </c>
      <c r="R61" s="89">
        <f>'Объем жил кредитов'!Q61/Население!R61</f>
        <v>51.805452620434089</v>
      </c>
    </row>
    <row r="62" spans="1:18" x14ac:dyDescent="0.25">
      <c r="A62" s="85">
        <v>61</v>
      </c>
      <c r="B62" s="84" t="s">
        <v>61</v>
      </c>
      <c r="C62" s="89">
        <f>'Объем жил кредитов'!B62/Население!C62</f>
        <v>0.65197611600796135</v>
      </c>
      <c r="D62" s="90">
        <f>'Объем жил кредитов'!C62/Население!D62</f>
        <v>2.2168790710846786</v>
      </c>
      <c r="E62" s="90">
        <f>'Объем жил кредитов'!D62/Население!E62</f>
        <v>5.9517202160932614</v>
      </c>
      <c r="F62" s="90">
        <f>'Объем жил кредитов'!E62/Население!F62</f>
        <v>5.8613500427228713</v>
      </c>
      <c r="G62" s="90">
        <f>'Объем жил кредитов'!F62/Население!G62</f>
        <v>1.2754846066134549</v>
      </c>
      <c r="H62" s="89">
        <f>'Объем жил кредитов'!G62/Население!H62</f>
        <v>3.369102416570771</v>
      </c>
      <c r="I62" s="84">
        <f t="shared" si="0"/>
        <v>7.3550421583211296</v>
      </c>
      <c r="J62" s="89">
        <f>'Объем жил кредитов'!I62/Население!J62</f>
        <v>7.9718794835007172</v>
      </c>
      <c r="K62" s="89">
        <f>'Объем жил кредитов'!J62/Население!K62</f>
        <v>10.671346704871061</v>
      </c>
      <c r="L62" s="89">
        <f>'Объем жил кредитов'!K62/Население!L62</f>
        <v>12.178959405374499</v>
      </c>
      <c r="M62" s="89">
        <f>'Объем жил кредитов'!L62/Население!M62</f>
        <v>7.6535275635532702</v>
      </c>
      <c r="N62" s="89">
        <f>'Объем жил кредитов'!M62/Население!N62</f>
        <v>9.1730439748715025</v>
      </c>
      <c r="O62" s="89">
        <f>'Объем жил кредитов'!N62/Население!O62</f>
        <v>12.239335814486115</v>
      </c>
      <c r="P62" s="89">
        <f>'Объем жил кредитов'!O62/Население!P62</f>
        <v>17.21777905638665</v>
      </c>
      <c r="Q62" s="89">
        <f>'Объем жил кредитов'!P62/Население!Q62</f>
        <v>16.754183496826311</v>
      </c>
      <c r="R62" s="89">
        <f>'Объем жил кредитов'!Q62/Население!R62</f>
        <v>24.372930583793202</v>
      </c>
    </row>
    <row r="63" spans="1:18" x14ac:dyDescent="0.25">
      <c r="A63" s="85">
        <v>62</v>
      </c>
      <c r="B63" s="84" t="s">
        <v>62</v>
      </c>
      <c r="C63" s="89">
        <f>'Объем жил кредитов'!B63/Население!C63</f>
        <v>4.9504950495049507E-2</v>
      </c>
      <c r="D63" s="90">
        <f>'Объем жил кредитов'!C63/Население!D63</f>
        <v>0.3926470588235294</v>
      </c>
      <c r="E63" s="90">
        <f>'Объем жил кредитов'!D63/Население!E63</f>
        <v>1.8043902439024389</v>
      </c>
      <c r="F63" s="90">
        <f>'Объем жил кредитов'!E63/Население!F63</f>
        <v>1.9371980676328502</v>
      </c>
      <c r="G63" s="90">
        <f>'Объем жил кредитов'!F63/Население!G63</f>
        <v>0.64066985645933017</v>
      </c>
      <c r="H63" s="89">
        <f>'Объем жил кредитов'!G63/Население!H63</f>
        <v>4.0193236714975846</v>
      </c>
      <c r="I63" s="84">
        <f t="shared" si="0"/>
        <v>5.0288474810213941</v>
      </c>
      <c r="J63" s="89">
        <f>'Объем жил кредитов'!I63/Население!J63</f>
        <v>2.019047619047619</v>
      </c>
      <c r="K63" s="89">
        <f>'Объем жил кредитов'!J63/Население!K63</f>
        <v>3.1327014218009479</v>
      </c>
      <c r="L63" s="89">
        <f>'Объем жил кредитов'!K63/Население!L63</f>
        <v>5.1308411214953269</v>
      </c>
      <c r="M63" s="89">
        <f>'Объем жил кредитов'!L63/Население!M63</f>
        <v>3.3395348837209302</v>
      </c>
      <c r="N63" s="89">
        <f>'Объем жил кредитов'!M63/Население!N63</f>
        <v>3.1520737327188941</v>
      </c>
      <c r="O63" s="89">
        <f>'Объем жил кредитов'!N63/Население!O63</f>
        <v>3.8532110091743119</v>
      </c>
      <c r="P63" s="89">
        <f>'Объем жил кредитов'!O63/Население!P63</f>
        <v>6.4292237442922371</v>
      </c>
      <c r="Q63" s="89">
        <f>'Объем жил кредитов'!P63/Население!Q63</f>
        <v>6.3227272727272723</v>
      </c>
      <c r="R63" s="89">
        <f>'Объем жил кредитов'!Q63/Население!R63</f>
        <v>11.013574660633484</v>
      </c>
    </row>
    <row r="64" spans="1:18" x14ac:dyDescent="0.25">
      <c r="A64" s="85">
        <v>63</v>
      </c>
      <c r="B64" s="84" t="s">
        <v>63</v>
      </c>
      <c r="C64" s="89">
        <f>'Объем жил кредитов'!B64/Население!C64</f>
        <v>0.34539813857290591</v>
      </c>
      <c r="D64" s="90">
        <f>'Объем жил кредитов'!C64/Население!D64</f>
        <v>1.6088174273858922</v>
      </c>
      <c r="E64" s="90">
        <f>'Объем жил кредитов'!D64/Население!E64</f>
        <v>2.9215624999999998</v>
      </c>
      <c r="F64" s="90">
        <f>'Объем жил кредитов'!E64/Население!F64</f>
        <v>3.7140624999999998</v>
      </c>
      <c r="G64" s="90">
        <f>'Объем жил кредитов'!F64/Население!G64</f>
        <v>0.80405827263267438</v>
      </c>
      <c r="H64" s="89">
        <f>'Объем жил кредитов'!G64/Население!H64</f>
        <v>2.7006172839506171</v>
      </c>
      <c r="I64" s="84">
        <f t="shared" si="0"/>
        <v>5.6352880658436213</v>
      </c>
      <c r="J64" s="89">
        <f>'Объем жил кредитов'!I64/Население!J64</f>
        <v>5.8693415637860085</v>
      </c>
      <c r="K64" s="89">
        <f>'Объем жил кредитов'!J64/Население!K64</f>
        <v>7.8357289527720742</v>
      </c>
      <c r="L64" s="89">
        <f>'Объем жил кредитов'!K64/Население!L64</f>
        <v>9.5429447852760738</v>
      </c>
      <c r="M64" s="89">
        <f>'Объем жил кредитов'!L64/Население!M64</f>
        <v>4.9745417515274948</v>
      </c>
      <c r="N64" s="89">
        <f>'Объем жил кредитов'!M64/Население!N64</f>
        <v>5.5</v>
      </c>
      <c r="O64" s="89">
        <f>'Объем жил кредитов'!N64/Население!O64</f>
        <v>7.1187817258883248</v>
      </c>
      <c r="P64" s="89">
        <f>'Объем жил кредитов'!O64/Население!P64</f>
        <v>11.600203458799593</v>
      </c>
      <c r="Q64" s="89">
        <f>'Объем жил кредитов'!P64/Население!Q64</f>
        <v>11.497971602434077</v>
      </c>
      <c r="R64" s="89">
        <f>'Объем жил кредитов'!Q64/Население!R64</f>
        <v>20.499492385786802</v>
      </c>
    </row>
    <row r="65" spans="1:18" x14ac:dyDescent="0.25">
      <c r="A65" s="85">
        <v>64</v>
      </c>
      <c r="B65" s="84" t="s">
        <v>64</v>
      </c>
      <c r="C65" s="89">
        <f>'Объем жил кредитов'!B65/Население!C65</f>
        <v>0.20462046204620463</v>
      </c>
      <c r="D65" s="90">
        <f>'Объем жил кредитов'!C65/Население!D65</f>
        <v>0.38867313915857604</v>
      </c>
      <c r="E65" s="90">
        <f>'Объем жил кредитов'!D65/Население!E65</f>
        <v>2.4957928802588998</v>
      </c>
      <c r="F65" s="90">
        <f>'Объем жил кредитов'!E65/Население!F65</f>
        <v>3.3650641025641028</v>
      </c>
      <c r="G65" s="90">
        <f>'Объем жил кредитов'!F65/Население!G65</f>
        <v>0.79458598726114649</v>
      </c>
      <c r="H65" s="89">
        <f>'Объем жил кредитов'!G65/Население!H65</f>
        <v>1.1655844155844155</v>
      </c>
      <c r="I65" s="84">
        <f t="shared" si="0"/>
        <v>3.5446166736489317</v>
      </c>
      <c r="J65" s="89">
        <f>'Объем жил кредитов'!I65/Население!J65</f>
        <v>4.758064516129032</v>
      </c>
      <c r="K65" s="89">
        <f>'Объем жил кредитов'!J65/Население!K65</f>
        <v>5.7275641025641022</v>
      </c>
      <c r="L65" s="89">
        <f>'Объем жил кредитов'!K65/Население!L65</f>
        <v>6.5254777070063694</v>
      </c>
      <c r="M65" s="89">
        <f>'Объем жил кредитов'!L65/Население!M65</f>
        <v>3.9556962025316458</v>
      </c>
      <c r="N65" s="89">
        <f>'Объем жил кредитов'!M65/Население!N65</f>
        <v>4.9182389937106921</v>
      </c>
      <c r="O65" s="89">
        <f>'Объем жил кредитов'!N65/Население!O65</f>
        <v>8.3136645962732914</v>
      </c>
      <c r="P65" s="89">
        <f>'Объем жил кредитов'!O65/Население!P65</f>
        <v>14.154320987654321</v>
      </c>
      <c r="Q65" s="89">
        <f>'Объем жил кредитов'!P65/Население!Q65</f>
        <v>12.972477064220184</v>
      </c>
      <c r="R65" s="89">
        <f>'Объем жил кредитов'!Q65/Население!R65</f>
        <v>19.33939393939394</v>
      </c>
    </row>
    <row r="66" spans="1:18" x14ac:dyDescent="0.25">
      <c r="A66" s="85">
        <v>65</v>
      </c>
      <c r="B66" s="84" t="s">
        <v>65</v>
      </c>
      <c r="C66" s="89">
        <f>'Объем жил кредитов'!B66/Население!C66</f>
        <v>1.0468164794007491</v>
      </c>
      <c r="D66" s="90">
        <f>'Объем жил кредитов'!C66/Население!D66</f>
        <v>1.946096654275093</v>
      </c>
      <c r="E66" s="90">
        <f>'Объем жил кредитов'!D66/Население!E66</f>
        <v>4.024581005586592</v>
      </c>
      <c r="F66" s="90">
        <f>'Объем жил кредитов'!E66/Население!F66</f>
        <v>3.9199255121042831</v>
      </c>
      <c r="G66" s="90">
        <f>'Объем жил кредитов'!F66/Население!G66</f>
        <v>1.3671003717472119</v>
      </c>
      <c r="H66" s="89">
        <f>'Объем жил кредитов'!G66/Население!H66</f>
        <v>3.268796992481203</v>
      </c>
      <c r="I66" s="84">
        <f t="shared" si="0"/>
        <v>6.0399039343198524</v>
      </c>
      <c r="J66" s="89">
        <f>'Объем жил кредитов'!I66/Население!J66</f>
        <v>5.5422138836772987</v>
      </c>
      <c r="K66" s="89">
        <f>'Объем жил кредитов'!J66/Население!K66</f>
        <v>7.1404494382022472</v>
      </c>
      <c r="L66" s="89">
        <f>'Объем жил кредитов'!K66/Население!L66</f>
        <v>8.5503731343283587</v>
      </c>
      <c r="M66" s="89">
        <f>'Объем жил кредитов'!L66/Население!M66</f>
        <v>5.9459962756052143</v>
      </c>
      <c r="N66" s="89">
        <f>'Объем жил кредитов'!M66/Население!N66</f>
        <v>6.8547486033519549</v>
      </c>
      <c r="O66" s="89">
        <f>'Объем жил кредитов'!N66/Население!O66</f>
        <v>10.323420074349443</v>
      </c>
      <c r="P66" s="89">
        <f>'Объем жил кредитов'!O66/Население!P66</f>
        <v>14.823091247672254</v>
      </c>
      <c r="Q66" s="89">
        <f>'Объем жил кредитов'!P66/Население!Q66</f>
        <v>14.056179775280899</v>
      </c>
      <c r="R66" s="89">
        <f>'Объем жил кредитов'!Q66/Население!R66</f>
        <v>22.328947368421051</v>
      </c>
    </row>
    <row r="67" spans="1:18" x14ac:dyDescent="0.25">
      <c r="A67" s="85">
        <v>66</v>
      </c>
      <c r="B67" s="84" t="s">
        <v>66</v>
      </c>
      <c r="C67" s="89">
        <f>'Объем жил кредитов'!B67/Население!C67</f>
        <v>0.74870155813024375</v>
      </c>
      <c r="D67" s="90">
        <f>'Объем жил кредитов'!C67/Население!D67</f>
        <v>3.134054266614235</v>
      </c>
      <c r="E67" s="90">
        <f>'Объем жил кредитов'!D67/Население!E67</f>
        <v>5.6584621482362261</v>
      </c>
      <c r="F67" s="90">
        <f>'Объем жил кредитов'!E67/Население!F67</f>
        <v>3.3797846889952154</v>
      </c>
      <c r="G67" s="90">
        <f>'Объем жил кредитов'!F67/Население!G67</f>
        <v>1.5293151782138565</v>
      </c>
      <c r="H67" s="89">
        <f>'Объем жил кредитов'!G67/Население!H67</f>
        <v>2.7794786925941248</v>
      </c>
      <c r="I67" s="84">
        <f t="shared" ref="I67:I83" si="1">H67+J67/2</f>
        <v>5.5352102474086307</v>
      </c>
      <c r="J67" s="89">
        <f>'Объем жил кредитов'!I67/Население!J67</f>
        <v>5.5114631096290116</v>
      </c>
      <c r="K67" s="89">
        <f>'Объем жил кредитов'!J67/Население!K67</f>
        <v>7.704726056043496</v>
      </c>
      <c r="L67" s="89">
        <f>'Объем жил кредитов'!K67/Население!L67</f>
        <v>8.875890985324947</v>
      </c>
      <c r="M67" s="89">
        <f>'Объем жил кредитов'!L67/Население!M67</f>
        <v>5.6482961716449305</v>
      </c>
      <c r="N67" s="89">
        <f>'Объем жил кредитов'!M67/Население!N67</f>
        <v>7.2447168216398987</v>
      </c>
      <c r="O67" s="89">
        <f>'Объем жил кредитов'!N67/Население!O67</f>
        <v>10.174468085106383</v>
      </c>
      <c r="P67" s="89">
        <f>'Объем жил кредитов'!O67/Население!P67</f>
        <v>15.555936562366051</v>
      </c>
      <c r="Q67" s="89">
        <f>'Объем жил кредитов'!P67/Население!Q67</f>
        <v>14.798014674147606</v>
      </c>
      <c r="R67" s="89">
        <f>'Объем жил кредитов'!Q67/Население!R67</f>
        <v>23.291811846689896</v>
      </c>
    </row>
    <row r="68" spans="1:18" x14ac:dyDescent="0.25">
      <c r="A68" s="85">
        <v>67</v>
      </c>
      <c r="B68" s="84" t="s">
        <v>73</v>
      </c>
      <c r="C68" s="89">
        <f>'Объем жил кредитов'!B68/Население!C68</f>
        <v>0.29893238434163699</v>
      </c>
      <c r="D68" s="90">
        <f>'Объем жил кредитов'!C68/Население!D68</f>
        <v>1.0310283687943262</v>
      </c>
      <c r="E68" s="90">
        <f>'Объем жил кредитов'!D68/Население!E68</f>
        <v>2.4943850267379677</v>
      </c>
      <c r="F68" s="90">
        <f>'Объем жил кредитов'!E68/Население!F68</f>
        <v>2.9556747095621092</v>
      </c>
      <c r="G68" s="90">
        <f>'Объем жил кредитов'!F68/Население!G68</f>
        <v>0.96642793196060872</v>
      </c>
      <c r="H68" s="89">
        <f>'Объем жил кредитов'!G68/Население!H68</f>
        <v>2.6600361663652805</v>
      </c>
      <c r="I68" s="84">
        <f t="shared" si="1"/>
        <v>5.9326389060913076</v>
      </c>
      <c r="J68" s="89">
        <f>'Объем жил кредитов'!I68/Население!J68</f>
        <v>6.5452054794520551</v>
      </c>
      <c r="K68" s="89">
        <f>'Объем жил кредитов'!J68/Население!K68</f>
        <v>8.2376146788990834</v>
      </c>
      <c r="L68" s="89">
        <f>'Объем жил кредитов'!K68/Население!L68</f>
        <v>10.697332106715731</v>
      </c>
      <c r="M68" s="89">
        <f>'Объем жил кредитов'!L68/Население!M68</f>
        <v>6.0886426592797784</v>
      </c>
      <c r="N68" s="89">
        <f>'Объем жил кредитов'!M68/Население!N68</f>
        <v>6.6246524559777571</v>
      </c>
      <c r="O68" s="89">
        <f>'Объем жил кредитов'!N68/Население!O68</f>
        <v>9.4007455731593659</v>
      </c>
      <c r="P68" s="89">
        <f>'Объем жил кредитов'!O68/Население!P68</f>
        <v>14.671669793621014</v>
      </c>
      <c r="Q68" s="89">
        <f>'Объем жил кредитов'!P68/Население!Q68</f>
        <v>14.130188679245283</v>
      </c>
      <c r="R68" s="89">
        <f>'Объем жил кредитов'!Q68/Население!R68</f>
        <v>21.4681861348528</v>
      </c>
    </row>
    <row r="69" spans="1:18" x14ac:dyDescent="0.25">
      <c r="A69" s="85">
        <v>68</v>
      </c>
      <c r="B69" s="84" t="s">
        <v>67</v>
      </c>
      <c r="C69" s="89">
        <f>'Объем жил кредитов'!B69/Население!C69</f>
        <v>1.1314046706169396</v>
      </c>
      <c r="D69" s="90">
        <f>'Объем жил кредитов'!C69/Население!D69</f>
        <v>3.1776668960770817</v>
      </c>
      <c r="E69" s="90">
        <f>'Объем жил кредитов'!D69/Население!E69</f>
        <v>7.3073946095369724</v>
      </c>
      <c r="F69" s="90">
        <f>'Объем жил кредитов'!E69/Население!F69</f>
        <v>7.3326297577854671</v>
      </c>
      <c r="G69" s="90">
        <f>'Объем жил кредитов'!F69/Население!G69</f>
        <v>1.9673010380622837</v>
      </c>
      <c r="H69" s="89">
        <f>'Объем жил кредитов'!G69/Население!H69</f>
        <v>4.3955461293743374</v>
      </c>
      <c r="I69" s="84">
        <f t="shared" si="1"/>
        <v>9.2803371374530172</v>
      </c>
      <c r="J69" s="89">
        <f>'Объем жил кредитов'!I69/Население!J69</f>
        <v>9.7695820161573579</v>
      </c>
      <c r="K69" s="89">
        <f>'Объем жил кредитов'!J69/Население!K69</f>
        <v>12.799859796705222</v>
      </c>
      <c r="L69" s="89">
        <f>'Объем жил кредитов'!K69/Население!L69</f>
        <v>16.861490031479537</v>
      </c>
      <c r="M69" s="89">
        <f>'Объем жил кредитов'!L69/Население!M69</f>
        <v>9.6242149337055132</v>
      </c>
      <c r="N69" s="89">
        <f>'Объем жил кредитов'!M69/Население!N69</f>
        <v>11.83895652173913</v>
      </c>
      <c r="O69" s="89">
        <f>'Объем жил кредитов'!N69/Население!O69</f>
        <v>15.246870653685674</v>
      </c>
      <c r="P69" s="89">
        <f>'Объем жил кредитов'!O69/Население!P69</f>
        <v>22.015657620041754</v>
      </c>
      <c r="Q69" s="89">
        <f>'Объем жил кредитов'!P69/Население!Q69</f>
        <v>21.0519888346127</v>
      </c>
      <c r="R69" s="89">
        <f>'Объем жил кредитов'!Q69/Население!R69</f>
        <v>33.279761904761905</v>
      </c>
    </row>
    <row r="70" spans="1:18" x14ac:dyDescent="0.25">
      <c r="A70" s="85">
        <v>69</v>
      </c>
      <c r="B70" s="84" t="s">
        <v>68</v>
      </c>
      <c r="C70" s="89">
        <f>'Объем жил кредитов'!B70/Население!C70</f>
        <v>0.53330658105938999</v>
      </c>
      <c r="D70" s="90">
        <f>'Объем жил кредитов'!C70/Население!D70</f>
        <v>1.9694499406410764</v>
      </c>
      <c r="E70" s="90">
        <f>'Объем жил кредитов'!D70/Население!E70</f>
        <v>4.7654733492442318</v>
      </c>
      <c r="F70" s="90">
        <f>'Объем жил кредитов'!E70/Население!F70</f>
        <v>5.9086124401913871</v>
      </c>
      <c r="G70" s="90">
        <f>'Объем жил кредитов'!F70/Население!G70</f>
        <v>1.7836327345309382</v>
      </c>
      <c r="H70" s="89">
        <f>'Объем жил кредитов'!G70/Население!H70</f>
        <v>4.4518121911037891</v>
      </c>
      <c r="I70" s="84">
        <f t="shared" si="1"/>
        <v>8.6528856840847972</v>
      </c>
      <c r="J70" s="89">
        <f>'Объем жил кредитов'!I70/Население!J70</f>
        <v>8.4021469859620144</v>
      </c>
      <c r="K70" s="89">
        <f>'Объем жил кредитов'!J70/Население!K70</f>
        <v>10.802729528535981</v>
      </c>
      <c r="L70" s="89">
        <f>'Объем жил кредитов'!K70/Население!L70</f>
        <v>13.810351966873705</v>
      </c>
      <c r="M70" s="89">
        <f>'Объем жил кредитов'!L70/Население!M70</f>
        <v>8.1989225031081645</v>
      </c>
      <c r="N70" s="89">
        <f>'Объем жил кредитов'!M70/Население!N70</f>
        <v>9.5363221253632204</v>
      </c>
      <c r="O70" s="89">
        <f>'Объем жил кредитов'!N70/Население!O70</f>
        <v>13.055324459234608</v>
      </c>
      <c r="P70" s="89">
        <f>'Объем жил кредитов'!O70/Население!P70</f>
        <v>18.510008340283569</v>
      </c>
      <c r="Q70" s="89">
        <f>'Объем жил кредитов'!P70/Население!Q70</f>
        <v>17.516520284399832</v>
      </c>
      <c r="R70" s="89">
        <f>'Объем жил кредитов'!Q70/Население!R70</f>
        <v>25.866526315789475</v>
      </c>
    </row>
    <row r="71" spans="1:18" x14ac:dyDescent="0.25">
      <c r="A71" s="85">
        <v>70</v>
      </c>
      <c r="B71" s="84" t="s">
        <v>69</v>
      </c>
      <c r="C71" s="89">
        <f>'Объем жил кредитов'!B71/Население!C71</f>
        <v>0.89272986457590875</v>
      </c>
      <c r="D71" s="90">
        <f>'Объем жил кредитов'!C71/Население!D71</f>
        <v>1.9166607960549489</v>
      </c>
      <c r="E71" s="90">
        <f>'Объем жил кредитов'!D71/Население!E71</f>
        <v>4.4979830148619957</v>
      </c>
      <c r="F71" s="90">
        <f>'Объем жил кредитов'!E71/Население!F71</f>
        <v>4.5182784272051011</v>
      </c>
      <c r="G71" s="90">
        <f>'Объем жил кредитов'!F71/Население!G71</f>
        <v>0.93416017009213315</v>
      </c>
      <c r="H71" s="89">
        <f>'Объем жил кредитов'!G71/Население!H71</f>
        <v>2.0626584570807678</v>
      </c>
      <c r="I71" s="84">
        <f t="shared" si="1"/>
        <v>5.1399742849436416</v>
      </c>
      <c r="J71" s="89">
        <f>'Объем жил кредитов'!I71/Население!J71</f>
        <v>6.1546316557257477</v>
      </c>
      <c r="K71" s="89">
        <f>'Объем жил кредитов'!J71/Население!K71</f>
        <v>8.1397220190197519</v>
      </c>
      <c r="L71" s="89">
        <f>'Объем жил кредитов'!K71/Население!L71</f>
        <v>10.876330275229357</v>
      </c>
      <c r="M71" s="89">
        <f>'Объем жил кредитов'!L71/Население!M71</f>
        <v>6.2321559970566591</v>
      </c>
      <c r="N71" s="89">
        <f>'Объем жил кредитов'!M71/Население!N71</f>
        <v>7.478036175710594</v>
      </c>
      <c r="O71" s="89">
        <f>'Объем жил кредитов'!N71/Население!O71</f>
        <v>10.298330241187385</v>
      </c>
      <c r="P71" s="89">
        <f>'Объем жил кредитов'!O71/Население!P71</f>
        <v>15.747195213163799</v>
      </c>
      <c r="Q71" s="89">
        <f>'Объем жил кредитов'!P71/Население!Q71</f>
        <v>15.602332580887886</v>
      </c>
      <c r="R71" s="89">
        <f>'Объем жил кредитов'!Q71/Население!R71</f>
        <v>22.68628940372199</v>
      </c>
    </row>
    <row r="72" spans="1:18" x14ac:dyDescent="0.25">
      <c r="A72" s="85">
        <v>71</v>
      </c>
      <c r="B72" s="84" t="s">
        <v>70</v>
      </c>
      <c r="C72" s="89">
        <f>'Объем жил кредитов'!B72/Население!C72</f>
        <v>0.90847457627118644</v>
      </c>
      <c r="D72" s="90">
        <f>'Объем жил кредитов'!C72/Население!D72</f>
        <v>3.5741886792452831</v>
      </c>
      <c r="E72" s="90">
        <f>'Объем жил кредитов'!D72/Население!E72</f>
        <v>7.585800833017796</v>
      </c>
      <c r="F72" s="90">
        <f>'Объем жил кредитов'!E72/Население!F72</f>
        <v>7.279400606980273</v>
      </c>
      <c r="G72" s="90">
        <f>'Объем жил кредитов'!F72/Население!G72</f>
        <v>1.7839015151515152</v>
      </c>
      <c r="H72" s="89">
        <f>'Объем жил кредитов'!G72/Население!H72</f>
        <v>4.4197299324831212</v>
      </c>
      <c r="I72" s="84">
        <f t="shared" si="1"/>
        <v>9.4236044712285079</v>
      </c>
      <c r="J72" s="89">
        <f>'Объем жил кредитов'!I72/Население!J72</f>
        <v>10.007749077490775</v>
      </c>
      <c r="K72" s="89">
        <f>'Объем жил кредитов'!J72/Население!K72</f>
        <v>13.329549615525449</v>
      </c>
      <c r="L72" s="89">
        <f>'Объем жил кредитов'!K72/Население!L72</f>
        <v>15.687295231161267</v>
      </c>
      <c r="M72" s="89">
        <f>'Объем жил кредитов'!L72/Население!M72</f>
        <v>9.2733526430123092</v>
      </c>
      <c r="N72" s="89">
        <f>'Объем жил кредитов'!M72/Население!N72</f>
        <v>12.009352517985612</v>
      </c>
      <c r="O72" s="89">
        <f>'Объем жил кредитов'!N72/Население!O72</f>
        <v>16.723556830405162</v>
      </c>
      <c r="P72" s="89">
        <f>'Объем жил кредитов'!O72/Население!P72</f>
        <v>25.279269602577873</v>
      </c>
      <c r="Q72" s="89">
        <f>'Объем жил кредитов'!P72/Население!Q72</f>
        <v>24.979270907791278</v>
      </c>
      <c r="R72" s="89">
        <f>'Объем жил кредитов'!Q72/Население!R72</f>
        <v>38.931083991385499</v>
      </c>
    </row>
    <row r="73" spans="1:18" x14ac:dyDescent="0.25">
      <c r="A73" s="85">
        <v>72</v>
      </c>
      <c r="B73" s="84" t="s">
        <v>71</v>
      </c>
      <c r="C73" s="89">
        <f>'Объем жил кредитов'!B73/Население!C73</f>
        <v>0.94841269841269837</v>
      </c>
      <c r="D73" s="90">
        <f>'Объем жил кредитов'!C73/Население!D73</f>
        <v>3.4292874692874693</v>
      </c>
      <c r="E73" s="90">
        <f>'Объем жил кредитов'!D73/Население!E73</f>
        <v>7.2663869693978285</v>
      </c>
      <c r="F73" s="90">
        <f>'Объем жил кредитов'!E73/Население!F73</f>
        <v>5.3733894945490581</v>
      </c>
      <c r="G73" s="90">
        <f>'Объем жил кредитов'!F73/Население!G73</f>
        <v>0.91747765640516388</v>
      </c>
      <c r="H73" s="89">
        <f>'Объем жил кредитов'!G73/Население!H73</f>
        <v>3.1967627718765805</v>
      </c>
      <c r="I73" s="84">
        <f t="shared" si="1"/>
        <v>6.6607951933558107</v>
      </c>
      <c r="J73" s="89">
        <f>'Объем жил кредитов'!I73/Население!J73</f>
        <v>6.9280648429584604</v>
      </c>
      <c r="K73" s="89">
        <f>'Объем жил кредитов'!J73/Население!K73</f>
        <v>8.5455927051671736</v>
      </c>
      <c r="L73" s="89">
        <f>'Объем жил кредитов'!K73/Население!L73</f>
        <v>10.662790697674419</v>
      </c>
      <c r="M73" s="89">
        <f>'Объем жил кредитов'!L73/Население!M73</f>
        <v>6.6026289180990902</v>
      </c>
      <c r="N73" s="89">
        <f>'Объем жил кредитов'!M73/Население!N73</f>
        <v>8.2392295995945268</v>
      </c>
      <c r="O73" s="89">
        <f>'Объем жил кредитов'!N73/Население!O73</f>
        <v>11.855612244897959</v>
      </c>
      <c r="P73" s="89">
        <f>'Объем жил кредитов'!O73/Население!P73</f>
        <v>18.337962962962962</v>
      </c>
      <c r="Q73" s="89">
        <f>'Объем жил кредитов'!P73/Население!Q73</f>
        <v>18.357550596782563</v>
      </c>
      <c r="R73" s="89">
        <f>'Объем жил кредитов'!Q73/Население!R73</f>
        <v>27.778886554621849</v>
      </c>
    </row>
    <row r="74" spans="1:18" x14ac:dyDescent="0.25">
      <c r="A74" s="85">
        <v>73</v>
      </c>
      <c r="B74" s="84" t="s">
        <v>72</v>
      </c>
      <c r="C74" s="89">
        <f>'Объем жил кредитов'!B74/Население!C74</f>
        <v>1.341796875</v>
      </c>
      <c r="D74" s="90">
        <f>'Объем жил кредитов'!C74/Население!D74</f>
        <v>3.2538684719535782</v>
      </c>
      <c r="E74" s="90">
        <f>'Объем жил кредитов'!D74/Население!E74</f>
        <v>7.3860600193610848</v>
      </c>
      <c r="F74" s="90">
        <f>'Объем жил кредитов'!E74/Население!F74</f>
        <v>7.6646376811594203</v>
      </c>
      <c r="G74" s="90">
        <f>'Объем жил кредитов'!F74/Население!G74</f>
        <v>2.1185934489402696</v>
      </c>
      <c r="H74" s="89">
        <f>'Объем жил кредитов'!G74/Население!H74</f>
        <v>3.8083889418493801</v>
      </c>
      <c r="I74" s="84">
        <f t="shared" si="1"/>
        <v>8.3633701448568996</v>
      </c>
      <c r="J74" s="89">
        <f>'Объем жил кредитов'!I74/Население!J74</f>
        <v>9.1099624060150379</v>
      </c>
      <c r="K74" s="89">
        <f>'Объем жил кредитов'!J74/Население!K74</f>
        <v>11.082242990654205</v>
      </c>
      <c r="L74" s="89">
        <f>'Объем жил кредитов'!K74/Население!L74</f>
        <v>13.61266294227188</v>
      </c>
      <c r="M74" s="89">
        <f>'Объем жил кредитов'!L74/Население!M74</f>
        <v>7.957288765088208</v>
      </c>
      <c r="N74" s="89">
        <f>'Объем жил кредитов'!M74/Население!N74</f>
        <v>10.267840593141798</v>
      </c>
      <c r="O74" s="89">
        <f>'Объем жил кредитов'!N74/Население!O74</f>
        <v>12.975881261595548</v>
      </c>
      <c r="P74" s="89">
        <f>'Объем жил кредитов'!O74/Население!P74</f>
        <v>18.850510677808728</v>
      </c>
      <c r="Q74" s="89">
        <f>'Объем жил кредитов'!P74/Население!Q74</f>
        <v>17.404629629629628</v>
      </c>
      <c r="R74" s="89">
        <f>'Объем жил кредитов'!Q74/Население!R74</f>
        <v>27.834579439252337</v>
      </c>
    </row>
    <row r="75" spans="1:18" x14ac:dyDescent="0.25">
      <c r="A75" s="85">
        <v>74</v>
      </c>
      <c r="B75" s="84" t="s">
        <v>74</v>
      </c>
      <c r="C75" s="89">
        <f>'Объем жил кредитов'!B75/Население!C75</f>
        <v>0.73584905660377353</v>
      </c>
      <c r="D75" s="90">
        <f>'Объем жил кредитов'!C75/Население!D75</f>
        <v>1.7930526315789475</v>
      </c>
      <c r="E75" s="90">
        <f>'Объем жил кредитов'!D75/Население!E75</f>
        <v>3.4391578947368417</v>
      </c>
      <c r="F75" s="90">
        <f>'Объем жил кредитов'!E75/Население!F75</f>
        <v>5.180336487907466</v>
      </c>
      <c r="G75" s="90">
        <f>'Объем жил кредитов'!F75/Население!G75</f>
        <v>1.8063157894736843</v>
      </c>
      <c r="H75" s="89">
        <f>'Объем жил кредитов'!G75/Население!H75</f>
        <v>4.0281837160751568</v>
      </c>
      <c r="I75" s="84">
        <f t="shared" si="1"/>
        <v>9.6537067286274585</v>
      </c>
      <c r="J75" s="89">
        <f>'Объем жил кредитов'!I75/Население!J75</f>
        <v>11.251046025104603</v>
      </c>
      <c r="K75" s="89">
        <f>'Объем жил кредитов'!J75/Население!K75</f>
        <v>15.261780104712042</v>
      </c>
      <c r="L75" s="89">
        <f>'Объем жил кредитов'!K75/Население!L75</f>
        <v>20.632183908045977</v>
      </c>
      <c r="M75" s="89">
        <f>'Объем жил кредитов'!L75/Население!M75</f>
        <v>14.734375</v>
      </c>
      <c r="N75" s="89">
        <f>'Объем жил кредитов'!M75/Население!N75</f>
        <v>20.470404984423677</v>
      </c>
      <c r="O75" s="89">
        <f>'Объем жил кредитов'!N75/Население!O75</f>
        <v>25.504149377593361</v>
      </c>
      <c r="P75" s="89">
        <f>'Объем жил кредитов'!O75/Население!P75</f>
        <v>36.785935884177867</v>
      </c>
      <c r="Q75" s="89">
        <f>'Объем жил кредитов'!P75/Население!Q75</f>
        <v>32.61625514403292</v>
      </c>
      <c r="R75" s="89">
        <f>'Объем жил кредитов'!Q75/Население!R75</f>
        <v>48.184317718940939</v>
      </c>
    </row>
    <row r="76" spans="1:18" x14ac:dyDescent="0.25">
      <c r="A76" s="85">
        <v>75</v>
      </c>
      <c r="B76" s="84" t="s">
        <v>75</v>
      </c>
      <c r="C76" s="89">
        <f>'Объем жил кредитов'!B76/Население!C76</f>
        <v>0.12462908011869436</v>
      </c>
      <c r="D76" s="90">
        <f>'Объем жил кредитов'!C76/Население!D76</f>
        <v>0.98567335243553011</v>
      </c>
      <c r="E76" s="90">
        <f>'Объем жил кредитов'!D76/Население!E76</f>
        <v>2.4181556195965417</v>
      </c>
      <c r="F76" s="90">
        <f>'Объем жил кредитов'!E76/Население!F76</f>
        <v>3.9317919075144512</v>
      </c>
      <c r="G76" s="90">
        <f>'Объем жил кредитов'!F76/Население!G76</f>
        <v>1.3790697674418604</v>
      </c>
      <c r="H76" s="89">
        <f>'Объем жил кредитов'!G76/Население!H76</f>
        <v>3.6335403726708075</v>
      </c>
      <c r="I76" s="84">
        <f t="shared" si="1"/>
        <v>8.0194778726708069</v>
      </c>
      <c r="J76" s="89">
        <f>'Объем жил кредитов'!I76/Население!J76</f>
        <v>8.7718749999999996</v>
      </c>
      <c r="K76" s="89">
        <f>'Объем жил кредитов'!J76/Население!K76</f>
        <v>10.7</v>
      </c>
      <c r="L76" s="89">
        <f>'Объем жил кредитов'!K76/Население!L76</f>
        <v>16.123028391167193</v>
      </c>
      <c r="M76" s="89">
        <f>'Объем жил кредитов'!L76/Население!M76</f>
        <v>11.101265822784811</v>
      </c>
      <c r="N76" s="89">
        <f>'Объем жил кредитов'!M76/Население!N76</f>
        <v>11.673015873015872</v>
      </c>
      <c r="O76" s="89">
        <f>'Объем жил кредитов'!N76/Население!O76</f>
        <v>16.300632911392405</v>
      </c>
      <c r="P76" s="89">
        <f>'Объем жил кредитов'!O76/Население!P76</f>
        <v>25.495238095238093</v>
      </c>
      <c r="Q76" s="89">
        <f>'Объем жил кредитов'!P76/Население!Q76</f>
        <v>25.514376996805112</v>
      </c>
      <c r="R76" s="89">
        <f>'Объем жил кредитов'!Q76/Население!R76</f>
        <v>38.221864951768488</v>
      </c>
    </row>
    <row r="77" spans="1:18" x14ac:dyDescent="0.25">
      <c r="A77" s="85">
        <v>76</v>
      </c>
      <c r="B77" s="84" t="s">
        <v>76</v>
      </c>
      <c r="C77" s="89">
        <f>'Объем жил кредитов'!B77/Население!C77</f>
        <v>0.18385650224215247</v>
      </c>
      <c r="D77" s="90">
        <f>'Объем жил кредитов'!C77/Население!D77</f>
        <v>0.86305101535413575</v>
      </c>
      <c r="E77" s="90">
        <f>'Объем жил кредитов'!D77/Население!E77</f>
        <v>2.5912761714855437</v>
      </c>
      <c r="F77" s="90">
        <f>'Объем жил кредитов'!E77/Население!F77</f>
        <v>3.2739979959919836</v>
      </c>
      <c r="G77" s="90">
        <f>'Объем жил кредитов'!F77/Население!G77</f>
        <v>0.64320925553319919</v>
      </c>
      <c r="H77" s="89">
        <f>'Объем жил кредитов'!G77/Население!H77</f>
        <v>2.0353302611367128</v>
      </c>
      <c r="I77" s="84">
        <f t="shared" si="1"/>
        <v>5.3255202970894606</v>
      </c>
      <c r="J77" s="89">
        <f>'Объем жил кредитов'!I77/Население!J77</f>
        <v>6.5803800719054957</v>
      </c>
      <c r="K77" s="89">
        <f>'Объем жил кредитов'!J77/Население!K77</f>
        <v>8.4876160990712073</v>
      </c>
      <c r="L77" s="89">
        <f>'Объем жил кредитов'!K77/Население!L77</f>
        <v>11.056389032591825</v>
      </c>
      <c r="M77" s="89">
        <f>'Объем жил кредитов'!L77/Население!M77</f>
        <v>6.9782270606531878</v>
      </c>
      <c r="N77" s="89">
        <f>'Объем жил кредитов'!M77/Население!N77</f>
        <v>8.8616744669786787</v>
      </c>
      <c r="O77" s="89">
        <f>'Объем жил кредитов'!N77/Население!O77</f>
        <v>12.822791427077888</v>
      </c>
      <c r="P77" s="89">
        <f>'Объем жил кредитов'!O77/Население!P77</f>
        <v>19.236593059936908</v>
      </c>
      <c r="Q77" s="89">
        <f>'Объем жил кредитов'!P77/Население!Q77</f>
        <v>19.641877637130801</v>
      </c>
      <c r="R77" s="89">
        <f>'Объем жил кредитов'!Q77/Население!R77</f>
        <v>33.793929712460063</v>
      </c>
    </row>
    <row r="78" spans="1:18" x14ac:dyDescent="0.25">
      <c r="A78" s="85">
        <v>77</v>
      </c>
      <c r="B78" s="84" t="s">
        <v>77</v>
      </c>
      <c r="C78" s="89">
        <f>'Объем жил кредитов'!B78/Население!C78</f>
        <v>0.23764534883720931</v>
      </c>
      <c r="D78" s="90">
        <f>'Объем жил кредитов'!C78/Население!D78</f>
        <v>1.2206798866855524</v>
      </c>
      <c r="E78" s="90">
        <f>'Объем жил кредитов'!D78/Население!E78</f>
        <v>4.3611387900355867</v>
      </c>
      <c r="F78" s="90">
        <f>'Объем жил кредитов'!E78/Население!F78</f>
        <v>5.5621082621082616</v>
      </c>
      <c r="G78" s="90">
        <f>'Объем жил кредитов'!F78/Население!G78</f>
        <v>1.5495007132667618</v>
      </c>
      <c r="H78" s="89">
        <f>'Объем жил кредитов'!G78/Население!H78</f>
        <v>4.4534623976172751</v>
      </c>
      <c r="I78" s="84">
        <f t="shared" si="1"/>
        <v>9.7537604602104189</v>
      </c>
      <c r="J78" s="89">
        <f>'Объем жил кредитов'!I78/Население!J78</f>
        <v>10.600596125186289</v>
      </c>
      <c r="K78" s="89">
        <f>'Объем жил кредитов'!J78/Население!K78</f>
        <v>11.255223880597015</v>
      </c>
      <c r="L78" s="89">
        <f>'Объем жил кредитов'!K78/Население!L78</f>
        <v>15.990284005979074</v>
      </c>
      <c r="M78" s="89">
        <f>'Объем жил кредитов'!L78/Население!M78</f>
        <v>9.3163418290854576</v>
      </c>
      <c r="N78" s="89">
        <f>'Объем жил кредитов'!M78/Население!N78</f>
        <v>10.604651162790697</v>
      </c>
      <c r="O78" s="89">
        <f>'Объем жил кредитов'!N78/Население!O78</f>
        <v>16.005271084337348</v>
      </c>
      <c r="P78" s="89">
        <f>'Объем жил кредитов'!O78/Население!P78</f>
        <v>23.532929598788797</v>
      </c>
      <c r="Q78" s="89">
        <f>'Объем жил кредитов'!P78/Население!Q78</f>
        <v>22.565349544072948</v>
      </c>
      <c r="R78" s="89">
        <f>'Объем жил кредитов'!Q78/Население!R78</f>
        <v>37.463489623366641</v>
      </c>
    </row>
    <row r="79" spans="1:18" x14ac:dyDescent="0.25">
      <c r="A79" s="85">
        <v>78</v>
      </c>
      <c r="B79" s="84" t="s">
        <v>78</v>
      </c>
      <c r="C79" s="89">
        <f>'Объем жил кредитов'!B79/Население!C79</f>
        <v>0.3159117305458769</v>
      </c>
      <c r="D79" s="90">
        <f>'Объем жил кредитов'!C79/Население!D79</f>
        <v>1.0817253121452894</v>
      </c>
      <c r="E79" s="90">
        <f>'Объем жил кредитов'!D79/Население!E79</f>
        <v>2.5029714285714286</v>
      </c>
      <c r="F79" s="90">
        <f>'Объем жил кредитов'!E79/Население!F79</f>
        <v>3.8604597701149426</v>
      </c>
      <c r="G79" s="90">
        <f>'Объем жил кредитов'!F79/Население!G79</f>
        <v>1.0336805555555555</v>
      </c>
      <c r="H79" s="89">
        <f>'Объем жил кредитов'!G79/Население!H79</f>
        <v>2.7285886610373944</v>
      </c>
      <c r="I79" s="84">
        <f t="shared" si="1"/>
        <v>7.0994576940851299</v>
      </c>
      <c r="J79" s="89">
        <f>'Объем жил кредитов'!I79/Население!J79</f>
        <v>8.741738066095472</v>
      </c>
      <c r="K79" s="89">
        <f>'Объем жил кредитов'!J79/Население!K79</f>
        <v>8.3982737361282371</v>
      </c>
      <c r="L79" s="89">
        <f>'Объем жил кредитов'!K79/Население!L79</f>
        <v>13.006172839506172</v>
      </c>
      <c r="M79" s="89">
        <f>'Объем жил кредитов'!L79/Население!M79</f>
        <v>7.080645161290323</v>
      </c>
      <c r="N79" s="89">
        <f>'Объем жил кредитов'!M79/Население!N79</f>
        <v>8.1857855361596013</v>
      </c>
      <c r="O79" s="89">
        <f>'Объем жил кредитов'!N79/Население!O79</f>
        <v>12.022556390977444</v>
      </c>
      <c r="P79" s="89">
        <f>'Объем жил кредитов'!O79/Население!P79</f>
        <v>19.876574307304786</v>
      </c>
      <c r="Q79" s="89">
        <f>'Объем жил кредитов'!P79/Население!Q79</f>
        <v>18.616455696202532</v>
      </c>
      <c r="R79" s="89">
        <f>'Объем жил кредитов'!Q79/Население!R79</f>
        <v>32.212276214833757</v>
      </c>
    </row>
    <row r="80" spans="1:18" x14ac:dyDescent="0.25">
      <c r="A80" s="85">
        <v>79</v>
      </c>
      <c r="B80" s="84" t="s">
        <v>79</v>
      </c>
      <c r="C80" s="89">
        <f>'Объем жил кредитов'!B80/Население!C80</f>
        <v>0.35294117647058826</v>
      </c>
      <c r="D80" s="90">
        <f>'Объем жил кредитов'!C80/Население!D80</f>
        <v>1.577906976744186</v>
      </c>
      <c r="E80" s="90">
        <f>'Объем жил кредитов'!D80/Население!E80</f>
        <v>3.9047337278106506</v>
      </c>
      <c r="F80" s="90">
        <f>'Объем жил кредитов'!E80/Население!F80</f>
        <v>5.3518072289156624</v>
      </c>
      <c r="G80" s="90">
        <f>'Объем жил кредитов'!F80/Население!G80</f>
        <v>1.5515337423312883</v>
      </c>
      <c r="H80" s="89">
        <f>'Объем жил кредитов'!G80/Население!H80</f>
        <v>3.7756410256410255</v>
      </c>
      <c r="I80" s="84">
        <f t="shared" si="1"/>
        <v>9.4335357624831317</v>
      </c>
      <c r="J80" s="89">
        <f>'Объем жил кредитов'!I80/Население!J80</f>
        <v>11.315789473684211</v>
      </c>
      <c r="K80" s="89">
        <f>'Объем жил кредитов'!J80/Население!K80</f>
        <v>17.093333333333334</v>
      </c>
      <c r="L80" s="89">
        <f>'Объем жил кредитов'!K80/Население!L80</f>
        <v>23.567567567567568</v>
      </c>
      <c r="M80" s="89">
        <f>'Объем жил кредитов'!L80/Население!M80</f>
        <v>16.346938775510203</v>
      </c>
      <c r="N80" s="89">
        <f>'Объем жил кредитов'!M80/Население!N80</f>
        <v>19.787671232876711</v>
      </c>
      <c r="O80" s="89">
        <f>'Объем жил кредитов'!N80/Население!O80</f>
        <v>24.576388888888889</v>
      </c>
      <c r="P80" s="89">
        <f>'Объем жил кредитов'!O80/Население!P80</f>
        <v>36.829787234042556</v>
      </c>
      <c r="Q80" s="89">
        <f>'Объем жил кредитов'!P80/Население!Q80</f>
        <v>35.585714285714289</v>
      </c>
      <c r="R80" s="89">
        <f>'Объем жил кредитов'!Q80/Население!R80</f>
        <v>53.575539568345327</v>
      </c>
    </row>
    <row r="81" spans="1:18" x14ac:dyDescent="0.25">
      <c r="A81" s="85">
        <v>80</v>
      </c>
      <c r="B81" s="84" t="s">
        <v>80</v>
      </c>
      <c r="C81" s="89">
        <f>'Объем жил кредитов'!B81/Население!C81</f>
        <v>0.28790786948176583</v>
      </c>
      <c r="D81" s="90">
        <f>'Объем жил кредитов'!C81/Население!D81</f>
        <v>1.1366920152091253</v>
      </c>
      <c r="E81" s="90">
        <f>'Объем жил кредитов'!D81/Население!E81</f>
        <v>2.6658349328214972</v>
      </c>
      <c r="F81" s="90">
        <f>'Объем жил кредитов'!E81/Население!F81</f>
        <v>4.4463320463320457</v>
      </c>
      <c r="G81" s="90">
        <f>'Объем жил кредитов'!F81/Население!G81</f>
        <v>1.641828793774319</v>
      </c>
      <c r="H81" s="89">
        <f>'Объем жил кредитов'!G81/Население!H81</f>
        <v>4.0804828973843055</v>
      </c>
      <c r="I81" s="84">
        <f t="shared" si="1"/>
        <v>8.7545719662102162</v>
      </c>
      <c r="J81" s="89">
        <f>'Объем жил кредитов'!I81/Население!J81</f>
        <v>9.3481781376518214</v>
      </c>
      <c r="K81" s="89">
        <f>'Объем жил кредитов'!J81/Население!K81</f>
        <v>10.545824847250509</v>
      </c>
      <c r="L81" s="89">
        <f>'Объем жил кредитов'!K81/Население!L81</f>
        <v>15.901639344262295</v>
      </c>
      <c r="M81" s="89">
        <f>'Объем жил кредитов'!L81/Население!M81</f>
        <v>10.414784394250514</v>
      </c>
      <c r="N81" s="89">
        <f>'Объем жил кредитов'!M81/Население!N81</f>
        <v>12.940451745379876</v>
      </c>
      <c r="O81" s="89">
        <f>'Объем жил кредитов'!N81/Население!O81</f>
        <v>18.575510204081631</v>
      </c>
      <c r="P81" s="89">
        <f>'Объем жил кредитов'!O81/Население!P81</f>
        <v>27.514285714285716</v>
      </c>
      <c r="Q81" s="89">
        <f>'Объем жил кредитов'!P81/Население!Q81</f>
        <v>27.702868852459016</v>
      </c>
      <c r="R81" s="89">
        <f>'Объем жил кредитов'!Q81/Население!R81</f>
        <v>46.222222222222221</v>
      </c>
    </row>
    <row r="82" spans="1:18" x14ac:dyDescent="0.25">
      <c r="A82" s="85">
        <v>81</v>
      </c>
      <c r="B82" s="84" t="s">
        <v>81</v>
      </c>
      <c r="C82" s="89">
        <f>'Объем жил кредитов'!B82/Население!C82</f>
        <v>8.7912087912087919E-2</v>
      </c>
      <c r="D82" s="90">
        <f>'Объем жил кредитов'!C82/Население!D82</f>
        <v>0.54759358288770055</v>
      </c>
      <c r="E82" s="90">
        <f>'Объем жил кредитов'!D82/Население!E82</f>
        <v>2.1548387096774193</v>
      </c>
      <c r="F82" s="90">
        <f>'Объем жил кредитов'!E82/Население!F82</f>
        <v>3.2543010752688168</v>
      </c>
      <c r="G82" s="90">
        <f>'Объем жил кредитов'!F82/Население!G82</f>
        <v>1.2567567567567568</v>
      </c>
      <c r="H82" s="89">
        <f>'Объем жил кредитов'!G82/Население!H82</f>
        <v>2.6193181818181817</v>
      </c>
      <c r="I82" s="84">
        <f t="shared" si="1"/>
        <v>5.6684511297950602</v>
      </c>
      <c r="J82" s="89">
        <f>'Объем жил кредитов'!I82/Население!J82</f>
        <v>6.098265895953757</v>
      </c>
      <c r="K82" s="89">
        <f>'Объем жил кредитов'!J82/Население!K82</f>
        <v>6.5497076023391809</v>
      </c>
      <c r="L82" s="89">
        <f>'Объем жил кредитов'!K82/Население!L82</f>
        <v>10.78698224852071</v>
      </c>
      <c r="M82" s="89">
        <f>'Объем жил кредитов'!L82/Население!M82</f>
        <v>5.7590361445783129</v>
      </c>
      <c r="N82" s="89">
        <f>'Объем жил кредитов'!M82/Население!N82</f>
        <v>6.3597560975609753</v>
      </c>
      <c r="O82" s="89">
        <f>'Объем жил кредитов'!N82/Население!O82</f>
        <v>8.7407407407407405</v>
      </c>
      <c r="P82" s="89">
        <f>'Объем жил кредитов'!O82/Население!P82</f>
        <v>14.55</v>
      </c>
      <c r="Q82" s="89">
        <f>'Объем жил кредитов'!P82/Население!Q82</f>
        <v>13.075949367088608</v>
      </c>
      <c r="R82" s="89">
        <f>'Объем жил кредитов'!Q82/Население!R82</f>
        <v>18.738853503184714</v>
      </c>
    </row>
    <row r="83" spans="1:18" x14ac:dyDescent="0.25">
      <c r="A83" s="85">
        <v>82</v>
      </c>
      <c r="B83" s="84" t="s">
        <v>82</v>
      </c>
      <c r="C83" s="89">
        <f>'Объем жил кредитов'!B83/Население!C83</f>
        <v>0.11538461538461539</v>
      </c>
      <c r="D83" s="90">
        <f>'Объем жил кредитов'!C83/Население!D83</f>
        <v>0.53921568627450978</v>
      </c>
      <c r="E83" s="90">
        <f>'Объем жил кредитов'!D83/Население!E83</f>
        <v>2.0780000000000003</v>
      </c>
      <c r="F83" s="90">
        <f>'Объем жил кредитов'!E83/Население!F83</f>
        <v>3.6180000000000003</v>
      </c>
      <c r="G83" s="90">
        <f>'Объем жил кредитов'!F83/Население!G83</f>
        <v>1.4780000000000002</v>
      </c>
      <c r="H83" s="89">
        <f>'Объем жил кредитов'!G83/Население!H83</f>
        <v>3.0392156862745097</v>
      </c>
      <c r="I83" s="84">
        <f t="shared" si="1"/>
        <v>7.1960784313725492</v>
      </c>
      <c r="J83" s="89">
        <f>'Объем жил кредитов'!I83/Население!J83</f>
        <v>8.3137254901960791</v>
      </c>
      <c r="K83" s="89">
        <f>'Объем жил кредитов'!J83/Население!K83</f>
        <v>10.980392156862745</v>
      </c>
      <c r="L83" s="89">
        <f>'Объем жил кредитов'!K83/Население!L83</f>
        <v>18.019607843137255</v>
      </c>
      <c r="M83" s="89">
        <f>'Объем жил кредитов'!L83/Население!M83</f>
        <v>13.02</v>
      </c>
      <c r="N83" s="89">
        <f>'Объем жил кредитов'!M83/Население!N83</f>
        <v>15.1</v>
      </c>
      <c r="O83" s="89">
        <f>'Объем жил кредитов'!N83/Население!O83</f>
        <v>20.2</v>
      </c>
      <c r="P83" s="89">
        <f>'Объем жил кредитов'!O83/Население!P83</f>
        <v>30.08</v>
      </c>
      <c r="Q83" s="89">
        <f>'Объем жил кредитов'!P83/Население!Q83</f>
        <v>33.36</v>
      </c>
      <c r="R83" s="89">
        <f>'Объем жил кредитов'!Q83/Население!R83</f>
        <v>51.18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85"/>
  <sheetViews>
    <sheetView workbookViewId="0">
      <selection activeCell="C1" sqref="C1"/>
    </sheetView>
  </sheetViews>
  <sheetFormatPr defaultRowHeight="15.75" x14ac:dyDescent="0.25"/>
  <cols>
    <col min="1" max="1" width="9" style="79" bestFit="1" customWidth="1"/>
    <col min="2" max="2" width="39.7109375" style="80" customWidth="1"/>
    <col min="3" max="18" width="9.140625" style="79"/>
    <col min="19" max="19" width="11.7109375" style="80" bestFit="1" customWidth="1"/>
    <col min="20" max="16384" width="9.140625" style="80"/>
  </cols>
  <sheetData>
    <row r="1" spans="1:17" x14ac:dyDescent="0.25">
      <c r="A1" s="85" t="s">
        <v>216</v>
      </c>
      <c r="B1" s="86" t="s">
        <v>217</v>
      </c>
      <c r="C1" s="80" t="s">
        <v>218</v>
      </c>
      <c r="D1" s="80" t="s">
        <v>215</v>
      </c>
      <c r="E1" s="85"/>
      <c r="F1" s="85"/>
      <c r="G1" s="85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5">
        <v>1</v>
      </c>
      <c r="B2" s="85">
        <v>0.69756707924609895</v>
      </c>
      <c r="C2" s="187">
        <v>43831</v>
      </c>
      <c r="D2" s="80">
        <v>38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x14ac:dyDescent="0.25">
      <c r="A3" s="85">
        <v>2</v>
      </c>
      <c r="B3" s="85">
        <v>0.68483110386062307</v>
      </c>
      <c r="C3" s="187">
        <v>43831</v>
      </c>
      <c r="D3" s="80">
        <v>38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x14ac:dyDescent="0.25">
      <c r="A4" s="85">
        <v>3</v>
      </c>
      <c r="B4" s="85">
        <v>0.70460618408327247</v>
      </c>
      <c r="C4" s="187">
        <v>43831</v>
      </c>
      <c r="D4" s="80">
        <v>38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</row>
    <row r="5" spans="1:17" x14ac:dyDescent="0.25">
      <c r="A5" s="85">
        <v>4</v>
      </c>
      <c r="B5" s="85">
        <v>0.71902378366121944</v>
      </c>
      <c r="C5" s="187">
        <v>43831</v>
      </c>
      <c r="D5" s="80">
        <v>38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7" x14ac:dyDescent="0.25">
      <c r="A6" s="85">
        <v>5</v>
      </c>
      <c r="B6" s="85">
        <v>0.64269024209092018</v>
      </c>
      <c r="C6" s="187">
        <v>43831</v>
      </c>
      <c r="D6" s="80">
        <v>38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17" x14ac:dyDescent="0.25">
      <c r="A7" s="85">
        <v>6</v>
      </c>
      <c r="B7" s="85">
        <v>0.77830126161988089</v>
      </c>
      <c r="C7" s="187">
        <v>43831</v>
      </c>
      <c r="D7" s="80">
        <v>38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1:17" x14ac:dyDescent="0.25">
      <c r="A8" s="85">
        <v>7</v>
      </c>
      <c r="B8" s="85">
        <v>0.69136224003383906</v>
      </c>
      <c r="C8" s="187">
        <v>43831</v>
      </c>
      <c r="D8" s="80">
        <v>38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7" x14ac:dyDescent="0.25">
      <c r="A9" s="85">
        <v>8</v>
      </c>
      <c r="B9" s="85">
        <v>0.69102407290259793</v>
      </c>
      <c r="C9" s="187">
        <v>43831</v>
      </c>
      <c r="D9" s="80">
        <v>38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</row>
    <row r="10" spans="1:17" x14ac:dyDescent="0.25">
      <c r="A10" s="85">
        <v>9</v>
      </c>
      <c r="B10" s="85">
        <v>0.69437287770416323</v>
      </c>
      <c r="C10" s="187">
        <v>43831</v>
      </c>
      <c r="D10" s="80">
        <v>38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</row>
    <row r="11" spans="1:17" x14ac:dyDescent="0.25">
      <c r="A11" s="85">
        <v>10</v>
      </c>
      <c r="B11" s="85">
        <v>0.84663300126390073</v>
      </c>
      <c r="C11" s="187">
        <v>43831</v>
      </c>
      <c r="D11" s="80">
        <v>38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</row>
    <row r="12" spans="1:17" x14ac:dyDescent="0.25">
      <c r="A12" s="85">
        <v>11</v>
      </c>
      <c r="B12" s="85">
        <v>0.73584269642555433</v>
      </c>
      <c r="C12" s="187">
        <v>43831</v>
      </c>
      <c r="D12" s="80">
        <v>38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</row>
    <row r="13" spans="1:17" x14ac:dyDescent="0.25">
      <c r="A13" s="85">
        <v>12</v>
      </c>
      <c r="B13" s="85">
        <v>0.75084027437354095</v>
      </c>
      <c r="C13" s="187">
        <v>43831</v>
      </c>
      <c r="D13" s="80">
        <v>38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</row>
    <row r="14" spans="1:17" x14ac:dyDescent="0.25">
      <c r="A14" s="85">
        <v>13</v>
      </c>
      <c r="B14" s="85">
        <v>0.70395021771974919</v>
      </c>
      <c r="C14" s="187">
        <v>43831</v>
      </c>
      <c r="D14" s="80">
        <v>38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</row>
    <row r="15" spans="1:17" x14ac:dyDescent="0.25">
      <c r="A15" s="85">
        <v>14</v>
      </c>
      <c r="B15" s="85">
        <v>0.67458815801279659</v>
      </c>
      <c r="C15" s="187">
        <v>43831</v>
      </c>
      <c r="D15" s="80">
        <v>38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</row>
    <row r="16" spans="1:17" x14ac:dyDescent="0.25">
      <c r="A16" s="85">
        <v>15</v>
      </c>
      <c r="B16" s="85">
        <v>0.74467783305787816</v>
      </c>
      <c r="C16" s="187">
        <v>43831</v>
      </c>
      <c r="D16" s="80">
        <v>38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</row>
    <row r="17" spans="1:17" x14ac:dyDescent="0.25">
      <c r="A17" s="85">
        <v>16</v>
      </c>
      <c r="B17" s="85">
        <v>0.73627463803717563</v>
      </c>
      <c r="C17" s="187">
        <v>43831</v>
      </c>
      <c r="D17" s="80">
        <v>38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</row>
    <row r="18" spans="1:17" x14ac:dyDescent="0.25">
      <c r="A18" s="85">
        <v>17</v>
      </c>
      <c r="B18" s="85">
        <v>0.69118641872805942</v>
      </c>
      <c r="C18" s="187">
        <v>43831</v>
      </c>
      <c r="D18" s="80">
        <v>38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</row>
    <row r="19" spans="1:17" x14ac:dyDescent="0.25">
      <c r="A19" s="85">
        <v>18</v>
      </c>
      <c r="B19" s="85">
        <v>0.8580409826350831</v>
      </c>
      <c r="C19" s="187">
        <v>43831</v>
      </c>
      <c r="D19" s="80">
        <v>38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</row>
    <row r="20" spans="1:17" x14ac:dyDescent="0.25">
      <c r="A20" s="85">
        <v>19</v>
      </c>
      <c r="B20" s="85">
        <v>0.76602599924261539</v>
      </c>
      <c r="C20" s="187">
        <v>43831</v>
      </c>
      <c r="D20" s="80">
        <v>38</v>
      </c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</row>
    <row r="21" spans="1:17" x14ac:dyDescent="0.25">
      <c r="A21" s="85">
        <v>20</v>
      </c>
      <c r="B21" s="85">
        <v>0.79673413432268281</v>
      </c>
      <c r="C21" s="187">
        <v>43831</v>
      </c>
      <c r="D21" s="80">
        <v>38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</row>
    <row r="22" spans="1:17" x14ac:dyDescent="0.25">
      <c r="A22" s="85">
        <v>21</v>
      </c>
      <c r="B22" s="85">
        <v>0.79683239836669018</v>
      </c>
      <c r="C22" s="187">
        <v>43831</v>
      </c>
      <c r="D22" s="80">
        <v>38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</row>
    <row r="23" spans="1:17" x14ac:dyDescent="0.25">
      <c r="A23" s="85">
        <v>22</v>
      </c>
      <c r="B23" s="85">
        <v>0.74995848827904921</v>
      </c>
      <c r="C23" s="187">
        <v>43831</v>
      </c>
      <c r="D23" s="80">
        <v>38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</row>
    <row r="24" spans="1:17" x14ac:dyDescent="0.25">
      <c r="A24" s="85">
        <v>23</v>
      </c>
      <c r="B24" s="85">
        <v>0.75715957131524458</v>
      </c>
      <c r="C24" s="187">
        <v>43831</v>
      </c>
      <c r="D24" s="80">
        <v>38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</row>
    <row r="25" spans="1:17" x14ac:dyDescent="0.25">
      <c r="A25" s="85">
        <v>24</v>
      </c>
      <c r="B25" s="85">
        <v>0.80909538572144901</v>
      </c>
      <c r="C25" s="187">
        <v>43831</v>
      </c>
      <c r="D25" s="80">
        <v>38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</row>
    <row r="26" spans="1:17" x14ac:dyDescent="0.25">
      <c r="A26" s="85">
        <v>25</v>
      </c>
      <c r="B26" s="85">
        <v>0.7812545190786212</v>
      </c>
      <c r="C26" s="187">
        <v>43831</v>
      </c>
      <c r="D26" s="80">
        <v>38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</row>
    <row r="27" spans="1:17" x14ac:dyDescent="0.25">
      <c r="A27" s="85">
        <v>26</v>
      </c>
      <c r="B27" s="85">
        <v>0.72034901268561091</v>
      </c>
      <c r="C27" s="187">
        <v>43831</v>
      </c>
      <c r="D27" s="80">
        <v>38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</row>
    <row r="28" spans="1:17" x14ac:dyDescent="0.25">
      <c r="A28" s="85">
        <v>27</v>
      </c>
      <c r="B28" s="85">
        <v>0.67615416726839006</v>
      </c>
      <c r="C28" s="187">
        <v>43831</v>
      </c>
      <c r="D28" s="80">
        <v>38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</row>
    <row r="29" spans="1:17" x14ac:dyDescent="0.25">
      <c r="A29" s="85">
        <v>28</v>
      </c>
      <c r="B29" s="85">
        <v>0.86481938988293794</v>
      </c>
      <c r="C29" s="187">
        <v>43831</v>
      </c>
      <c r="D29" s="80">
        <v>38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</row>
    <row r="30" spans="1:17" x14ac:dyDescent="0.25">
      <c r="A30" s="85">
        <v>29</v>
      </c>
      <c r="B30" s="85">
        <v>0.55706058269853109</v>
      </c>
      <c r="C30" s="187">
        <v>43831</v>
      </c>
      <c r="D30" s="80">
        <v>38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</row>
    <row r="31" spans="1:17" x14ac:dyDescent="0.25">
      <c r="A31" s="85">
        <v>30</v>
      </c>
      <c r="B31" s="85">
        <v>0.76494251180676442</v>
      </c>
      <c r="C31" s="187">
        <v>43831</v>
      </c>
      <c r="D31" s="80">
        <v>38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</row>
    <row r="32" spans="1:17" x14ac:dyDescent="0.25">
      <c r="A32" s="85">
        <v>31</v>
      </c>
      <c r="B32" s="85">
        <v>0.39623753252105726</v>
      </c>
      <c r="C32" s="187">
        <v>43831</v>
      </c>
      <c r="D32" s="80">
        <v>38</v>
      </c>
      <c r="E32" s="111"/>
      <c r="F32" s="111"/>
      <c r="G32" s="111"/>
      <c r="H32" s="111"/>
      <c r="I32" s="111"/>
      <c r="J32" s="111"/>
      <c r="K32" s="111"/>
      <c r="L32" s="85"/>
      <c r="M32" s="85"/>
      <c r="N32" s="85"/>
      <c r="O32" s="85"/>
      <c r="P32" s="85"/>
      <c r="Q32" s="85"/>
    </row>
    <row r="33" spans="1:17" x14ac:dyDescent="0.25">
      <c r="A33" s="85">
        <v>32</v>
      </c>
      <c r="B33" s="85">
        <v>0.68706631246325589</v>
      </c>
      <c r="C33" s="187">
        <v>43831</v>
      </c>
      <c r="D33" s="80">
        <v>38</v>
      </c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</row>
    <row r="34" spans="1:17" x14ac:dyDescent="0.25">
      <c r="A34" s="85">
        <v>33</v>
      </c>
      <c r="B34" s="85">
        <v>0.67080242952885383</v>
      </c>
      <c r="C34" s="187">
        <v>43831</v>
      </c>
      <c r="D34" s="80">
        <v>38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</row>
    <row r="35" spans="1:17" x14ac:dyDescent="0.25">
      <c r="A35" s="85">
        <v>34</v>
      </c>
      <c r="B35" s="85">
        <v>0.67772991632800517</v>
      </c>
      <c r="C35" s="187">
        <v>43831</v>
      </c>
      <c r="D35" s="80">
        <v>38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x14ac:dyDescent="0.25">
      <c r="A36" s="85">
        <v>35</v>
      </c>
      <c r="B36" s="85">
        <v>0.68684302017014964</v>
      </c>
      <c r="C36" s="187">
        <v>43831</v>
      </c>
      <c r="D36" s="80">
        <v>38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</row>
    <row r="37" spans="1:17" x14ac:dyDescent="0.25">
      <c r="A37" s="85">
        <v>36</v>
      </c>
      <c r="B37" s="85">
        <v>0.47321098982088844</v>
      </c>
      <c r="C37" s="187">
        <v>43831</v>
      </c>
      <c r="D37" s="80">
        <v>38</v>
      </c>
      <c r="E37" s="111"/>
      <c r="F37" s="111"/>
      <c r="G37" s="111"/>
      <c r="H37" s="111"/>
      <c r="I37" s="111"/>
      <c r="J37" s="111"/>
      <c r="K37" s="111"/>
      <c r="L37" s="85"/>
      <c r="M37" s="85"/>
      <c r="N37" s="85"/>
      <c r="O37" s="85"/>
      <c r="P37" s="85"/>
      <c r="Q37" s="85"/>
    </row>
    <row r="38" spans="1:17" x14ac:dyDescent="0.25">
      <c r="A38" s="85">
        <v>37</v>
      </c>
      <c r="B38" s="85">
        <v>0.23693685855447963</v>
      </c>
      <c r="C38" s="187">
        <v>43831</v>
      </c>
      <c r="D38" s="80">
        <v>38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</row>
    <row r="39" spans="1:17" x14ac:dyDescent="0.25">
      <c r="A39" s="85">
        <v>38</v>
      </c>
      <c r="B39" s="85">
        <v>2.3169827879275719E-2</v>
      </c>
      <c r="C39" s="187">
        <v>43831</v>
      </c>
      <c r="D39" s="80">
        <v>38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</row>
    <row r="40" spans="1:17" x14ac:dyDescent="0.25">
      <c r="A40" s="85">
        <v>39</v>
      </c>
      <c r="B40" s="85">
        <v>0.46562548287568983</v>
      </c>
      <c r="C40" s="187">
        <v>43831</v>
      </c>
      <c r="D40" s="80">
        <v>38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</row>
    <row r="41" spans="1:17" x14ac:dyDescent="0.25">
      <c r="A41" s="85">
        <v>40</v>
      </c>
      <c r="B41" s="85">
        <v>0.48634965667245489</v>
      </c>
      <c r="C41" s="187">
        <v>43831</v>
      </c>
      <c r="D41" s="80">
        <v>38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</row>
    <row r="42" spans="1:17" x14ac:dyDescent="0.25">
      <c r="A42" s="85">
        <v>41</v>
      </c>
      <c r="B42" s="85">
        <v>0.54185606415587373</v>
      </c>
      <c r="C42" s="187">
        <v>43831</v>
      </c>
      <c r="D42" s="80">
        <v>38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</row>
    <row r="43" spans="1:17" x14ac:dyDescent="0.25">
      <c r="A43" s="85">
        <v>42</v>
      </c>
      <c r="B43" s="85">
        <v>0.11155512778087323</v>
      </c>
      <c r="C43" s="187">
        <v>43831</v>
      </c>
      <c r="D43" s="80">
        <v>38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</row>
    <row r="44" spans="1:17" x14ac:dyDescent="0.25">
      <c r="A44" s="85">
        <v>43</v>
      </c>
      <c r="B44" s="85">
        <v>0.62107453465147877</v>
      </c>
      <c r="C44" s="187">
        <v>43831</v>
      </c>
      <c r="D44" s="80">
        <v>38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</row>
    <row r="45" spans="1:17" x14ac:dyDescent="0.25">
      <c r="A45" s="85">
        <v>44</v>
      </c>
      <c r="B45" s="85">
        <v>0.77797745468826429</v>
      </c>
      <c r="C45" s="187">
        <v>43831</v>
      </c>
      <c r="D45" s="80">
        <v>38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</row>
    <row r="46" spans="1:17" x14ac:dyDescent="0.25">
      <c r="A46" s="85">
        <v>45</v>
      </c>
      <c r="B46" s="85">
        <v>0.7031859370716308</v>
      </c>
      <c r="C46" s="187">
        <v>43831</v>
      </c>
      <c r="D46" s="80">
        <v>38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</row>
    <row r="47" spans="1:17" x14ac:dyDescent="0.25">
      <c r="A47" s="85">
        <v>46</v>
      </c>
      <c r="B47" s="85">
        <v>0.69722500080676664</v>
      </c>
      <c r="C47" s="187">
        <v>43831</v>
      </c>
      <c r="D47" s="80">
        <v>38</v>
      </c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</row>
    <row r="48" spans="1:17" x14ac:dyDescent="0.25">
      <c r="A48" s="85">
        <v>47</v>
      </c>
      <c r="B48" s="85">
        <v>0.80397101947693617</v>
      </c>
      <c r="C48" s="187">
        <v>43831</v>
      </c>
      <c r="D48" s="80">
        <v>38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</row>
    <row r="49" spans="1:17" x14ac:dyDescent="0.25">
      <c r="A49" s="85">
        <v>48</v>
      </c>
      <c r="B49" s="85">
        <v>0.77104387760368376</v>
      </c>
      <c r="C49" s="187">
        <v>43831</v>
      </c>
      <c r="D49" s="80">
        <v>38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</row>
    <row r="50" spans="1:17" x14ac:dyDescent="0.25">
      <c r="A50" s="85">
        <v>49</v>
      </c>
      <c r="B50" s="85">
        <v>0.78751421849541525</v>
      </c>
      <c r="C50" s="187">
        <v>43831</v>
      </c>
      <c r="D50" s="80">
        <v>38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</row>
    <row r="51" spans="1:17" x14ac:dyDescent="0.25">
      <c r="A51" s="85">
        <v>50</v>
      </c>
      <c r="B51" s="85">
        <v>0.76761277878612388</v>
      </c>
      <c r="C51" s="187">
        <v>43831</v>
      </c>
      <c r="D51" s="80">
        <v>38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</row>
    <row r="52" spans="1:17" x14ac:dyDescent="0.25">
      <c r="A52" s="85">
        <v>51</v>
      </c>
      <c r="B52" s="85">
        <v>0.7436187912938399</v>
      </c>
      <c r="C52" s="187">
        <v>43831</v>
      </c>
      <c r="D52" s="80">
        <v>38</v>
      </c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</row>
    <row r="53" spans="1:17" x14ac:dyDescent="0.25">
      <c r="A53" s="85">
        <v>52</v>
      </c>
      <c r="B53" s="85">
        <v>0.72905339944584258</v>
      </c>
      <c r="C53" s="187">
        <v>43831</v>
      </c>
      <c r="D53" s="80">
        <v>38</v>
      </c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</row>
    <row r="54" spans="1:17" x14ac:dyDescent="0.25">
      <c r="A54" s="85">
        <v>53</v>
      </c>
      <c r="B54" s="85">
        <v>0.74255557768234881</v>
      </c>
      <c r="C54" s="187">
        <v>43831</v>
      </c>
      <c r="D54" s="80">
        <v>38</v>
      </c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</row>
    <row r="55" spans="1:17" x14ac:dyDescent="0.25">
      <c r="A55" s="85">
        <v>54</v>
      </c>
      <c r="B55" s="85">
        <v>0.71938139033018911</v>
      </c>
      <c r="C55" s="187">
        <v>43831</v>
      </c>
      <c r="D55" s="80">
        <v>38</v>
      </c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</row>
    <row r="56" spans="1:17" x14ac:dyDescent="0.25">
      <c r="A56" s="85">
        <v>55</v>
      </c>
      <c r="B56" s="85">
        <v>0.72179344773395493</v>
      </c>
      <c r="C56" s="187">
        <v>43831</v>
      </c>
      <c r="D56" s="80">
        <v>38</v>
      </c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</row>
    <row r="57" spans="1:17" x14ac:dyDescent="0.25">
      <c r="A57" s="85">
        <v>56</v>
      </c>
      <c r="B57" s="85">
        <v>0.69023084531842727</v>
      </c>
      <c r="C57" s="187">
        <v>43831</v>
      </c>
      <c r="D57" s="80">
        <v>38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</row>
    <row r="58" spans="1:17" x14ac:dyDescent="0.25">
      <c r="A58" s="85">
        <v>57</v>
      </c>
      <c r="B58" s="85">
        <v>0.70993639899322336</v>
      </c>
      <c r="C58" s="187">
        <v>43831</v>
      </c>
      <c r="D58" s="80">
        <v>38</v>
      </c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</row>
    <row r="59" spans="1:17" x14ac:dyDescent="0.25">
      <c r="A59" s="85">
        <v>58</v>
      </c>
      <c r="B59" s="85">
        <v>0.70111592460818739</v>
      </c>
      <c r="C59" s="187">
        <v>43831</v>
      </c>
      <c r="D59" s="80">
        <v>38</v>
      </c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</row>
    <row r="60" spans="1:17" x14ac:dyDescent="0.25">
      <c r="A60" s="85">
        <v>59</v>
      </c>
      <c r="B60" s="85">
        <v>0.78527030128247222</v>
      </c>
      <c r="C60" s="187">
        <v>43831</v>
      </c>
      <c r="D60" s="80">
        <v>38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</row>
    <row r="61" spans="1:17" x14ac:dyDescent="0.25">
      <c r="A61" s="85">
        <v>60</v>
      </c>
      <c r="B61" s="85">
        <v>0.85792817645647423</v>
      </c>
      <c r="C61" s="187">
        <v>43831</v>
      </c>
      <c r="D61" s="80">
        <v>38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</row>
    <row r="62" spans="1:17" x14ac:dyDescent="0.25">
      <c r="A62" s="85">
        <v>61</v>
      </c>
      <c r="B62" s="85">
        <v>0.72201762836024852</v>
      </c>
      <c r="C62" s="187">
        <v>43831</v>
      </c>
      <c r="D62" s="80">
        <v>38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17" x14ac:dyDescent="0.25">
      <c r="A63" s="85">
        <v>62</v>
      </c>
      <c r="B63" s="85">
        <v>0.48637102965052875</v>
      </c>
      <c r="C63" s="187">
        <v>43831</v>
      </c>
      <c r="D63" s="80">
        <v>38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17" x14ac:dyDescent="0.25">
      <c r="A64" s="85">
        <v>63</v>
      </c>
      <c r="B64" s="85">
        <v>0.67892218510543834</v>
      </c>
      <c r="C64" s="187">
        <v>43831</v>
      </c>
      <c r="D64" s="80">
        <v>38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1:17" x14ac:dyDescent="0.25">
      <c r="A65" s="85">
        <v>64</v>
      </c>
      <c r="B65" s="85">
        <v>0.66333285191769298</v>
      </c>
      <c r="C65" s="187">
        <v>43831</v>
      </c>
      <c r="D65" s="80">
        <v>38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</row>
    <row r="66" spans="1:17" x14ac:dyDescent="0.25">
      <c r="A66" s="85">
        <v>65</v>
      </c>
      <c r="B66" s="85">
        <v>0.70080843684898875</v>
      </c>
      <c r="C66" s="187">
        <v>43831</v>
      </c>
      <c r="D66" s="80">
        <v>38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</row>
    <row r="67" spans="1:17" x14ac:dyDescent="0.25">
      <c r="A67" s="85">
        <v>66</v>
      </c>
      <c r="B67" s="85">
        <v>0.71118423260312047</v>
      </c>
      <c r="C67" s="187">
        <v>43831</v>
      </c>
      <c r="D67" s="80">
        <v>38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</row>
    <row r="68" spans="1:17" x14ac:dyDescent="0.25">
      <c r="A68" s="85">
        <v>67</v>
      </c>
      <c r="B68" s="85">
        <v>0.69088961907705981</v>
      </c>
      <c r="C68" s="187">
        <v>43831</v>
      </c>
      <c r="D68" s="80">
        <v>38</v>
      </c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</row>
    <row r="69" spans="1:17" x14ac:dyDescent="0.25">
      <c r="A69" s="85">
        <v>68</v>
      </c>
      <c r="B69" s="85">
        <v>0.78778076024498778</v>
      </c>
      <c r="C69" s="187">
        <v>43831</v>
      </c>
      <c r="D69" s="80">
        <v>38</v>
      </c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</row>
    <row r="70" spans="1:17" x14ac:dyDescent="0.25">
      <c r="A70" s="85">
        <v>69</v>
      </c>
      <c r="B70" s="85">
        <v>0.73572513430419928</v>
      </c>
      <c r="C70" s="187">
        <v>43831</v>
      </c>
      <c r="D70" s="80">
        <v>38</v>
      </c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</row>
    <row r="71" spans="1:17" x14ac:dyDescent="0.25">
      <c r="A71" s="85">
        <v>70</v>
      </c>
      <c r="B71" s="85">
        <v>0.70474395063733453</v>
      </c>
      <c r="C71" s="187">
        <v>43831</v>
      </c>
      <c r="D71" s="80">
        <v>38</v>
      </c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</row>
    <row r="72" spans="1:17" x14ac:dyDescent="0.25">
      <c r="A72" s="85">
        <v>71</v>
      </c>
      <c r="B72" s="85">
        <v>0.815536485165551</v>
      </c>
      <c r="C72" s="187">
        <v>43831</v>
      </c>
      <c r="D72" s="80">
        <v>38</v>
      </c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</row>
    <row r="73" spans="1:17" x14ac:dyDescent="0.25">
      <c r="A73" s="85">
        <v>72</v>
      </c>
      <c r="B73" s="85">
        <v>0.75143459846658012</v>
      </c>
      <c r="C73" s="187">
        <v>43831</v>
      </c>
      <c r="D73" s="80">
        <v>38</v>
      </c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</row>
    <row r="74" spans="1:17" x14ac:dyDescent="0.25">
      <c r="A74" s="85">
        <v>73</v>
      </c>
      <c r="B74" s="85">
        <v>0.75186438095204444</v>
      </c>
      <c r="C74" s="187">
        <v>43831</v>
      </c>
      <c r="D74" s="80">
        <v>38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</row>
    <row r="75" spans="1:17" x14ac:dyDescent="0.25">
      <c r="A75" s="85">
        <v>74</v>
      </c>
      <c r="B75" s="85">
        <v>0.84810505863106855</v>
      </c>
      <c r="C75" s="187">
        <v>43831</v>
      </c>
      <c r="D75" s="80">
        <v>38</v>
      </c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</row>
    <row r="76" spans="1:17" x14ac:dyDescent="0.25">
      <c r="A76" s="85">
        <v>75</v>
      </c>
      <c r="B76" s="85">
        <v>0.81245665183170046</v>
      </c>
      <c r="C76" s="187">
        <v>43831</v>
      </c>
      <c r="D76" s="80">
        <v>38</v>
      </c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</row>
    <row r="77" spans="1:17" x14ac:dyDescent="0.25">
      <c r="A77" s="85">
        <v>76</v>
      </c>
      <c r="B77" s="85">
        <v>0.79064502271023984</v>
      </c>
      <c r="C77" s="187">
        <v>43831</v>
      </c>
      <c r="D77" s="80">
        <v>38</v>
      </c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</row>
    <row r="78" spans="1:17" x14ac:dyDescent="0.25">
      <c r="A78" s="85">
        <v>77</v>
      </c>
      <c r="B78" s="85">
        <v>0.80904798310504289</v>
      </c>
      <c r="C78" s="187">
        <v>43831</v>
      </c>
      <c r="D78" s="80">
        <v>38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</row>
    <row r="79" spans="1:17" x14ac:dyDescent="0.25">
      <c r="A79" s="85">
        <v>78</v>
      </c>
      <c r="B79" s="85">
        <v>0.78157802042743452</v>
      </c>
      <c r="C79" s="187">
        <v>43831</v>
      </c>
      <c r="D79" s="80">
        <v>38</v>
      </c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</row>
    <row r="80" spans="1:17" x14ac:dyDescent="0.25">
      <c r="A80" s="85">
        <v>79</v>
      </c>
      <c r="B80" s="85">
        <v>0.86228265818099303</v>
      </c>
      <c r="C80" s="187">
        <v>43831</v>
      </c>
      <c r="D80" s="80">
        <v>38</v>
      </c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</row>
    <row r="81" spans="1:17" x14ac:dyDescent="0.25">
      <c r="A81" s="85">
        <v>80</v>
      </c>
      <c r="B81" s="85">
        <v>0.84219449821520143</v>
      </c>
      <c r="C81" s="187">
        <v>43831</v>
      </c>
      <c r="D81" s="80">
        <v>38</v>
      </c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</row>
    <row r="82" spans="1:17" x14ac:dyDescent="0.25">
      <c r="A82" s="85">
        <v>81</v>
      </c>
      <c r="B82" s="85">
        <v>0.65466387998229059</v>
      </c>
      <c r="C82" s="187">
        <v>43831</v>
      </c>
      <c r="D82" s="80">
        <v>38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</row>
    <row r="83" spans="1:17" x14ac:dyDescent="0.25">
      <c r="A83" s="85">
        <v>82</v>
      </c>
      <c r="B83" s="85">
        <v>0.85632309837563036</v>
      </c>
      <c r="C83" s="187">
        <v>43831</v>
      </c>
      <c r="D83" s="80">
        <v>38</v>
      </c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</row>
    <row r="85" spans="1:17" x14ac:dyDescent="0.25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59999389629810485"/>
  </sheetPr>
  <dimension ref="A1:R83"/>
  <sheetViews>
    <sheetView topLeftCell="G53" workbookViewId="0">
      <selection activeCell="R2" sqref="R2:R83"/>
    </sheetView>
  </sheetViews>
  <sheetFormatPr defaultRowHeight="15.75" x14ac:dyDescent="0.25"/>
  <cols>
    <col min="1" max="1" width="7.85546875" style="79" customWidth="1"/>
    <col min="2" max="2" width="35.42578125" style="80" customWidth="1"/>
    <col min="3" max="16384" width="9.140625" style="80"/>
  </cols>
  <sheetData>
    <row r="1" spans="1:18" x14ac:dyDescent="0.25">
      <c r="A1" s="85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5">
        <v>1</v>
      </c>
      <c r="B2" s="84" t="s">
        <v>1</v>
      </c>
      <c r="C2" s="84">
        <f>'Вклады юр и физ лиц'!B2/Население!C2</f>
        <v>10.146560846560847</v>
      </c>
      <c r="D2" s="84">
        <f>'Вклады юр и физ лиц'!C2/Население!D2</f>
        <v>14.733024487094639</v>
      </c>
      <c r="E2" s="84">
        <f>'Вклады юр и физ лиц'!D2/Население!E2</f>
        <v>20.578005284015852</v>
      </c>
      <c r="F2" s="84">
        <f>'Вклады юр и физ лиц'!E2/Население!F2</f>
        <v>26.108163265306125</v>
      </c>
      <c r="G2" s="84">
        <f>'Вклады юр и физ лиц'!F2/Население!G2</f>
        <v>28.205639344262295</v>
      </c>
      <c r="H2" s="84">
        <f>'Вклады юр и физ лиц'!G2/Население!H2</f>
        <v>36.494647519582244</v>
      </c>
      <c r="I2" s="84">
        <f>'Вклады юр и физ лиц'!H2/Население!I2</f>
        <v>49.39453125</v>
      </c>
      <c r="J2" s="84">
        <f>'Вклады юр и физ лиц'!I2/Население!J2</f>
        <v>62.271901362751457</v>
      </c>
      <c r="K2" s="84">
        <f>'Вклады юр и физ лиц'!J2/Население!K2</f>
        <v>74.34650259067358</v>
      </c>
      <c r="L2" s="84">
        <f>'Вклады юр и физ лиц'!K2/Население!L2</f>
        <v>84.307493540051681</v>
      </c>
      <c r="M2" s="84">
        <f>'Вклады юр и физ лиц'!L2/Население!M2</f>
        <v>90.01161290322581</v>
      </c>
      <c r="N2" s="84">
        <f>'Вклады юр и физ лиц'!M2/Население!N2</f>
        <v>104.66580811332904</v>
      </c>
      <c r="O2" s="84">
        <f>'Вклады юр и физ лиц'!N2/Население!O2</f>
        <v>114.47612903225806</v>
      </c>
      <c r="P2" s="84">
        <f>'Вклады юр и физ лиц'!O2/Население!P2</f>
        <v>123.96447028423772</v>
      </c>
      <c r="Q2" s="84">
        <f>'Вклады юр и физ лиц'!P2/Население!Q2</f>
        <v>155.76630083925113</v>
      </c>
      <c r="R2" s="84">
        <f>'Вклады юр и физ лиц'!Q2/Население!R2</f>
        <v>152.48085658663206</v>
      </c>
    </row>
    <row r="3" spans="1:18" x14ac:dyDescent="0.25">
      <c r="A3" s="85">
        <v>2</v>
      </c>
      <c r="B3" s="84" t="s">
        <v>2</v>
      </c>
      <c r="C3" s="84">
        <f>'Вклады юр и физ лиц'!B3/Население!C3</f>
        <v>5.3139412207987942</v>
      </c>
      <c r="D3" s="84">
        <f>'Вклады юр и физ лиц'!C3/Население!D3</f>
        <v>7.1660405709992485</v>
      </c>
      <c r="E3" s="84">
        <f>'Вклады юр и физ лиц'!D3/Население!E3</f>
        <v>10.790508731966591</v>
      </c>
      <c r="F3" s="84">
        <f>'Вклады юр и физ лиц'!E3/Население!F3</f>
        <v>14.002521008403361</v>
      </c>
      <c r="G3" s="84">
        <f>'Вклады юр и физ лиц'!F3/Население!G3</f>
        <v>15.370923076923077</v>
      </c>
      <c r="H3" s="84">
        <f>'Вклады юр и физ лиц'!G3/Население!H3</f>
        <v>20.16807843137255</v>
      </c>
      <c r="I3" s="84">
        <f>'Вклады юр и физ лиц'!H3/Население!I3</f>
        <v>28.741297468354432</v>
      </c>
      <c r="J3" s="84">
        <f>'Вклады юр и физ лиц'!I3/Население!J3</f>
        <v>36.116427432216909</v>
      </c>
      <c r="K3" s="84">
        <f>'Вклады юр и физ лиц'!J3/Население!K3</f>
        <v>47.033011272141707</v>
      </c>
      <c r="L3" s="84">
        <f>'Вклады юр и физ лиц'!K3/Население!L3</f>
        <v>56.607461476074612</v>
      </c>
      <c r="M3" s="84">
        <f>'Вклады юр и физ лиц'!L3/Население!M3</f>
        <v>56.907014681892335</v>
      </c>
      <c r="N3" s="84">
        <f>'Вклады юр и физ лиц'!M3/Население!N3</f>
        <v>67.004095004095007</v>
      </c>
      <c r="O3" s="84">
        <f>'Вклады юр и физ лиц'!N3/Население!O3</f>
        <v>76.341040462427742</v>
      </c>
      <c r="P3" s="84">
        <f>'Вклады юр и физ лиц'!O3/Население!P3</f>
        <v>87.608333333333334</v>
      </c>
      <c r="Q3" s="84">
        <f>'Вклады юр и физ лиц'!P3/Население!Q3</f>
        <v>95.664710813076283</v>
      </c>
      <c r="R3" s="84">
        <f>'Вклады юр и физ лиц'!Q3/Население!R3</f>
        <v>103.63736263736264</v>
      </c>
    </row>
    <row r="4" spans="1:18" x14ac:dyDescent="0.25">
      <c r="A4" s="85">
        <v>3</v>
      </c>
      <c r="B4" s="84" t="s">
        <v>3</v>
      </c>
      <c r="C4" s="84">
        <f>'Вклады юр и физ лиц'!B4/Население!C4</f>
        <v>7.7574024226110367</v>
      </c>
      <c r="D4" s="84">
        <f>'Вклады юр и физ лиц'!C4/Население!D4</f>
        <v>11.13754243041412</v>
      </c>
      <c r="E4" s="84">
        <f>'Вклады юр и физ лиц'!D4/Население!E4</f>
        <v>17.120973269362576</v>
      </c>
      <c r="F4" s="84">
        <f>'Вклады юр и физ лиц'!E4/Население!F4</f>
        <v>24.103726708074536</v>
      </c>
      <c r="G4" s="84">
        <f>'Вклады юр и физ лиц'!F4/Население!G4</f>
        <v>25.750069444444442</v>
      </c>
      <c r="H4" s="84">
        <f>'Вклады юр и физ лиц'!G4/Население!H4</f>
        <v>35.227133934767522</v>
      </c>
      <c r="I4" s="84">
        <f>'Вклады юр и физ лиц'!H4/Население!I4</f>
        <v>48.754189944134076</v>
      </c>
      <c r="J4" s="84">
        <f>'Вклады юр и физ лиц'!I4/Население!J4</f>
        <v>65.5393811533052</v>
      </c>
      <c r="K4" s="84">
        <f>'Вклады юр и физ лиц'!J4/Население!K4</f>
        <v>69.111111111111114</v>
      </c>
      <c r="L4" s="84">
        <f>'Вклады юр и физ лиц'!K4/Население!L4</f>
        <v>80.931721194879088</v>
      </c>
      <c r="M4" s="84">
        <f>'Вклады юр и физ лиц'!L4/Население!M4</f>
        <v>85.163922691481744</v>
      </c>
      <c r="N4" s="84">
        <f>'Вклады юр и физ лиц'!M4/Население!N4</f>
        <v>101.12517985611511</v>
      </c>
      <c r="O4" s="84">
        <f>'Вклады юр и физ лиц'!N4/Население!O4</f>
        <v>117.90058055152394</v>
      </c>
      <c r="P4" s="84">
        <f>'Вклады юр и физ лиц'!O4/Население!P4</f>
        <v>131.22840409956075</v>
      </c>
      <c r="Q4" s="84">
        <f>'Вклады юр и физ лиц'!P4/Население!Q4</f>
        <v>142.080265095729</v>
      </c>
      <c r="R4" s="84">
        <f>'Вклады юр и физ лиц'!Q4/Население!R4</f>
        <v>153.92995529061102</v>
      </c>
    </row>
    <row r="5" spans="1:18" x14ac:dyDescent="0.25">
      <c r="A5" s="85">
        <v>4</v>
      </c>
      <c r="B5" s="84" t="s">
        <v>4</v>
      </c>
      <c r="C5" s="84">
        <f>'Вклады юр и физ лиц'!B5/Население!C5</f>
        <v>8.6254553155442615</v>
      </c>
      <c r="D5" s="84">
        <f>'Вклады юр и физ лиц'!C5/Население!D5</f>
        <v>12.463569576490926</v>
      </c>
      <c r="E5" s="84">
        <f>'Вклады юр и физ лиц'!D5/Население!E5</f>
        <v>19.10222222222222</v>
      </c>
      <c r="F5" s="84">
        <f>'Вклады юр и физ лиц'!E5/Население!F5</f>
        <v>25.902938596491225</v>
      </c>
      <c r="G5" s="84">
        <f>'Вклады юр и физ лиц'!F5/Население!G5</f>
        <v>28.983612334801762</v>
      </c>
      <c r="H5" s="84">
        <f>'Вклады юр и физ лиц'!G5/Население!H5</f>
        <v>39.217173447537476</v>
      </c>
      <c r="I5" s="84">
        <f>'Вклады юр и физ лиц'!H5/Население!I5</f>
        <v>54.269296740994854</v>
      </c>
      <c r="J5" s="84">
        <f>'Вклады юр и физ лиц'!I5/Население!J5</f>
        <v>66.881115879828329</v>
      </c>
      <c r="K5" s="84">
        <f>'Вклады юр и физ лиц'!J5/Население!K5</f>
        <v>81.364104765993986</v>
      </c>
      <c r="L5" s="84">
        <f>'Вклады юр и физ лиц'!K5/Население!L5</f>
        <v>94.888030888030883</v>
      </c>
      <c r="M5" s="84">
        <f>'Вклады юр и физ лиц'!L5/Население!M5</f>
        <v>96.329189884269184</v>
      </c>
      <c r="N5" s="84">
        <f>'Вклады юр и физ лиц'!M5/Население!N5</f>
        <v>116.1524625267666</v>
      </c>
      <c r="O5" s="84">
        <f>'Вклады юр и физ лиц'!N5/Население!O5</f>
        <v>132.90398628375482</v>
      </c>
      <c r="P5" s="84">
        <f>'Вклады юр и физ лиц'!O5/Население!P5</f>
        <v>144.81142611683848</v>
      </c>
      <c r="Q5" s="84">
        <f>'Вклады юр и физ лиц'!P5/Население!Q5</f>
        <v>158.57659208261617</v>
      </c>
      <c r="R5" s="84">
        <f>'Вклады юр и физ лиц'!Q5/Население!R5</f>
        <v>173.18430182133565</v>
      </c>
    </row>
    <row r="6" spans="1:18" x14ac:dyDescent="0.25">
      <c r="A6" s="85">
        <v>5</v>
      </c>
      <c r="B6" s="84" t="s">
        <v>5</v>
      </c>
      <c r="C6" s="84">
        <f>'Вклады юр и физ лиц'!B6/Население!C6</f>
        <v>6.1297640653357535</v>
      </c>
      <c r="D6" s="84">
        <f>'Вклады юр и физ лиц'!C6/Население!D6</f>
        <v>9.1959090909090904</v>
      </c>
      <c r="E6" s="84">
        <f>'Вклады юр и физ лиц'!D6/Население!E6</f>
        <v>13.49375</v>
      </c>
      <c r="F6" s="84">
        <f>'Вклады юр и физ лиц'!E6/Население!F6</f>
        <v>19.338703703703704</v>
      </c>
      <c r="G6" s="84">
        <f>'Вклады юр и физ лиц'!F6/Население!G6</f>
        <v>21.039888164026095</v>
      </c>
      <c r="H6" s="84">
        <f>'Вклады юр и физ лиц'!G6/Население!H6</f>
        <v>27.637830188679246</v>
      </c>
      <c r="I6" s="84">
        <f>'Вклады юр и физ лиц'!H6/Население!I6</f>
        <v>38.680265654648956</v>
      </c>
      <c r="J6" s="84">
        <f>'Вклады юр и физ лиц'!I6/Население!J6</f>
        <v>47.629170638703528</v>
      </c>
      <c r="K6" s="84">
        <f>'Вклады юр и физ лиц'!J6/Население!K6</f>
        <v>58.807286673058485</v>
      </c>
      <c r="L6" s="84">
        <f>'Вклады юр и физ лиц'!K6/Население!L6</f>
        <v>71.481195756991326</v>
      </c>
      <c r="M6" s="84">
        <f>'Вклады юр и физ лиц'!L6/Население!M6</f>
        <v>73.389320388349518</v>
      </c>
      <c r="N6" s="84">
        <f>'Вклады юр и физ лиц'!M6/Население!N6</f>
        <v>86.367546432062568</v>
      </c>
      <c r="O6" s="84">
        <f>'Вклады юр и физ лиц'!N6/Население!O6</f>
        <v>97.786206896551718</v>
      </c>
      <c r="P6" s="84">
        <f>'Вклады юр и физ лиц'!O6/Население!P6</f>
        <v>107.96713147410358</v>
      </c>
      <c r="Q6" s="84">
        <f>'Вклады юр и физ лиц'!P6/Население!Q6</f>
        <v>120.33299899699097</v>
      </c>
      <c r="R6" s="84">
        <f>'Вклады юр и физ лиц'!Q6/Население!R6</f>
        <v>132.72441742654507</v>
      </c>
    </row>
    <row r="7" spans="1:18" x14ac:dyDescent="0.25">
      <c r="A7" s="85">
        <v>6</v>
      </c>
      <c r="B7" s="84" t="s">
        <v>6</v>
      </c>
      <c r="C7" s="84">
        <f>'Вклады юр и физ лиц'!B7/Население!C7</f>
        <v>7.5678396871945255</v>
      </c>
      <c r="D7" s="84">
        <f>'Вклады юр и физ лиц'!C7/Население!D7</f>
        <v>11.133234714003946</v>
      </c>
      <c r="E7" s="84">
        <f>'Вклады юр и физ лиц'!D7/Население!E7</f>
        <v>17.103666997026757</v>
      </c>
      <c r="F7" s="84">
        <f>'Вклады юр и физ лиц'!E7/Население!F7</f>
        <v>25.573359840954275</v>
      </c>
      <c r="G7" s="84">
        <f>'Вклады юр и физ лиц'!F7/Население!G7</f>
        <v>27.886640079760717</v>
      </c>
      <c r="H7" s="84">
        <f>'Вклады юр и физ лиц'!G7/Население!H7</f>
        <v>36.518136769078296</v>
      </c>
      <c r="I7" s="84">
        <f>'Вклады юр и физ лиц'!H7/Население!I7</f>
        <v>48.964285714285715</v>
      </c>
      <c r="J7" s="84">
        <f>'Вклады юр и физ лиц'!I7/Население!J7</f>
        <v>61.533797216699803</v>
      </c>
      <c r="K7" s="84">
        <f>'Вклады юр и физ лиц'!J7/Население!K7</f>
        <v>76.757213930348257</v>
      </c>
      <c r="L7" s="84">
        <f>'Вклады юр и физ лиц'!K7/Население!L7</f>
        <v>91.697329376854597</v>
      </c>
      <c r="M7" s="84">
        <f>'Вклады юр и физ лиц'!L7/Население!M7</f>
        <v>106.72475247524753</v>
      </c>
      <c r="N7" s="84">
        <f>'Вклады юр и физ лиц'!M7/Население!N7</f>
        <v>116.40433925049309</v>
      </c>
      <c r="O7" s="84">
        <f>'Вклады юр и физ лиц'!N7/Население!O7</f>
        <v>134.42786561264822</v>
      </c>
      <c r="P7" s="84">
        <f>'Вклады юр и физ лиц'!O7/Население!P7</f>
        <v>143.33399405351832</v>
      </c>
      <c r="Q7" s="84">
        <f>'Вклады юр и физ лиц'!P7/Население!Q7</f>
        <v>157.96011964107677</v>
      </c>
      <c r="R7" s="84">
        <f>'Вклады юр и физ лиц'!Q7/Население!R7</f>
        <v>171.38261738261738</v>
      </c>
    </row>
    <row r="8" spans="1:18" x14ac:dyDescent="0.25">
      <c r="A8" s="85">
        <v>7</v>
      </c>
      <c r="B8" s="84" t="s">
        <v>7</v>
      </c>
      <c r="C8" s="84">
        <f>'Вклады юр и физ лиц'!B8/Население!C8</f>
        <v>6.6508571428571432</v>
      </c>
      <c r="D8" s="84">
        <f>'Вклады юр и физ лиц'!C8/Население!D8</f>
        <v>9.2730606488011293</v>
      </c>
      <c r="E8" s="84">
        <f>'Вклады юр и физ лиц'!D8/Население!E8</f>
        <v>14.051709401709401</v>
      </c>
      <c r="F8" s="84">
        <f>'Вклады юр и физ лиц'!E8/Население!F8</f>
        <v>21.45767575322812</v>
      </c>
      <c r="G8" s="84">
        <f>'Вклады юр и физ лиц'!F8/Население!G8</f>
        <v>24.581213872832372</v>
      </c>
      <c r="H8" s="84">
        <f>'Вклады юр и физ лиц'!G8/Население!H8</f>
        <v>32.607357357357358</v>
      </c>
      <c r="I8" s="84">
        <f>'Вклады юр и физ лиц'!H8/Население!I8</f>
        <v>45.880664652567972</v>
      </c>
      <c r="J8" s="84">
        <f>'Вклады юр и физ лиц'!I8/Население!J8</f>
        <v>54.720789074355082</v>
      </c>
      <c r="K8" s="84">
        <f>'Вклады юр и физ лиц'!J8/Население!K8</f>
        <v>63.775914634146339</v>
      </c>
      <c r="L8" s="84">
        <f>'Вклады юр и физ лиц'!K8/Население!L8</f>
        <v>74.614678899082563</v>
      </c>
      <c r="M8" s="84">
        <f>'Вклады юр и физ лиц'!L8/Население!M8</f>
        <v>72.817204301075265</v>
      </c>
      <c r="N8" s="84">
        <f>'Вклады юр и физ лиц'!M8/Население!N8</f>
        <v>91.703703703703709</v>
      </c>
      <c r="O8" s="84">
        <f>'Вклады юр и физ лиц'!N8/Население!O8</f>
        <v>112.86936236391912</v>
      </c>
      <c r="P8" s="84">
        <f>'Вклады юр и физ лиц'!O8/Население!P8</f>
        <v>131.86656200941914</v>
      </c>
      <c r="Q8" s="84">
        <f>'Вклады юр и физ лиц'!P8/Население!Q8</f>
        <v>144.34597156398104</v>
      </c>
      <c r="R8" s="84">
        <f>'Вклады юр и физ лиц'!Q8/Население!R8</f>
        <v>154.70859872611464</v>
      </c>
    </row>
    <row r="9" spans="1:18" x14ac:dyDescent="0.25">
      <c r="A9" s="85">
        <v>8</v>
      </c>
      <c r="B9" s="84" t="s">
        <v>8</v>
      </c>
      <c r="C9" s="84">
        <f>'Вклады юр и физ лиц'!B9/Население!C9</f>
        <v>6.4491511035653657</v>
      </c>
      <c r="D9" s="84">
        <f>'Вклады юр и физ лиц'!C9/Население!D9</f>
        <v>9.699662162162161</v>
      </c>
      <c r="E9" s="84">
        <f>'Вклады юр и физ лиц'!D9/Население!E9</f>
        <v>13.131682322801025</v>
      </c>
      <c r="F9" s="84">
        <f>'Вклады юр и физ лиц'!E9/Население!F9</f>
        <v>17.287951807228914</v>
      </c>
      <c r="G9" s="84">
        <f>'Вклады юр и физ лиц'!F9/Население!G9</f>
        <v>20.402508650519032</v>
      </c>
      <c r="H9" s="84">
        <f>'Вклады юр и физ лиц'!G9/Население!H9</f>
        <v>26.336145648312613</v>
      </c>
      <c r="I9" s="84">
        <f>'Вклады юр и физ лиц'!H9/Население!I9</f>
        <v>37.091800356506241</v>
      </c>
      <c r="J9" s="84">
        <f>'Вклады юр и физ лиц'!I9/Население!J9</f>
        <v>43.536193029490619</v>
      </c>
      <c r="K9" s="84">
        <f>'Вклады юр и физ лиц'!J9/Население!K9</f>
        <v>56.013404825737268</v>
      </c>
      <c r="L9" s="84">
        <f>'Вклады юр и физ лиц'!K9/Население!L9</f>
        <v>64.206803939122651</v>
      </c>
      <c r="M9" s="84">
        <f>'Вклады юр и физ лиц'!L9/Население!M9</f>
        <v>79.767857142857139</v>
      </c>
      <c r="N9" s="84">
        <f>'Вклады юр и физ лиц'!M9/Население!N9</f>
        <v>78.416740872662515</v>
      </c>
      <c r="O9" s="84">
        <f>'Вклады юр и физ лиц'!N9/Население!O9</f>
        <v>88.008968609865477</v>
      </c>
      <c r="P9" s="84">
        <f>'Вклады юр и физ лиц'!O9/Население!P9</f>
        <v>99.876242095754293</v>
      </c>
      <c r="Q9" s="84">
        <f>'Вклады юр и физ лиц'!P9/Население!Q9</f>
        <v>116.21286231884058</v>
      </c>
      <c r="R9" s="84">
        <f>'Вклады юр и физ лиц'!Q9/Население!R9</f>
        <v>125.34092980856883</v>
      </c>
    </row>
    <row r="10" spans="1:18" x14ac:dyDescent="0.25">
      <c r="A10" s="85">
        <v>9</v>
      </c>
      <c r="B10" s="84" t="s">
        <v>9</v>
      </c>
      <c r="C10" s="84">
        <f>'Вклады юр и физ лиц'!B10/Население!C10</f>
        <v>8.9807370184254598</v>
      </c>
      <c r="D10" s="84">
        <f>'Вклады юр и физ лиц'!C10/Население!D10</f>
        <v>12.364182895850973</v>
      </c>
      <c r="E10" s="84">
        <f>'Вклады юр и физ лиц'!D10/Население!E10</f>
        <v>18.585519591141399</v>
      </c>
      <c r="F10" s="84">
        <f>'Вклады юр и физ лиц'!E10/Население!F10</f>
        <v>25.811291702309667</v>
      </c>
      <c r="G10" s="84">
        <f>'Вклады юр и физ лиц'!F10/Население!G10</f>
        <v>27.24505588993981</v>
      </c>
      <c r="H10" s="84">
        <f>'Вклады юр и физ лиц'!G10/Население!H10</f>
        <v>34.936945392491467</v>
      </c>
      <c r="I10" s="84">
        <f>'Вклады юр и физ лиц'!H10/Население!I10</f>
        <v>51.724699828473412</v>
      </c>
      <c r="J10" s="84">
        <f>'Вклады юр и физ лиц'!I10/Население!J10</f>
        <v>55.820137693631672</v>
      </c>
      <c r="K10" s="84">
        <f>'Вклады юр и физ лиц'!J10/Население!K10</f>
        <v>66.965517241379317</v>
      </c>
      <c r="L10" s="84">
        <f>'Вклады юр и физ лиц'!K10/Население!L10</f>
        <v>75.692573402417963</v>
      </c>
      <c r="M10" s="84">
        <f>'Вклады юр и физ лиц'!L10/Население!M10</f>
        <v>80.912629757785467</v>
      </c>
      <c r="N10" s="84">
        <f>'Вклады юр и физ лиц'!M10/Население!N10</f>
        <v>97.838235294117652</v>
      </c>
      <c r="O10" s="84">
        <f>'Вклады юр и физ лиц'!N10/Население!O10</f>
        <v>110.46869565217391</v>
      </c>
      <c r="P10" s="84">
        <f>'Вклады юр и физ лиц'!O10/Население!P10</f>
        <v>117.72115384615384</v>
      </c>
      <c r="Q10" s="84">
        <f>'Вклады юр и физ лиц'!P10/Население!Q10</f>
        <v>125.88147497805092</v>
      </c>
      <c r="R10" s="84">
        <f>'Вклады юр и физ лиц'!Q10/Население!R10</f>
        <v>136.09751773049646</v>
      </c>
    </row>
    <row r="11" spans="1:18" x14ac:dyDescent="0.25">
      <c r="A11" s="85">
        <v>10</v>
      </c>
      <c r="B11" s="84" t="s">
        <v>10</v>
      </c>
      <c r="C11" s="84">
        <f>'Вклады юр и физ лиц'!B11/Население!C11</f>
        <v>10.173304834905659</v>
      </c>
      <c r="D11" s="84">
        <f>'Вклады юр и физ лиц'!C11/Население!D11</f>
        <v>14.778002414001207</v>
      </c>
      <c r="E11" s="84">
        <f>'Вклады юр и физ лиц'!D11/Население!E11</f>
        <v>23.031281974119771</v>
      </c>
      <c r="F11" s="84">
        <f>'Вклады юр и физ лиц'!E11/Население!F11</f>
        <v>38.458429491982621</v>
      </c>
      <c r="G11" s="84">
        <f>'Вклады юр и физ лиц'!F11/Население!G11</f>
        <v>40.205154178459708</v>
      </c>
      <c r="H11" s="84">
        <f>'Вклады юр и физ лиц'!G11/Население!H11</f>
        <v>48.439051505769775</v>
      </c>
      <c r="I11" s="84">
        <f>'Вклады юр и физ лиц'!H11/Население!I11</f>
        <v>61.649673565773021</v>
      </c>
      <c r="J11" s="84">
        <f>'Вклады юр и физ лиц'!I11/Население!J11</f>
        <v>75.114642451759366</v>
      </c>
      <c r="K11" s="84">
        <f>'Вклады юр и физ лиц'!J11/Население!K11</f>
        <v>95.353798710400895</v>
      </c>
      <c r="L11" s="84">
        <f>'Вклады юр и физ лиц'!K11/Население!L11</f>
        <v>121.97704328585257</v>
      </c>
      <c r="M11" s="84">
        <f>'Вклады юр и физ лиц'!L11/Население!M11</f>
        <v>119.93045498018856</v>
      </c>
      <c r="N11" s="84">
        <f>'Вклады юр и физ лиц'!M11/Население!N11</f>
        <v>138.0893169877408</v>
      </c>
      <c r="O11" s="84">
        <f>'Вклады юр и физ лиц'!N11/Население!O11</f>
        <v>159.43915767026522</v>
      </c>
      <c r="P11" s="84">
        <f>'Вклады юр и физ лиц'!O11/Население!P11</f>
        <v>175.37570732991182</v>
      </c>
      <c r="Q11" s="84">
        <f>'Вклады юр и физ лиц'!P11/Население!Q11</f>
        <v>200.50591600572096</v>
      </c>
      <c r="R11" s="84">
        <f>'Вклады юр и физ лиц'!Q11/Население!R11</f>
        <v>215.31573485536387</v>
      </c>
    </row>
    <row r="12" spans="1:18" x14ac:dyDescent="0.25">
      <c r="A12" s="85">
        <v>11</v>
      </c>
      <c r="B12" s="84" t="s">
        <v>11</v>
      </c>
      <c r="C12" s="84">
        <f>'Вклады юр и физ лиц'!B12/Население!C12</f>
        <v>6.3600973236009732</v>
      </c>
      <c r="D12" s="84">
        <f>'Вклады юр и физ лиц'!C12/Население!D12</f>
        <v>8.9032374100719434</v>
      </c>
      <c r="E12" s="84">
        <f>'Вклады юр и физ лиц'!D12/Население!E12</f>
        <v>13.246916565900847</v>
      </c>
      <c r="F12" s="84">
        <f>'Вклады юр и физ лиц'!E12/Население!F12</f>
        <v>18.070681265206812</v>
      </c>
      <c r="G12" s="84">
        <f>'Вклады юр и физ лиц'!F12/Население!G12</f>
        <v>19.806364749082007</v>
      </c>
      <c r="H12" s="84">
        <f>'Вклады юр и физ лиц'!G12/Население!H12</f>
        <v>27.538549618320609</v>
      </c>
      <c r="I12" s="84">
        <f>'Вклады юр и физ лиц'!H12/Население!I12</f>
        <v>38.573623559539051</v>
      </c>
      <c r="J12" s="84">
        <f>'Вклады юр и физ лиц'!I12/Население!J12</f>
        <v>44.673969072164951</v>
      </c>
      <c r="K12" s="84">
        <f>'Вклады юр и физ лиц'!J12/Население!K12</f>
        <v>54.623376623376622</v>
      </c>
      <c r="L12" s="84">
        <f>'Вклады юр и физ лиц'!K12/Население!L12</f>
        <v>64.644444444444446</v>
      </c>
      <c r="M12" s="84">
        <f>'Вклады юр и физ лиц'!L12/Население!M12</f>
        <v>68.248684210526321</v>
      </c>
      <c r="N12" s="84">
        <f>'Вклады юр и физ лиц'!M12/Население!N12</f>
        <v>84.705960264900668</v>
      </c>
      <c r="O12" s="84">
        <f>'Вклады юр и физ лиц'!N12/Население!O12</f>
        <v>95.847389558232933</v>
      </c>
      <c r="P12" s="84">
        <f>'Вклады юр и физ лиц'!O12/Население!P12</f>
        <v>109.1391891891892</v>
      </c>
      <c r="Q12" s="84">
        <f>'Вклады юр и физ лиц'!P12/Население!Q12</f>
        <v>120.85149863760218</v>
      </c>
      <c r="R12" s="84">
        <f>'Вклады юр и физ лиц'!Q12/Население!R12</f>
        <v>132.65931034482759</v>
      </c>
    </row>
    <row r="13" spans="1:18" x14ac:dyDescent="0.25">
      <c r="A13" s="85">
        <v>12</v>
      </c>
      <c r="B13" s="84" t="s">
        <v>12</v>
      </c>
      <c r="C13" s="84">
        <f>'Вклады юр и физ лиц'!B13/Население!C13</f>
        <v>7.8253994953742634</v>
      </c>
      <c r="D13" s="84">
        <f>'Вклады юр и физ лиц'!C13/Население!D13</f>
        <v>10.90414551607445</v>
      </c>
      <c r="E13" s="84">
        <f>'Вклады юр и физ лиц'!D13/Население!E13</f>
        <v>15.711262798634811</v>
      </c>
      <c r="F13" s="84">
        <f>'Вклады юр и физ лиц'!E13/Население!F13</f>
        <v>21.398454935622318</v>
      </c>
      <c r="G13" s="84">
        <f>'Вклады юр и физ лиц'!F13/Население!G13</f>
        <v>22.966407599309154</v>
      </c>
      <c r="H13" s="84">
        <f>'Вклады юр и физ лиц'!G13/Население!H13</f>
        <v>30.964062499999997</v>
      </c>
      <c r="I13" s="84">
        <f>'Вклады юр и физ лиц'!H13/Население!I13</f>
        <v>44.379790940766547</v>
      </c>
      <c r="J13" s="84">
        <f>'Вклады юр и физ лиц'!I13/Население!J13</f>
        <v>52.93444055944056</v>
      </c>
      <c r="K13" s="84">
        <f>'Вклады юр и физ лиц'!J13/Население!K13</f>
        <v>66.216476774758988</v>
      </c>
      <c r="L13" s="84">
        <f>'Вклады юр и физ лиц'!K13/Население!L13</f>
        <v>78.566519823788539</v>
      </c>
      <c r="M13" s="84">
        <f>'Вклады юр и физ лиц'!L13/Население!M13</f>
        <v>82.748672566371681</v>
      </c>
      <c r="N13" s="84">
        <f>'Вклады юр и физ лиц'!M13/Население!N13</f>
        <v>98.686779059449862</v>
      </c>
      <c r="O13" s="84">
        <f>'Вклады юр и физ лиц'!N13/Население!O13</f>
        <v>115.64171122994652</v>
      </c>
      <c r="P13" s="84">
        <f>'Вклады юр и физ лиц'!O13/Население!P13</f>
        <v>127.72980251346499</v>
      </c>
      <c r="Q13" s="84">
        <f>'Вклады юр и физ лиц'!P13/Население!Q13</f>
        <v>139.26600541027952</v>
      </c>
      <c r="R13" s="84">
        <f>'Вклады юр и физ лиц'!Q13/Население!R13</f>
        <v>156.95446265938068</v>
      </c>
    </row>
    <row r="14" spans="1:18" x14ac:dyDescent="0.25">
      <c r="A14" s="85">
        <v>13</v>
      </c>
      <c r="B14" s="84" t="s">
        <v>13</v>
      </c>
      <c r="C14" s="84">
        <f>'Вклады юр и физ лиц'!B14/Население!C14</f>
        <v>6.9006829268292682</v>
      </c>
      <c r="D14" s="84">
        <f>'Вклады юр и физ лиц'!C14/Население!D14</f>
        <v>9.9044731610337973</v>
      </c>
      <c r="E14" s="84">
        <f>'Вклады юр и физ лиц'!D14/Население!E14</f>
        <v>14.705331991951711</v>
      </c>
      <c r="F14" s="84">
        <f>'Вклады юр и физ лиц'!E14/Население!F14</f>
        <v>20.843438453713123</v>
      </c>
      <c r="G14" s="84">
        <f>'Вклады юр и физ лиц'!F14/Население!G14</f>
        <v>23.564887063655032</v>
      </c>
      <c r="H14" s="84">
        <f>'Вклады юр и физ лиц'!G14/Население!H14</f>
        <v>30.492166836215667</v>
      </c>
      <c r="I14" s="84">
        <f>'Вклады юр и физ лиц'!H14/Население!I14</f>
        <v>40.310907237512744</v>
      </c>
      <c r="J14" s="84">
        <f>'Вклады юр и физ лиц'!I14/Население!J14</f>
        <v>48.130256410256408</v>
      </c>
      <c r="K14" s="84">
        <f>'Вклады юр и физ лиц'!J14/Население!K14</f>
        <v>58.235537190082646</v>
      </c>
      <c r="L14" s="84">
        <f>'Вклады юр и физ лиц'!K14/Население!L14</f>
        <v>66.916062176165809</v>
      </c>
      <c r="M14" s="84">
        <f>'Вклады юр и физ лиц'!L14/Население!M14</f>
        <v>64.772679874869652</v>
      </c>
      <c r="N14" s="84">
        <f>'Вклады юр и физ лиц'!M14/Население!N14</f>
        <v>77.776495278069248</v>
      </c>
      <c r="O14" s="84">
        <f>'Вклады юр и физ лиц'!N14/Население!O14</f>
        <v>88.316842105263163</v>
      </c>
      <c r="P14" s="84">
        <f>'Вклады юр и физ лиц'!O14/Население!P14</f>
        <v>100.10615711252655</v>
      </c>
      <c r="Q14" s="84">
        <f>'Вклады юр и физ лиц'!P14/Население!Q14</f>
        <v>111.26737967914438</v>
      </c>
      <c r="R14" s="84">
        <f>'Вклады юр и физ лиц'!Q14/Население!R14</f>
        <v>124.98697068403909</v>
      </c>
    </row>
    <row r="15" spans="1:18" x14ac:dyDescent="0.25">
      <c r="A15" s="85">
        <v>14</v>
      </c>
      <c r="B15" s="84" t="s">
        <v>14</v>
      </c>
      <c r="C15" s="84">
        <f>'Вклады юр и физ лиц'!B15/Население!C15</f>
        <v>5.6303775241439862</v>
      </c>
      <c r="D15" s="84">
        <f>'Вклады юр и физ лиц'!C15/Население!D15</f>
        <v>7.6546902654867246</v>
      </c>
      <c r="E15" s="84">
        <f>'Вклады юр и физ лиц'!D15/Население!E15</f>
        <v>10.883616830796777</v>
      </c>
      <c r="F15" s="84">
        <f>'Вклады юр и физ лиц'!E15/Население!F15</f>
        <v>14.5624773960217</v>
      </c>
      <c r="G15" s="84">
        <f>'Вклады юр и физ лиц'!F15/Население!G15</f>
        <v>16.466818596171375</v>
      </c>
      <c r="H15" s="84">
        <f>'Вклады юр и физ лиц'!G15/Население!H15</f>
        <v>21.80623853211009</v>
      </c>
      <c r="I15" s="84">
        <f>'Вклады юр и физ лиц'!H15/Население!I15</f>
        <v>30.198706099815158</v>
      </c>
      <c r="J15" s="84">
        <f>'Вклады юр и физ лиц'!I15/Население!J15</f>
        <v>37.162639405204459</v>
      </c>
      <c r="K15" s="84">
        <f>'Вклады юр и физ лиц'!J15/Население!K15</f>
        <v>46.407857811038355</v>
      </c>
      <c r="L15" s="84">
        <f>'Вклады юр и физ лиц'!K15/Население!L15</f>
        <v>55.980225988700568</v>
      </c>
      <c r="M15" s="84">
        <f>'Вклады юр и физ лиц'!L15/Население!M15</f>
        <v>58.519047619047619</v>
      </c>
      <c r="N15" s="84">
        <f>'Вклады юр и физ лиц'!M15/Население!N15</f>
        <v>74.004807692307693</v>
      </c>
      <c r="O15" s="84">
        <f>'Вклады юр и физ лиц'!N15/Население!O15</f>
        <v>78.919651500484022</v>
      </c>
      <c r="P15" s="84">
        <f>'Вклады юр и физ лиц'!O15/Население!P15</f>
        <v>89.011811023622045</v>
      </c>
      <c r="Q15" s="84">
        <f>'Вклады юр и физ лиц'!P15/Население!Q15</f>
        <v>100.80436941410129</v>
      </c>
      <c r="R15" s="84">
        <f>'Вклады юр и физ лиц'!Q15/Население!R15</f>
        <v>108.85211267605634</v>
      </c>
    </row>
    <row r="16" spans="1:18" x14ac:dyDescent="0.25">
      <c r="A16" s="85">
        <v>15</v>
      </c>
      <c r="B16" s="84" t="s">
        <v>15</v>
      </c>
      <c r="C16" s="84">
        <f>'Вклады юр и физ лиц'!B16/Население!C16</f>
        <v>5.5681978798586576</v>
      </c>
      <c r="D16" s="84">
        <f>'Вклады юр и физ лиц'!C16/Население!D16</f>
        <v>7.9287135749822326</v>
      </c>
      <c r="E16" s="84">
        <f>'Вклады юр и физ лиц'!D16/Население!E16</f>
        <v>12.705755395683454</v>
      </c>
      <c r="F16" s="84">
        <f>'Вклады юр и физ лиц'!E16/Население!F16</f>
        <v>19.019565217391303</v>
      </c>
      <c r="G16" s="84">
        <f>'Вклады юр и физ лиц'!F16/Население!G16</f>
        <v>22.057560262965669</v>
      </c>
      <c r="H16" s="84">
        <f>'Вклады юр и физ лиц'!G16/Население!H16</f>
        <v>28.929703703703701</v>
      </c>
      <c r="I16" s="84">
        <f>'Вклады юр и физ лиц'!H16/Население!I16</f>
        <v>39.807004470938899</v>
      </c>
      <c r="J16" s="84">
        <f>'Вклады юр и физ лиц'!I16/Население!J16</f>
        <v>48.376311844077961</v>
      </c>
      <c r="K16" s="84">
        <f>'Вклады юр и физ лиц'!J16/Население!K16</f>
        <v>60.684528301886793</v>
      </c>
      <c r="L16" s="84">
        <f>'Вклады юр и физ лиц'!K16/Население!L16</f>
        <v>73.35969581749049</v>
      </c>
      <c r="M16" s="84">
        <f>'Вклады юр и физ лиц'!L16/Население!M16</f>
        <v>75.8</v>
      </c>
      <c r="N16" s="84">
        <f>'Вклады юр и физ лиц'!M16/Население!N16</f>
        <v>90.518889745566696</v>
      </c>
      <c r="O16" s="84">
        <f>'Вклады юр и физ лиц'!N16/Население!O16</f>
        <v>102.13161993769471</v>
      </c>
      <c r="P16" s="84">
        <f>'Вклады юр и физ лиц'!O16/Население!P16</f>
        <v>112.54724409448819</v>
      </c>
      <c r="Q16" s="84">
        <f>'Вклады юр и физ лиц'!P16/Население!Q16</f>
        <v>125.21031746031746</v>
      </c>
      <c r="R16" s="84">
        <f>'Вклады юр и физ лиц'!Q16/Население!R16</f>
        <v>142.81861958266452</v>
      </c>
    </row>
    <row r="17" spans="1:18" x14ac:dyDescent="0.25">
      <c r="A17" s="85">
        <v>16</v>
      </c>
      <c r="B17" s="84" t="s">
        <v>16</v>
      </c>
      <c r="C17" s="84">
        <f>'Вклады юр и физ лиц'!B17/Население!C17</f>
        <v>8.0258204334365324</v>
      </c>
      <c r="D17" s="84">
        <f>'Вклады юр и физ лиц'!C17/Население!D17</f>
        <v>11.560499999999999</v>
      </c>
      <c r="E17" s="84">
        <f>'Вклады юр и физ лиц'!D17/Население!E17</f>
        <v>16.361265822784809</v>
      </c>
      <c r="F17" s="84">
        <f>'Вклады юр и физ лиц'!E17/Население!F17</f>
        <v>23.418454661558112</v>
      </c>
      <c r="G17" s="84">
        <f>'Вклады юр и физ лиц'!F17/Население!G17</f>
        <v>26.03354797166774</v>
      </c>
      <c r="H17" s="84">
        <f>'Вклады юр и физ лиц'!G17/Население!H17</f>
        <v>33.34470967741936</v>
      </c>
      <c r="I17" s="84">
        <f>'Вклады юр и физ лиц'!H17/Население!I17</f>
        <v>44.425242718446604</v>
      </c>
      <c r="J17" s="84">
        <f>'Вклады юр и физ лиц'!I17/Население!J17</f>
        <v>54.863577023498692</v>
      </c>
      <c r="K17" s="84">
        <f>'Вклады юр и физ лиц'!J17/Население!K17</f>
        <v>68.08541392904074</v>
      </c>
      <c r="L17" s="84">
        <f>'Вклады юр и физ лиц'!K17/Население!L17</f>
        <v>79.607661822985463</v>
      </c>
      <c r="M17" s="84">
        <f>'Вклады юр и физ лиц'!L17/Население!M17</f>
        <v>83.181274900398407</v>
      </c>
      <c r="N17" s="84">
        <f>'Вклады юр и физ лиц'!M17/Население!N17</f>
        <v>100.54036024016011</v>
      </c>
      <c r="O17" s="84">
        <f>'Вклады юр и физ лиц'!N17/Население!O17</f>
        <v>119.63806970509384</v>
      </c>
      <c r="P17" s="84">
        <f>'Вклады юр и физ лиц'!O17/Население!P17</f>
        <v>129.97701149425288</v>
      </c>
      <c r="Q17" s="84">
        <f>'Вклады юр и физ лиц'!P17/Население!Q17</f>
        <v>148.0300136425648</v>
      </c>
      <c r="R17" s="84">
        <f>'Вклады юр и физ лиц'!Q17/Население!R17</f>
        <v>161.97101449275362</v>
      </c>
    </row>
    <row r="18" spans="1:18" x14ac:dyDescent="0.25">
      <c r="A18" s="85">
        <v>17</v>
      </c>
      <c r="B18" s="84" t="s">
        <v>17</v>
      </c>
      <c r="C18" s="84">
        <f>'Вклады юр и физ лиц'!B18/Население!C18</f>
        <v>12.039070830159938</v>
      </c>
      <c r="D18" s="84">
        <f>'Вклады юр и физ лиц'!C18/Население!D18</f>
        <v>16.920256024096386</v>
      </c>
      <c r="E18" s="84">
        <f>'Вклады юр и физ лиц'!D18/Население!E18</f>
        <v>24.384848484848487</v>
      </c>
      <c r="F18" s="84">
        <f>'Вклады юр и физ лиц'!E18/Население!F18</f>
        <v>34.426768060836501</v>
      </c>
      <c r="G18" s="84">
        <f>'Вклады юр и физ лиц'!F18/Население!G18</f>
        <v>33.705419847328244</v>
      </c>
      <c r="H18" s="84">
        <f>'Вклады юр и физ лиц'!G18/Население!H18</f>
        <v>42.749488591660111</v>
      </c>
      <c r="I18" s="84">
        <f>'Вклады юр и физ лиц'!H18/Население!I18</f>
        <v>54.67820613690008</v>
      </c>
      <c r="J18" s="84">
        <f>'Вклады юр и физ лиц'!I18/Население!J18</f>
        <v>68.925314465408803</v>
      </c>
      <c r="K18" s="84">
        <f>'Вклады юр и физ лиц'!J18/Население!K18</f>
        <v>90.368710691823892</v>
      </c>
      <c r="L18" s="84">
        <f>'Вклады юр и физ лиц'!K18/Население!L18</f>
        <v>111.69575471698113</v>
      </c>
      <c r="M18" s="84">
        <f>'Вклады юр и физ лиц'!L18/Население!M18</f>
        <v>105.73349056603773</v>
      </c>
      <c r="N18" s="84">
        <f>'Вклады юр и физ лиц'!M18/Население!N18</f>
        <v>116.02989771833202</v>
      </c>
      <c r="O18" s="84">
        <f>'Вклады юр и физ лиц'!N18/Население!O18</f>
        <v>132.49289099526067</v>
      </c>
      <c r="P18" s="84">
        <f>'Вклады юр и физ лиц'!O18/Население!P18</f>
        <v>148.97936507936507</v>
      </c>
      <c r="Q18" s="84">
        <f>'Вклады юр и физ лиц'!P18/Население!Q18</f>
        <v>160.5151515151515</v>
      </c>
      <c r="R18" s="84">
        <f>'Вклады юр и физ лиц'!Q18/Население!R18</f>
        <v>178.44963738920225</v>
      </c>
    </row>
    <row r="19" spans="1:18" x14ac:dyDescent="0.25">
      <c r="A19" s="85">
        <v>18</v>
      </c>
      <c r="B19" s="84" t="s">
        <v>18</v>
      </c>
      <c r="C19" s="84">
        <f>'Вклады юр и физ лиц'!B19/Население!C19</f>
        <v>4.9798608568290006E-2</v>
      </c>
      <c r="D19" s="84">
        <f>'Вклады юр и физ лиц'!C19/Население!D19</f>
        <v>78.248988009592324</v>
      </c>
      <c r="E19" s="84">
        <f>'Вклады юр и физ лиц'!D19/Население!E19</f>
        <v>139.90663602413099</v>
      </c>
      <c r="F19" s="84">
        <f>'Вклады юр и физ лиц'!E19/Население!F19</f>
        <v>257.88721107927415</v>
      </c>
      <c r="G19" s="84">
        <f>'Вклады юр и физ лиц'!F19/Население!G19</f>
        <v>257.6743838614521</v>
      </c>
      <c r="H19" s="84">
        <f>'Вклады юр и физ лиц'!G19/Население!H19</f>
        <v>320.04698033099385</v>
      </c>
      <c r="I19" s="84">
        <f>'Вклады юр и физ лиц'!H19/Население!I19</f>
        <v>425.86368724705073</v>
      </c>
      <c r="J19" s="84">
        <f>'Вклады юр и физ лиц'!I19/Население!J19</f>
        <v>578.7462437395659</v>
      </c>
      <c r="K19" s="84">
        <f>'Вклады юр и физ лиц'!J19/Население!K19</f>
        <v>623.52948463825567</v>
      </c>
      <c r="L19" s="84">
        <f>'Вклады юр и физ лиц'!K19/Население!L19</f>
        <v>652.56120357464954</v>
      </c>
      <c r="M19" s="84">
        <f>'Вклады юр и физ лиц'!L19/Население!M19</f>
        <v>671.31776155717762</v>
      </c>
      <c r="N19" s="84">
        <f>'Вклады юр и физ лиц'!M19/Население!N19</f>
        <v>743.69372425490667</v>
      </c>
      <c r="O19" s="84">
        <f>'Вклады юр и физ лиц'!N19/Население!O19</f>
        <v>777.03238186615499</v>
      </c>
      <c r="P19" s="84">
        <f>'Вклады юр и физ лиц'!O19/Население!P19</f>
        <v>961.31335711454619</v>
      </c>
      <c r="Q19" s="84">
        <f>'Вклады юр и физ лиц'!P19/Население!Q19</f>
        <v>1192.4150496923805</v>
      </c>
      <c r="R19" s="84">
        <f>'Вклады юр и физ лиц'!Q19/Население!R19</f>
        <v>1337.0645594626631</v>
      </c>
    </row>
    <row r="20" spans="1:18" x14ac:dyDescent="0.25">
      <c r="A20" s="85">
        <v>19</v>
      </c>
      <c r="B20" s="84" t="s">
        <v>19</v>
      </c>
      <c r="C20" s="84">
        <f>'Вклады юр и физ лиц'!B20/Население!C20</f>
        <v>7.0569526627218933</v>
      </c>
      <c r="D20" s="84">
        <f>'Вклады юр и физ лиц'!C20/Население!D20</f>
        <v>9.8173352435530088</v>
      </c>
      <c r="E20" s="84">
        <f>'Вклады юр и физ лиц'!D20/Население!E20</f>
        <v>15.419191919191919</v>
      </c>
      <c r="F20" s="84">
        <f>'Вклады юр и физ лиц'!E20/Население!F20</f>
        <v>19.907814761215629</v>
      </c>
      <c r="G20" s="84">
        <f>'Вклады юр и физ лиц'!F20/Население!G20</f>
        <v>21.716593886462881</v>
      </c>
      <c r="H20" s="84">
        <f>'Вклады юр и физ лиц'!G20/Население!H20</f>
        <v>27.508398133748059</v>
      </c>
      <c r="I20" s="84">
        <f>'Вклады юр и физ лиц'!H20/Население!I20</f>
        <v>38.684375000000003</v>
      </c>
      <c r="J20" s="84">
        <f>'Вклады юр и физ лиц'!I20/Население!J20</f>
        <v>45.604395604395606</v>
      </c>
      <c r="K20" s="84">
        <f>'Вклады юр и физ лиц'!J20/Население!K20</f>
        <v>67.331230283911665</v>
      </c>
      <c r="L20" s="84">
        <f>'Вклады юр и физ лиц'!K20/Население!L20</f>
        <v>82.401263823064767</v>
      </c>
      <c r="M20" s="84">
        <f>'Вклады юр и физ лиц'!L20/Население!M20</f>
        <v>81.552380952380958</v>
      </c>
      <c r="N20" s="84">
        <f>'Вклады юр и физ лиц'!M20/Население!N20</f>
        <v>94.065390749601278</v>
      </c>
      <c r="O20" s="84">
        <f>'Вклады юр и физ лиц'!N20/Население!O20</f>
        <v>106.70257234726688</v>
      </c>
      <c r="P20" s="84">
        <f>'Вклады юр и физ лиц'!O20/Население!P20</f>
        <v>120.22977346278317</v>
      </c>
      <c r="Q20" s="84">
        <f>'Вклады юр и физ лиц'!P20/Население!Q20</f>
        <v>134.5814332247557</v>
      </c>
      <c r="R20" s="84">
        <f>'Вклады юр и физ лиц'!Q20/Население!R20</f>
        <v>148.44663382594416</v>
      </c>
    </row>
    <row r="21" spans="1:18" x14ac:dyDescent="0.25">
      <c r="A21" s="85">
        <v>20</v>
      </c>
      <c r="B21" s="84" t="s">
        <v>20</v>
      </c>
      <c r="C21" s="84">
        <f>'Вклады юр и физ лиц'!B21/Население!C21</f>
        <v>13.692107995846314</v>
      </c>
      <c r="D21" s="84">
        <f>'Вклады юр и физ лиц'!C21/Население!D21</f>
        <v>17.909543147208122</v>
      </c>
      <c r="E21" s="84">
        <f>'Вклады юр и физ лиц'!D21/Население!E21</f>
        <v>23.96041025641026</v>
      </c>
      <c r="F21" s="84">
        <f>'Вклады юр и физ лиц'!E21/Население!F21</f>
        <v>32.206508264462812</v>
      </c>
      <c r="G21" s="84">
        <f>'Вклады юр и физ лиц'!F21/Население!G21</f>
        <v>34.82137643378519</v>
      </c>
      <c r="H21" s="84">
        <f>'Вклады юр и физ лиц'!G21/Население!H21</f>
        <v>47.489877641824251</v>
      </c>
      <c r="I21" s="84">
        <f>'Вклады юр и физ лиц'!H21/Население!I21</f>
        <v>64.742696629213484</v>
      </c>
      <c r="J21" s="84">
        <f>'Вклады юр и физ лиц'!I21/Население!J21</f>
        <v>77.026136363636368</v>
      </c>
      <c r="K21" s="84">
        <f>'Вклады юр и физ лиц'!J21/Население!K21</f>
        <v>94.202981651376149</v>
      </c>
      <c r="L21" s="84">
        <f>'Вклады юр и физ лиц'!K21/Население!L21</f>
        <v>108.38310185185185</v>
      </c>
      <c r="M21" s="84">
        <f>'Вклады юр и физ лиц'!L21/Население!M21</f>
        <v>99.561260210035002</v>
      </c>
      <c r="N21" s="84">
        <f>'Вклады юр и физ лиц'!M21/Население!N21</f>
        <v>114.64941176470589</v>
      </c>
      <c r="O21" s="84">
        <f>'Вклады юр и физ лиц'!N21/Население!O21</f>
        <v>132.34244946492271</v>
      </c>
      <c r="P21" s="84">
        <f>'Вклады юр и физ лиц'!O21/Население!P21</f>
        <v>143.5590361445783</v>
      </c>
      <c r="Q21" s="84">
        <f>'Вклады юр и физ лиц'!P21/Население!Q21</f>
        <v>155.65529841656516</v>
      </c>
      <c r="R21" s="84">
        <f>'Вклады юр и физ лиц'!Q21/Население!R21</f>
        <v>164.87714987714989</v>
      </c>
    </row>
    <row r="22" spans="1:18" x14ac:dyDescent="0.25">
      <c r="A22" s="85">
        <v>21</v>
      </c>
      <c r="B22" s="84" t="s">
        <v>21</v>
      </c>
      <c r="C22" s="84">
        <f>'Вклады юр и физ лиц'!B22/Население!C22</f>
        <v>8.4443837753510138</v>
      </c>
      <c r="D22" s="84">
        <f>'Вклады юр и физ лиц'!C22/Население!D22</f>
        <v>12.084585592563904</v>
      </c>
      <c r="E22" s="84">
        <f>'Вклады юр и физ лиц'!D22/Население!E22</f>
        <v>17.247109375000001</v>
      </c>
      <c r="F22" s="84">
        <f>'Вклады юр и физ лиц'!E22/Население!F22</f>
        <v>23.335062893081762</v>
      </c>
      <c r="G22" s="84">
        <f>'Вклады юр и физ лиц'!F22/Население!G22</f>
        <v>30.152931854199682</v>
      </c>
      <c r="H22" s="84">
        <f>'Вклады юр и физ лиц'!G22/Население!H22</f>
        <v>43.973061224489797</v>
      </c>
      <c r="I22" s="84">
        <f>'Вклады юр и физ лиц'!H22/Население!I22</f>
        <v>62.276999175597695</v>
      </c>
      <c r="J22" s="84">
        <f>'Вклады юр и физ лиц'!I22/Население!J22</f>
        <v>70.510815307820295</v>
      </c>
      <c r="K22" s="84">
        <f>'Вклады юр и физ лиц'!J22/Население!K22</f>
        <v>80.232382550335572</v>
      </c>
      <c r="L22" s="84">
        <f>'Вклады юр и физ лиц'!K22/Население!L22</f>
        <v>105.91885038038885</v>
      </c>
      <c r="M22" s="84">
        <f>'Вклады юр и физ лиц'!L22/Население!M22</f>
        <v>92.326235093696766</v>
      </c>
      <c r="N22" s="84">
        <f>'Вклады юр и физ лиц'!M22/Население!N22</f>
        <v>109.92195540308748</v>
      </c>
      <c r="O22" s="84">
        <f>'Вклады юр и физ лиц'!N22/Население!O22</f>
        <v>123.56017316017316</v>
      </c>
      <c r="P22" s="84">
        <f>'Вклады юр и физ лиц'!O22/Население!P22</f>
        <v>139.13548951048952</v>
      </c>
      <c r="Q22" s="84">
        <f>'Вклады юр и физ лиц'!P22/Население!Q22</f>
        <v>155.89964788732394</v>
      </c>
      <c r="R22" s="84">
        <f>'Вклады юр и физ лиц'!Q22/Население!R22</f>
        <v>173.91570541259983</v>
      </c>
    </row>
    <row r="23" spans="1:18" x14ac:dyDescent="0.25">
      <c r="A23" s="85">
        <v>22</v>
      </c>
      <c r="B23" s="84" t="s">
        <v>22</v>
      </c>
      <c r="C23" s="84">
        <f>'Вклады юр и физ лиц'!B23/Население!C23</f>
        <v>14.354412955465587</v>
      </c>
      <c r="D23" s="84">
        <f>'Вклады юр и физ лиц'!C23/Население!D23</f>
        <v>20.032307692307693</v>
      </c>
      <c r="E23" s="84">
        <f>'Вклады юр и физ лиц'!D23/Население!E23</f>
        <v>29.109446254071663</v>
      </c>
      <c r="F23" s="84">
        <f>'Вклады юр и физ лиц'!E23/Население!F23</f>
        <v>34.237121831561737</v>
      </c>
      <c r="G23" s="84">
        <f>'Вклады юр и физ лиц'!F23/Население!G23</f>
        <v>32.915106732348107</v>
      </c>
      <c r="H23" s="84">
        <f>'Вклады юр и физ лиц'!G23/Население!H23</f>
        <v>44.247044129891755</v>
      </c>
      <c r="I23" s="84">
        <f>'Вклады юр и физ лиц'!H23/Население!I23</f>
        <v>50.957429048414021</v>
      </c>
      <c r="J23" s="84">
        <f>'Вклады юр и физ лиц'!I23/Население!J23</f>
        <v>60.384615384615387</v>
      </c>
      <c r="K23" s="84">
        <f>'Вклады юр и физ лиц'!J23/Население!K23</f>
        <v>68.083822296730929</v>
      </c>
      <c r="L23" s="84">
        <f>'Вклады юр и физ лиц'!K23/Население!L23</f>
        <v>81.449202350965578</v>
      </c>
      <c r="M23" s="84">
        <f>'Вклады юр и физ лиц'!L23/Население!M23</f>
        <v>88.989057239057246</v>
      </c>
      <c r="N23" s="84">
        <f>'Вклады юр и физ лиц'!M23/Население!N23</f>
        <v>95.260979729729726</v>
      </c>
      <c r="O23" s="84">
        <f>'Вклады юр и физ лиц'!N23/Население!O23</f>
        <v>111.51996601529312</v>
      </c>
      <c r="P23" s="84">
        <f>'Вклады юр и физ лиц'!O23/Население!P23</f>
        <v>115.49315068493151</v>
      </c>
      <c r="Q23" s="84">
        <f>'Вклады юр и физ лиц'!P23/Население!Q23</f>
        <v>140.14051724137931</v>
      </c>
      <c r="R23" s="84">
        <f>'Вклады юр и физ лиц'!Q23/Население!R23</f>
        <v>177.68722849695916</v>
      </c>
    </row>
    <row r="24" spans="1:18" x14ac:dyDescent="0.25">
      <c r="A24" s="85">
        <v>23</v>
      </c>
      <c r="B24" s="84" t="s">
        <v>23</v>
      </c>
      <c r="C24" s="84">
        <f>'Вклады юр и физ лиц'!B24/Население!C24</f>
        <v>9.0191239316239304</v>
      </c>
      <c r="D24" s="84">
        <f>'Вклады юр и физ лиц'!C24/Население!D24</f>
        <v>13.501702127659575</v>
      </c>
      <c r="E24" s="84">
        <f>'Вклады юр и физ лиц'!D24/Население!E24</f>
        <v>21.425293489861261</v>
      </c>
      <c r="F24" s="84">
        <f>'Вклады юр и физ лиц'!E24/Население!F24</f>
        <v>30.917289220917823</v>
      </c>
      <c r="G24" s="84">
        <f>'Вклады юр и физ лиц'!F24/Население!G24</f>
        <v>30.754749199573105</v>
      </c>
      <c r="H24" s="84">
        <f>'Вклады юр и физ лиц'!G24/Население!H24</f>
        <v>38.632484076433123</v>
      </c>
      <c r="I24" s="84">
        <f>'Вклады юр и физ лиц'!H24/Население!I24</f>
        <v>55.791974656810979</v>
      </c>
      <c r="J24" s="84">
        <f>'Вклады юр и физ лиц'!I24/Население!J24</f>
        <v>66.763350785340307</v>
      </c>
      <c r="K24" s="84">
        <f>'Вклады юр и физ лиц'!J24/Население!K24</f>
        <v>85.518172377985465</v>
      </c>
      <c r="L24" s="84">
        <f>'Вклады юр и физ лиц'!K24/Население!L24</f>
        <v>96.05263157894737</v>
      </c>
      <c r="M24" s="84">
        <f>'Вклады юр и физ лиц'!L24/Население!M24</f>
        <v>96.339139344262293</v>
      </c>
      <c r="N24" s="84">
        <f>'Вклады юр и физ лиц'!M24/Население!N24</f>
        <v>113.78397565922921</v>
      </c>
      <c r="O24" s="84">
        <f>'Вклады юр и физ лиц'!N24/Население!O24</f>
        <v>131.33668341708542</v>
      </c>
      <c r="P24" s="84">
        <f>'Вклады юр и физ лиц'!O24/Население!P24</f>
        <v>149.93013972055888</v>
      </c>
      <c r="Q24" s="84">
        <f>'Вклады юр и физ лиц'!P24/Население!Q24</f>
        <v>179.53504442250741</v>
      </c>
      <c r="R24" s="84">
        <f>'Вклады юр и физ лиц'!Q24/Население!R24</f>
        <v>186.03434739941119</v>
      </c>
    </row>
    <row r="25" spans="1:18" x14ac:dyDescent="0.25">
      <c r="A25" s="85">
        <v>24</v>
      </c>
      <c r="B25" s="84" t="s">
        <v>24</v>
      </c>
      <c r="C25" s="84">
        <f>'Вклады юр и физ лиц'!B25/Население!C25</f>
        <v>6.2760237388724036</v>
      </c>
      <c r="D25" s="84">
        <f>'Вклады юр и физ лиц'!C25/Население!D25</f>
        <v>9.3125304136253035</v>
      </c>
      <c r="E25" s="84">
        <f>'Вклады юр и физ лиц'!D25/Население!E25</f>
        <v>13.499084249084248</v>
      </c>
      <c r="F25" s="84">
        <f>'Вклады юр и физ лиц'!E25/Население!F25</f>
        <v>18.929883649724434</v>
      </c>
      <c r="G25" s="84">
        <f>'Вклады юр и физ лиц'!F25/Население!G25</f>
        <v>20.380392156862747</v>
      </c>
      <c r="H25" s="84">
        <f>'Вклады юр и физ лиц'!G25/Население!H25</f>
        <v>25.98999418266434</v>
      </c>
      <c r="I25" s="84">
        <f>'Вклады юр и физ лиц'!H25/Население!I25</f>
        <v>32.44175317185698</v>
      </c>
      <c r="J25" s="84">
        <f>'Вклады юр и физ лиц'!I25/Население!J25</f>
        <v>37.541404911479155</v>
      </c>
      <c r="K25" s="84">
        <f>'Вклады юр и физ лиц'!J25/Население!K25</f>
        <v>49.544784580498863</v>
      </c>
      <c r="L25" s="84">
        <f>'Вклады юр и физ лиц'!K25/Население!L25</f>
        <v>60.777590090090094</v>
      </c>
      <c r="M25" s="84">
        <f>'Вклады юр и физ лиц'!L25/Население!M25</f>
        <v>54.550309162450816</v>
      </c>
      <c r="N25" s="84">
        <f>'Вклады юр и физ лиц'!M25/Население!N25</f>
        <v>70.8046875</v>
      </c>
      <c r="O25" s="84">
        <f>'Вклады юр и физ лиц'!N25/Население!O25</f>
        <v>85.740904079382574</v>
      </c>
      <c r="P25" s="84">
        <f>'Вклады юр и физ лиц'!O25/Население!P25</f>
        <v>87.305194805194802</v>
      </c>
      <c r="Q25" s="84">
        <f>'Вклады юр и физ лиц'!P25/Население!Q25</f>
        <v>101.53731343283582</v>
      </c>
      <c r="R25" s="84">
        <f>'Вклады юр и физ лиц'!Q25/Население!R25</f>
        <v>109.76703645007925</v>
      </c>
    </row>
    <row r="26" spans="1:18" x14ac:dyDescent="0.25">
      <c r="A26" s="85">
        <v>25</v>
      </c>
      <c r="B26" s="84" t="s">
        <v>25</v>
      </c>
      <c r="C26" s="84">
        <f>'Вклады юр и физ лиц'!B26/Население!C26</f>
        <v>13.968891537544696</v>
      </c>
      <c r="D26" s="84">
        <f>'Вклады юр и физ лиц'!C26/Население!D26</f>
        <v>18.923379629629629</v>
      </c>
      <c r="E26" s="84">
        <f>'Вклады юр и физ лиц'!D26/Население!E26</f>
        <v>26.475962660443408</v>
      </c>
      <c r="F26" s="84">
        <f>'Вклады юр и физ лиц'!E26/Население!F26</f>
        <v>37.233137485311403</v>
      </c>
      <c r="G26" s="84">
        <f>'Вклады юр и физ лиц'!F26/Население!G26</f>
        <v>39.542586002372481</v>
      </c>
      <c r="H26" s="84">
        <f>'Вклады юр и физ лиц'!G26/Население!H26</f>
        <v>51.912342569269526</v>
      </c>
      <c r="I26" s="84">
        <f>'Вклады юр и физ лиц'!H26/Население!I26</f>
        <v>69.840101522842644</v>
      </c>
      <c r="J26" s="84">
        <f>'Вклады юр и физ лиц'!I26/Население!J26</f>
        <v>78.541025641025641</v>
      </c>
      <c r="K26" s="84">
        <f>'Вклады юр и физ лиц'!J26/Население!K26</f>
        <v>122.91180285343709</v>
      </c>
      <c r="L26" s="84">
        <f>'Вклады юр и физ лиц'!K26/Население!L26</f>
        <v>148.85900783289819</v>
      </c>
      <c r="M26" s="84">
        <f>'Вклады юр и физ лиц'!L26/Население!M26</f>
        <v>146.4724409448819</v>
      </c>
      <c r="N26" s="84">
        <f>'Вклады юр и физ лиц'!M26/Население!N26</f>
        <v>167.89696169088506</v>
      </c>
      <c r="O26" s="84">
        <f>'Вклады юр и физ лиц'!N26/Население!O26</f>
        <v>187.24403183023873</v>
      </c>
      <c r="P26" s="84">
        <f>'Вклады юр и физ лиц'!O26/Население!P26</f>
        <v>208.49598930481284</v>
      </c>
      <c r="Q26" s="84">
        <f>'Вклады юр и физ лиц'!P26/Население!Q26</f>
        <v>214.95546558704453</v>
      </c>
      <c r="R26" s="84">
        <f>'Вклады юр и физ лиц'!Q26/Население!R26</f>
        <v>234.76671214188266</v>
      </c>
    </row>
    <row r="27" spans="1:18" x14ac:dyDescent="0.25">
      <c r="A27" s="85">
        <v>26</v>
      </c>
      <c r="B27" s="84" t="s">
        <v>26</v>
      </c>
      <c r="C27" s="84">
        <f>'Вклады юр и физ лиц'!B27/Население!C27</f>
        <v>5.9810810810810811</v>
      </c>
      <c r="D27" s="84">
        <f>'Вклады юр и физ лиц'!C27/Население!D27</f>
        <v>8.4733834586466177</v>
      </c>
      <c r="E27" s="84">
        <f>'Вклады юр и физ лиц'!D27/Население!E27</f>
        <v>12.219786910197868</v>
      </c>
      <c r="F27" s="84">
        <f>'Вклады юр и физ лиц'!E27/Население!F27</f>
        <v>16.280828220858897</v>
      </c>
      <c r="G27" s="84">
        <f>'Вклады юр и физ лиц'!F27/Население!G27</f>
        <v>19.064705882352939</v>
      </c>
      <c r="H27" s="84">
        <f>'Вклады юр и физ лиц'!G27/Население!H27</f>
        <v>24.040916271721958</v>
      </c>
      <c r="I27" s="84">
        <f>'Вклады юр и физ лиц'!H27/Население!I27</f>
        <v>32.507936507936506</v>
      </c>
      <c r="J27" s="84">
        <f>'Вклады юр и физ лиц'!I27/Население!J27</f>
        <v>39.180511182108624</v>
      </c>
      <c r="K27" s="84">
        <f>'Вклады юр и физ лиц'!J27/Население!K27</f>
        <v>54.335473515248793</v>
      </c>
      <c r="L27" s="84">
        <f>'Вклады юр и физ лиц'!K27/Население!L27</f>
        <v>65.857835218093697</v>
      </c>
      <c r="M27" s="84">
        <f>'Вклады юр и физ лиц'!L27/Население!M27</f>
        <v>69.409090909090907</v>
      </c>
      <c r="N27" s="84">
        <f>'Вклады юр и физ лиц'!M27/Население!N27</f>
        <v>80.058727569331154</v>
      </c>
      <c r="O27" s="84">
        <f>'Вклады юр и физ лиц'!N27/Население!O27</f>
        <v>90.938943894389439</v>
      </c>
      <c r="P27" s="84">
        <f>'Вклады юр и физ лиц'!O27/Население!P27</f>
        <v>99.694999999999993</v>
      </c>
      <c r="Q27" s="84">
        <f>'Вклады юр и физ лиц'!P27/Население!Q27</f>
        <v>108.27303182579564</v>
      </c>
      <c r="R27" s="84">
        <f>'Вклады юр и физ лиц'!Q27/Население!R27</f>
        <v>119.4054054054054</v>
      </c>
    </row>
    <row r="28" spans="1:18" x14ac:dyDescent="0.25">
      <c r="A28" s="85">
        <v>27</v>
      </c>
      <c r="B28" s="84" t="s">
        <v>27</v>
      </c>
      <c r="C28" s="84">
        <f>'Вклады юр и физ лиц'!B28/Население!C28</f>
        <v>4.8929264909847436</v>
      </c>
      <c r="D28" s="84">
        <f>'Вклады юр и физ лиц'!C28/Население!D28</f>
        <v>6.9395862068965517</v>
      </c>
      <c r="E28" s="84">
        <f>'Вклады юр и физ лиц'!D28/Население!E28</f>
        <v>10.288655462184874</v>
      </c>
      <c r="F28" s="84">
        <f>'Вклады юр и физ лиц'!E28/Население!F28</f>
        <v>14.593342776203965</v>
      </c>
      <c r="G28" s="84">
        <f>'Вклады юр и физ лиц'!F28/Население!G28</f>
        <v>15.601580459770116</v>
      </c>
      <c r="H28" s="84">
        <f>'Вклады юр и физ лиц'!G28/Население!H28</f>
        <v>21.046795827123695</v>
      </c>
      <c r="I28" s="84">
        <f>'Вклады юр и физ лиц'!H28/Население!I28</f>
        <v>28.665667166416792</v>
      </c>
      <c r="J28" s="84">
        <f>'Вклады юр и физ лиц'!I28/Население!J28</f>
        <v>34.203927492447129</v>
      </c>
      <c r="K28" s="84">
        <f>'Вклады юр и физ лиц'!J28/Население!K28</f>
        <v>48.919330289193304</v>
      </c>
      <c r="L28" s="84">
        <f>'Вклады юр и физ лиц'!K28/Население!L28</f>
        <v>65.092165898617509</v>
      </c>
      <c r="M28" s="84">
        <f>'Вклады юр и физ лиц'!L28/Население!M28</f>
        <v>67.993808049535602</v>
      </c>
      <c r="N28" s="84">
        <f>'Вклады юр и физ лиц'!M28/Население!N28</f>
        <v>77.60280373831776</v>
      </c>
      <c r="O28" s="84">
        <f>'Вклады юр и физ лиц'!N28/Население!O28</f>
        <v>84.10849056603773</v>
      </c>
      <c r="P28" s="84">
        <f>'Вклады юр и физ лиц'!O28/Население!P28</f>
        <v>93.328571428571422</v>
      </c>
      <c r="Q28" s="84">
        <f>'Вклады юр и физ лиц'!P28/Население!Q28</f>
        <v>104.80511182108626</v>
      </c>
      <c r="R28" s="84">
        <f>'Вклады юр и физ лиц'!Q28/Население!R28</f>
        <v>115.22258064516129</v>
      </c>
    </row>
    <row r="29" spans="1:18" x14ac:dyDescent="0.25">
      <c r="A29" s="85">
        <v>28</v>
      </c>
      <c r="B29" s="84" t="s">
        <v>28</v>
      </c>
      <c r="C29" s="84">
        <f>'Вклады юр и физ лиц'!B29/Население!C29</f>
        <v>18.978103119032465</v>
      </c>
      <c r="D29" s="84">
        <f>'Вклады юр и физ лиц'!C29/Население!D29</f>
        <v>34.334817725387467</v>
      </c>
      <c r="E29" s="84">
        <f>'Вклады юр и физ лиц'!D29/Население!E29</f>
        <v>57.912338656749071</v>
      </c>
      <c r="F29" s="84">
        <f>'Вклады юр и физ лиц'!E29/Население!F29</f>
        <v>93.526992119089314</v>
      </c>
      <c r="G29" s="84">
        <f>'Вклады юр и физ лиц'!F29/Население!G29</f>
        <v>99.522435617634216</v>
      </c>
      <c r="H29" s="84">
        <f>'Вклады юр и физ лиц'!G29/Население!H29</f>
        <v>114.19524392733211</v>
      </c>
      <c r="I29" s="84">
        <f>'Вклады юр и физ лиц'!H29/Население!I29</f>
        <v>147.29194427619623</v>
      </c>
      <c r="J29" s="84">
        <f>'Вклады юр и физ лиц'!I29/Население!J29</f>
        <v>181.04097056483693</v>
      </c>
      <c r="K29" s="84">
        <f>'Вклады юр и физ лиц'!J29/Население!K29</f>
        <v>205.74064692127826</v>
      </c>
      <c r="L29" s="84">
        <f>'Вклады юр и физ лиц'!K29/Население!L29</f>
        <v>243.07973805855161</v>
      </c>
      <c r="M29" s="84">
        <f>'Вклады юр и физ лиц'!L29/Население!M29</f>
        <v>258.00841944125528</v>
      </c>
      <c r="N29" s="84">
        <f>'Вклады юр и физ лиц'!M29/Население!N29</f>
        <v>295.52347595607722</v>
      </c>
      <c r="O29" s="84">
        <f>'Вклады юр и физ лиц'!N29/Население!O29</f>
        <v>321.12144992526157</v>
      </c>
      <c r="P29" s="84">
        <f>'Вклады юр и физ лиц'!O29/Население!P29</f>
        <v>358.33841010401187</v>
      </c>
      <c r="Q29" s="84">
        <f>'Вклады юр и физ лиц'!P29/Население!Q29</f>
        <v>404.93201185624304</v>
      </c>
      <c r="R29" s="84">
        <f>'Вклады юр и физ лиц'!Q29/Население!R29</f>
        <v>442.92199108469538</v>
      </c>
    </row>
    <row r="30" spans="1:18" x14ac:dyDescent="0.25">
      <c r="A30" s="85">
        <v>29</v>
      </c>
      <c r="B30" s="84" t="s">
        <v>29</v>
      </c>
      <c r="C30" s="84">
        <f>'Вклады юр и физ лиц'!B30/Население!C30</f>
        <v>3.6324263038548756</v>
      </c>
      <c r="D30" s="84">
        <f>'Вклады юр и физ лиц'!C30/Население!D30</f>
        <v>4.6320541760722351</v>
      </c>
      <c r="E30" s="84">
        <f>'Вклады юр и физ лиц'!D30/Население!E30</f>
        <v>6.8095238095238093</v>
      </c>
      <c r="F30" s="84">
        <f>'Вклады юр и физ лиц'!E30/Население!F30</f>
        <v>9.0263038548752839</v>
      </c>
      <c r="G30" s="84">
        <f>'Вклады юр и физ лиц'!F30/Население!G30</f>
        <v>10.615801354401807</v>
      </c>
      <c r="H30" s="84">
        <f>'Вклады юр и физ лиц'!G30/Население!H30</f>
        <v>13.576136363636364</v>
      </c>
      <c r="I30" s="84">
        <f>'Вклады юр и физ лиц'!H30/Население!I30</f>
        <v>18.063205417607225</v>
      </c>
      <c r="J30" s="84">
        <f>'Вклады юр и физ лиц'!I30/Население!J30</f>
        <v>23.053932584269663</v>
      </c>
      <c r="K30" s="84">
        <f>'Вклады юр и физ лиц'!J30/Население!K30</f>
        <v>27.852017937219731</v>
      </c>
      <c r="L30" s="84">
        <f>'Вклады юр и физ лиц'!K30/Население!L30</f>
        <v>34.418708240534521</v>
      </c>
      <c r="M30" s="84">
        <f>'Вклады юр и физ лиц'!L30/Население!M30</f>
        <v>33.733924611973393</v>
      </c>
      <c r="N30" s="84">
        <f>'Вклады юр и физ лиц'!M30/Население!N30</f>
        <v>39.83920704845815</v>
      </c>
      <c r="O30" s="84">
        <f>'Вклады юр и физ лиц'!N30/Население!O30</f>
        <v>44.068281938325988</v>
      </c>
      <c r="P30" s="84">
        <f>'Вклады юр и физ лиц'!O30/Население!P30</f>
        <v>46.896703296703294</v>
      </c>
      <c r="Q30" s="84">
        <f>'Вклады юр и физ лиц'!P30/Население!Q30</f>
        <v>50.136069114470843</v>
      </c>
      <c r="R30" s="84">
        <f>'Вклады юр и физ лиц'!Q30/Население!R30</f>
        <v>56.524838012958966</v>
      </c>
    </row>
    <row r="31" spans="1:18" x14ac:dyDescent="0.25">
      <c r="A31" s="85">
        <v>30</v>
      </c>
      <c r="B31" s="84" t="s">
        <v>30</v>
      </c>
      <c r="C31" s="84">
        <f>'Вклады юр и физ лиц'!B31/Население!C31</f>
        <v>1.8925170068027211</v>
      </c>
      <c r="D31" s="84">
        <f>'Вклады юр и физ лиц'!C31/Население!D31</f>
        <v>2.6065743944636677</v>
      </c>
      <c r="E31" s="84">
        <f>'Вклады юр и физ лиц'!D31/Население!E31</f>
        <v>3.9728222996515683</v>
      </c>
      <c r="F31" s="84">
        <f>'Вклады юр и физ лиц'!E31/Население!F31</f>
        <v>5.5447552447552448</v>
      </c>
      <c r="G31" s="84">
        <f>'Вклады юр и физ лиц'!F31/Население!G31</f>
        <v>6.9401408450704229</v>
      </c>
      <c r="H31" s="84">
        <f>'Вклады юр и физ лиц'!G31/Население!H31</f>
        <v>10.048442906574394</v>
      </c>
      <c r="I31" s="84">
        <f>'Вклады юр и физ лиц'!H31/Население!I31</f>
        <v>14.644599303135889</v>
      </c>
      <c r="J31" s="84">
        <f>'Вклады юр и физ лиц'!I31/Население!J31</f>
        <v>17.859154929577464</v>
      </c>
      <c r="K31" s="84">
        <f>'Вклады юр и физ лиц'!J31/Население!K31</f>
        <v>20.677304964539008</v>
      </c>
      <c r="L31" s="84">
        <f>'Вклады юр и физ лиц'!K31/Население!L31</f>
        <v>24.580071174377224</v>
      </c>
      <c r="M31" s="84">
        <f>'Вклады юр и физ лиц'!L31/Население!M31</f>
        <v>22.326164874551971</v>
      </c>
      <c r="N31" s="84">
        <f>'Вклады юр и физ лиц'!M31/Население!N31</f>
        <v>27.154676258992804</v>
      </c>
      <c r="O31" s="84">
        <f>'Вклады юр и физ лиц'!N31/Население!O31</f>
        <v>31.105454545454545</v>
      </c>
      <c r="P31" s="84">
        <f>'Вклады юр и физ лиц'!O31/Население!P31</f>
        <v>34.908088235294116</v>
      </c>
      <c r="Q31" s="84">
        <f>'Вклады юр и физ лиц'!P31/Население!Q31</f>
        <v>38.394833948339482</v>
      </c>
      <c r="R31" s="84">
        <f>'Вклады юр и физ лиц'!Q31/Население!R31</f>
        <v>42.859259259259261</v>
      </c>
    </row>
    <row r="32" spans="1:18" x14ac:dyDescent="0.25">
      <c r="A32" s="85">
        <v>31</v>
      </c>
      <c r="B32" s="84" t="s">
        <v>31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4"/>
      <c r="M32" s="84">
        <f>'Вклады юр и физ лиц'!L32/Население!M32</f>
        <v>9.3529103303618246</v>
      </c>
      <c r="N32" s="84">
        <f>'Вклады юр и физ лиц'!M32/Население!N32</f>
        <v>23.58682008368201</v>
      </c>
      <c r="O32" s="84">
        <f>'Вклады юр и физ лиц'!N32/Население!O32</f>
        <v>33.387147335423201</v>
      </c>
      <c r="P32" s="84">
        <f>'Вклады юр и физ лиц'!O32/Население!P32</f>
        <v>42.34152719665272</v>
      </c>
      <c r="Q32" s="84">
        <f>'Вклады юр и физ лиц'!P32/Население!Q32</f>
        <v>49.21548117154812</v>
      </c>
      <c r="R32" s="84">
        <f>'Вклады юр и физ лиц'!Q32/Население!R32</f>
        <v>62.394847528916927</v>
      </c>
    </row>
    <row r="33" spans="1:18" x14ac:dyDescent="0.25">
      <c r="A33" s="85">
        <v>32</v>
      </c>
      <c r="B33" s="84" t="s">
        <v>32</v>
      </c>
      <c r="C33" s="84">
        <f>'Вклады юр и физ лиц'!B33/Население!C33</f>
        <v>8.0001170275014619</v>
      </c>
      <c r="D33" s="84">
        <f>'Вклады юр и физ лиц'!C33/Население!D33</f>
        <v>11.604493720565149</v>
      </c>
      <c r="E33" s="84">
        <f>'Вклады юр и физ лиц'!D33/Население!E33</f>
        <v>17.721172319153105</v>
      </c>
      <c r="F33" s="84">
        <f>'Вклады юр и физ лиц'!E33/Население!F33</f>
        <v>25.009371339320577</v>
      </c>
      <c r="G33" s="84">
        <f>'Вклады юр и физ лиц'!F33/Население!G33</f>
        <v>25.75896538311941</v>
      </c>
      <c r="H33" s="84">
        <f>'Вклады юр и физ лиц'!G33/Население!H33</f>
        <v>35.677284894837477</v>
      </c>
      <c r="I33" s="84">
        <f>'Вклады юр и физ лиц'!H33/Население!I33</f>
        <v>45.591786525359574</v>
      </c>
      <c r="J33" s="84">
        <f>'Вклады юр и физ лиц'!I33/Население!J33</f>
        <v>57.268105065666042</v>
      </c>
      <c r="K33" s="84">
        <f>'Вклады юр и физ лиц'!J33/Население!K33</f>
        <v>67.49833456698741</v>
      </c>
      <c r="L33" s="84">
        <f>'Вклады юр и физ лиц'!K33/Население!L33</f>
        <v>82.387055372203889</v>
      </c>
      <c r="M33" s="84">
        <f>'Вклады юр и физ лиц'!L33/Население!M33</f>
        <v>84.428726877040262</v>
      </c>
      <c r="N33" s="84">
        <f>'Вклады юр и физ лиц'!M33/Население!N33</f>
        <v>96.475139113265129</v>
      </c>
      <c r="O33" s="84">
        <f>'Вклады юр и физ лиц'!N33/Население!O33</f>
        <v>107.47010530073175</v>
      </c>
      <c r="P33" s="84">
        <f>'Вклады юр и физ лиц'!O33/Население!P33</f>
        <v>119.49911473087819</v>
      </c>
      <c r="Q33" s="84">
        <f>'Вклады юр и физ лиц'!P33/Население!Q33</f>
        <v>131.84813248766739</v>
      </c>
      <c r="R33" s="84">
        <f>'Вклады юр и физ лиц'!Q33/Население!R33</f>
        <v>141.2329345531316</v>
      </c>
    </row>
    <row r="34" spans="1:18" x14ac:dyDescent="0.25">
      <c r="A34" s="85">
        <v>33</v>
      </c>
      <c r="B34" s="84" t="s">
        <v>33</v>
      </c>
      <c r="C34" s="84">
        <f>'Вклады юр и физ лиц'!B34/Население!C34</f>
        <v>7.2550348953140578</v>
      </c>
      <c r="D34" s="84">
        <f>'Вклады юр и физ лиц'!C34/Население!D34</f>
        <v>9.8797786720321934</v>
      </c>
      <c r="E34" s="84">
        <f>'Вклады юр и физ лиц'!D34/Население!E34</f>
        <v>14.071629778672033</v>
      </c>
      <c r="F34" s="84">
        <f>'Вклады юр и физ лиц'!E34/Население!F34</f>
        <v>17.606193806193804</v>
      </c>
      <c r="G34" s="84">
        <f>'Вклады юр и физ лиц'!F34/Население!G34</f>
        <v>20.009253731343282</v>
      </c>
      <c r="H34" s="84">
        <f>'Вклады юр и физ лиц'!G34/Население!H34</f>
        <v>26.209009900990097</v>
      </c>
      <c r="I34" s="84">
        <f>'Вклады юр и физ лиц'!H34/Население!I34</f>
        <v>34.188177339901479</v>
      </c>
      <c r="J34" s="84">
        <f>'Вклады юр и физ лиц'!I34/Население!J34</f>
        <v>40.640039447731752</v>
      </c>
      <c r="K34" s="84">
        <f>'Вклады юр и физ лиц'!J34/Население!K34</f>
        <v>48.21533923303835</v>
      </c>
      <c r="L34" s="84">
        <f>'Вклады юр и физ лиц'!K34/Население!L34</f>
        <v>61.171400587659157</v>
      </c>
      <c r="M34" s="84">
        <f>'Вклады юр и физ лиц'!L34/Население!M34</f>
        <v>56.250245338567225</v>
      </c>
      <c r="N34" s="84">
        <f>'Вклады юр и физ лиц'!M34/Население!N34</f>
        <v>65.245338567222774</v>
      </c>
      <c r="O34" s="84">
        <f>'Вклады юр и физ лиц'!N34/Население!O34</f>
        <v>69.452310717797445</v>
      </c>
      <c r="P34" s="84">
        <f>'Вклады юр и физ лиц'!O34/Население!P34</f>
        <v>74.571005917159766</v>
      </c>
      <c r="Q34" s="84">
        <f>'Вклады юр и физ лиц'!P34/Население!Q34</f>
        <v>82.269383697813126</v>
      </c>
      <c r="R34" s="84">
        <f>'Вклады юр и физ лиц'!Q34/Население!R34</f>
        <v>90.68537074148297</v>
      </c>
    </row>
    <row r="35" spans="1:18" x14ac:dyDescent="0.25">
      <c r="A35" s="85">
        <v>34</v>
      </c>
      <c r="B35" s="84" t="s">
        <v>34</v>
      </c>
      <c r="C35" s="84">
        <f>'Вклады юр и физ лиц'!B35/Население!C35</f>
        <v>6.6441287878787882</v>
      </c>
      <c r="D35" s="84">
        <f>'Вклады юр и физ лиц'!C35/Население!D35</f>
        <v>9.3687784522003028</v>
      </c>
      <c r="E35" s="84">
        <f>'Вклады юр и физ лиц'!D35/Население!E35</f>
        <v>13.337290076335877</v>
      </c>
      <c r="F35" s="84">
        <f>'Вклады юр и физ лиц'!E35/Население!F35</f>
        <v>17.99141433499425</v>
      </c>
      <c r="G35" s="84">
        <f>'Вклады юр и физ лиц'!F35/Население!G35</f>
        <v>21.457098884186227</v>
      </c>
      <c r="H35" s="84">
        <f>'Вклады юр и физ лиц'!G35/Население!H35</f>
        <v>26.724280782508629</v>
      </c>
      <c r="I35" s="84">
        <f>'Вклады юр и физ лиц'!H35/Население!I35</f>
        <v>35.406551059730248</v>
      </c>
      <c r="J35" s="84">
        <f>'Вклады юр и физ лиц'!I35/Население!J35</f>
        <v>43.009678668215251</v>
      </c>
      <c r="K35" s="84">
        <f>'Вклады юр и физ лиц'!J35/Население!K35</f>
        <v>51.200467107824053</v>
      </c>
      <c r="L35" s="84">
        <f>'Вклады юр и физ лиц'!K35/Население!L35</f>
        <v>60.703949941337505</v>
      </c>
      <c r="M35" s="84">
        <f>'Вклады юр и физ лиц'!L35/Население!M35</f>
        <v>63.850746268656714</v>
      </c>
      <c r="N35" s="84">
        <f>'Вклады юр и физ лиц'!M35/Население!N35</f>
        <v>79.364497041420123</v>
      </c>
      <c r="O35" s="84">
        <f>'Вклады юр и физ лиц'!N35/Население!O35</f>
        <v>84.566838556128516</v>
      </c>
      <c r="P35" s="84">
        <f>'Вклады юр и физ лиц'!O35/Население!P35</f>
        <v>91.412280701754383</v>
      </c>
      <c r="Q35" s="84">
        <f>'Вклады юр и физ лиц'!P35/Население!Q35</f>
        <v>101.17422721798475</v>
      </c>
      <c r="R35" s="84">
        <f>'Вклады юр и физ лиц'!Q35/Население!R35</f>
        <v>109.34141414141415</v>
      </c>
    </row>
    <row r="36" spans="1:18" x14ac:dyDescent="0.25">
      <c r="A36" s="85">
        <v>35</v>
      </c>
      <c r="B36" s="84" t="s">
        <v>35</v>
      </c>
      <c r="C36" s="84">
        <f>'Вклады юр и физ лиц'!B36/Население!C36</f>
        <v>6.3824330563250236</v>
      </c>
      <c r="D36" s="84">
        <f>'Вклады юр и физ лиц'!C36/Население!D36</f>
        <v>8.8965381040892186</v>
      </c>
      <c r="E36" s="84">
        <f>'Вклады юр и физ лиц'!D36/Население!E36</f>
        <v>13.556969130028063</v>
      </c>
      <c r="F36" s="84">
        <f>'Вклады юр и физ лиц'!E36/Население!F36</f>
        <v>24.760305522914219</v>
      </c>
      <c r="G36" s="84">
        <f>'Вклады юр и физ лиц'!F36/Население!G36</f>
        <v>23.363814238566714</v>
      </c>
      <c r="H36" s="84">
        <f>'Вклады юр и физ лиц'!G36/Население!H36</f>
        <v>28.549824561403508</v>
      </c>
      <c r="I36" s="84">
        <f>'Вклады юр и физ лиц'!H36/Население!I36</f>
        <v>39.991784037558688</v>
      </c>
      <c r="J36" s="84">
        <f>'Вклады юр и физ лиц'!I36/Население!J36</f>
        <v>51.904795486600847</v>
      </c>
      <c r="K36" s="84">
        <f>'Вклады юр и физ лиц'!J36/Население!K36</f>
        <v>60.970325011775792</v>
      </c>
      <c r="L36" s="84">
        <f>'Вклады юр и физ лиц'!K36/Население!L36</f>
        <v>71.964167845355959</v>
      </c>
      <c r="M36" s="84">
        <f>'Вклады юр и физ лиц'!L36/Население!M36</f>
        <v>75.355996222851743</v>
      </c>
      <c r="N36" s="84">
        <f>'Вклады юр и физ лиц'!M36/Население!N36</f>
        <v>91.355235168990788</v>
      </c>
      <c r="O36" s="84">
        <f>'Вклады юр и физ лиц'!N36/Население!O36</f>
        <v>101.98862828713575</v>
      </c>
      <c r="P36" s="84">
        <f>'Вклады юр и физ лиц'!O36/Население!P36</f>
        <v>113.83369022127052</v>
      </c>
      <c r="Q36" s="84">
        <f>'Вклады юр и физ лиц'!P36/Население!Q36</f>
        <v>122.73582658408766</v>
      </c>
      <c r="R36" s="84">
        <f>'Вклады юр и физ лиц'!Q36/Население!R36</f>
        <v>133.51841224294597</v>
      </c>
    </row>
    <row r="37" spans="1:18" x14ac:dyDescent="0.25">
      <c r="A37" s="85">
        <v>36</v>
      </c>
      <c r="B37" s="84" t="s">
        <v>36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84">
        <f>'Вклады юр и физ лиц'!L37/Население!M37</f>
        <v>16.579326923076923</v>
      </c>
      <c r="N37" s="84">
        <f>'Вклады юр и физ лиц'!M37/Население!N37</f>
        <v>29.550116550116549</v>
      </c>
      <c r="O37" s="84">
        <f>'Вклады юр и физ лиц'!N37/Население!O37</f>
        <v>45.180778032036613</v>
      </c>
      <c r="P37" s="84">
        <f>'Вклады юр и физ лиц'!O37/Население!P37</f>
        <v>58.02257336343115</v>
      </c>
      <c r="Q37" s="84">
        <f>'Вклады юр и физ лиц'!P37/Население!Q37</f>
        <v>63.251670378619153</v>
      </c>
      <c r="R37" s="84">
        <f>'Вклады юр и физ лиц'!Q37/Население!R37</f>
        <v>66.101960784313732</v>
      </c>
    </row>
    <row r="38" spans="1:18" x14ac:dyDescent="0.25">
      <c r="A38" s="85">
        <v>37</v>
      </c>
      <c r="B38" s="84" t="s">
        <v>37</v>
      </c>
      <c r="C38" s="84">
        <f>'Вклады юр и физ лиц'!B38/Население!C38</f>
        <v>0.72328258447827698</v>
      </c>
      <c r="D38" s="84">
        <f>'Вклады юр и физ лиц'!C38/Население!D38</f>
        <v>0.95248012116622494</v>
      </c>
      <c r="E38" s="84">
        <f>'Вклады юр и физ лиц'!D38/Население!E38</f>
        <v>1.5903347122978562</v>
      </c>
      <c r="F38" s="84">
        <f>'Вклады юр и физ лиц'!E38/Население!F38</f>
        <v>2.6665550595238097</v>
      </c>
      <c r="G38" s="84">
        <f>'Вклады юр и физ лиц'!F38/Население!G38</f>
        <v>3.5771017699115046</v>
      </c>
      <c r="H38" s="84">
        <f>'Вклады юр и физ лиц'!G38/Население!H38</f>
        <v>4.3747769389155797</v>
      </c>
      <c r="I38" s="84">
        <f>'Вклады юр и физ лиц'!H38/Население!I38</f>
        <v>6.5701125895598773</v>
      </c>
      <c r="J38" s="84">
        <f>'Вклады юр и физ лиц'!I38/Население!J38</f>
        <v>8.8750848608282418</v>
      </c>
      <c r="K38" s="84">
        <f>'Вклады юр и физ лиц'!J38/Население!K38</f>
        <v>9.6315789473684212</v>
      </c>
      <c r="L38" s="84">
        <f>'Вклады юр и физ лиц'!K38/Население!L38</f>
        <v>14.229096989966555</v>
      </c>
      <c r="M38" s="84">
        <f>'Вклады юр и физ лиц'!L38/Население!M38</f>
        <v>12.924378109452736</v>
      </c>
      <c r="N38" s="84">
        <f>'Вклады юр и физ лиц'!M38/Население!N38</f>
        <v>15.844838921761999</v>
      </c>
      <c r="O38" s="84">
        <f>'Вклады юр и физ лиц'!N38/Население!O38</f>
        <v>17.305156657963447</v>
      </c>
      <c r="P38" s="84">
        <f>'Вклады юр и физ лиц'!O38/Население!P38</f>
        <v>19.002268308489956</v>
      </c>
      <c r="Q38" s="84">
        <f>'Вклады юр и физ лиц'!P38/Население!Q38</f>
        <v>20.145933783349406</v>
      </c>
      <c r="R38" s="84">
        <f>'Вклады юр и физ лиц'!Q38/Население!R38</f>
        <v>24.681774656878392</v>
      </c>
    </row>
    <row r="39" spans="1:18" x14ac:dyDescent="0.25">
      <c r="A39" s="85">
        <v>38</v>
      </c>
      <c r="B39" s="84" t="s">
        <v>38</v>
      </c>
      <c r="C39" s="84">
        <f>'Вклады юр и физ лиц'!B39/Население!C39</f>
        <v>0.64268585131894485</v>
      </c>
      <c r="D39" s="84">
        <f>'Вклады юр и физ лиц'!C39/Население!D39</f>
        <v>1.2166324435318274</v>
      </c>
      <c r="E39" s="84">
        <f>'Вклады юр и физ лиц'!D39/Население!E39</f>
        <v>1.1012170385395537</v>
      </c>
      <c r="F39" s="84">
        <f>'Вклады юр и физ лиц'!E39/Население!F39</f>
        <v>1.8543086172344689</v>
      </c>
      <c r="G39" s="84">
        <f>'Вклады юр и физ лиц'!F39/Население!G39</f>
        <v>1.9057086614173229</v>
      </c>
      <c r="H39" s="84">
        <f>'Вклады юр и физ лиц'!G39/Население!H39</f>
        <v>4.9498795180722883</v>
      </c>
      <c r="I39" s="84">
        <f>'Вклады юр и физ лиц'!H39/Население!I39</f>
        <v>5.1720930232558135</v>
      </c>
      <c r="J39" s="84">
        <f>'Вклады юр и физ лиц'!I39/Население!J39</f>
        <v>6.5882352941176467</v>
      </c>
      <c r="K39" s="84">
        <f>'Вклады юр и физ лиц'!J39/Население!K39</f>
        <v>7.6401766004415013</v>
      </c>
      <c r="L39" s="84">
        <f>'Вклады юр и физ лиц'!K39/Население!L39</f>
        <v>9.5409482758620694</v>
      </c>
      <c r="M39" s="84">
        <f>'Вклады юр и физ лиц'!L39/Население!M39</f>
        <v>7.8012684989429175</v>
      </c>
      <c r="N39" s="84">
        <f>'Вклады юр и физ лиц'!M39/Население!N39</f>
        <v>9.5446985446985444</v>
      </c>
      <c r="O39" s="84">
        <f>'Вклады юр и физ лиц'!N39/Население!O39</f>
        <v>9.2561475409836067</v>
      </c>
      <c r="P39" s="84">
        <f>'Вклады юр и физ лиц'!O39/Население!P39</f>
        <v>9.3995983935742977</v>
      </c>
      <c r="Q39" s="84">
        <f>'Вклады юр и физ лиц'!P39/Население!Q39</f>
        <v>10.335305719921104</v>
      </c>
      <c r="R39" s="84">
        <f>'Вклады юр и физ лиц'!Q39/Население!R39</f>
        <v>11.505813953488373</v>
      </c>
    </row>
    <row r="40" spans="1:18" x14ac:dyDescent="0.25">
      <c r="A40" s="85">
        <v>39</v>
      </c>
      <c r="B40" s="84" t="s">
        <v>42</v>
      </c>
      <c r="C40" s="84">
        <f>'Вклады юр и физ лиц'!B40/Население!C40</f>
        <v>2.7118937644341803</v>
      </c>
      <c r="D40" s="84">
        <f>'Вклады юр и физ лиц'!C40/Население!D40</f>
        <v>3.5266219239373604</v>
      </c>
      <c r="E40" s="84">
        <f>'Вклады юр и физ лиц'!D40/Население!E40</f>
        <v>5.3667789001122337</v>
      </c>
      <c r="F40" s="84">
        <f>'Вклады юр и физ лиц'!E40/Население!F40</f>
        <v>9.1818181818181817</v>
      </c>
      <c r="G40" s="84">
        <f>'Вклады юр и физ лиц'!F40/Население!G40</f>
        <v>9.7455156950672652</v>
      </c>
      <c r="H40" s="84">
        <f>'Вклады юр и физ лиц'!G40/Население!H40</f>
        <v>11.295116279069767</v>
      </c>
      <c r="I40" s="84">
        <f>'Вклады юр и физ лиц'!H40/Население!I40</f>
        <v>16.086146682188591</v>
      </c>
      <c r="J40" s="84">
        <f>'Вклады юр и физ лиц'!I40/Население!J40</f>
        <v>20.223515715948778</v>
      </c>
      <c r="K40" s="84">
        <f>'Вклады юр и физ лиц'!J40/Население!K40</f>
        <v>25.026775320139699</v>
      </c>
      <c r="L40" s="84">
        <f>'Вклады юр и физ лиц'!K40/Население!L40</f>
        <v>28.270615563298492</v>
      </c>
      <c r="M40" s="84">
        <f>'Вклады юр и физ лиц'!L40/Население!M40</f>
        <v>27.53016241299304</v>
      </c>
      <c r="N40" s="84">
        <f>'Вклады юр и физ лиц'!M40/Население!N40</f>
        <v>31.773410404624279</v>
      </c>
      <c r="O40" s="84">
        <f>'Вклады юр и физ лиц'!N40/Население!O40</f>
        <v>36.220809248554914</v>
      </c>
      <c r="P40" s="84">
        <f>'Вклады юр и физ лиц'!O40/Население!P40</f>
        <v>40.225173210161664</v>
      </c>
      <c r="Q40" s="84">
        <f>'Вклады юр и физ лиц'!P40/Население!Q40</f>
        <v>42.119815668202762</v>
      </c>
      <c r="R40" s="84">
        <f>'Вклады юр и физ лиц'!Q40/Население!R40</f>
        <v>47.408515535097813</v>
      </c>
    </row>
    <row r="41" spans="1:18" x14ac:dyDescent="0.25">
      <c r="A41" s="85">
        <v>40</v>
      </c>
      <c r="B41" s="84" t="s">
        <v>39</v>
      </c>
      <c r="C41" s="84">
        <f>'Вклады юр и физ лиц'!B41/Население!C41</f>
        <v>2.1925274725274724</v>
      </c>
      <c r="D41" s="84">
        <f>'Вклады юр и физ лиц'!C41/Население!D41</f>
        <v>3.2839907192575408</v>
      </c>
      <c r="E41" s="84">
        <f>'Вклады юр и физ лиц'!D41/Население!E41</f>
        <v>4.9557109557109555</v>
      </c>
      <c r="F41" s="84">
        <f>'Вклады юр и физ лиц'!E41/Население!F41</f>
        <v>6.024824355971897</v>
      </c>
      <c r="G41" s="84">
        <f>'Вклады юр и физ лиц'!F41/Население!G41</f>
        <v>7.0637002341920372</v>
      </c>
      <c r="H41" s="84">
        <f>'Вклады юр и физ лиц'!G41/Население!H41</f>
        <v>8.4176100628930808</v>
      </c>
      <c r="I41" s="84">
        <f>'Вклады юр и физ лиц'!H41/Население!I41</f>
        <v>13.597894736842106</v>
      </c>
      <c r="J41" s="84">
        <f>'Вклады юр и физ лиц'!I41/Население!J41</f>
        <v>16.824152542372882</v>
      </c>
      <c r="K41" s="84">
        <f>'Вклады юр и физ лиц'!J41/Население!K41</f>
        <v>19.527659574468085</v>
      </c>
      <c r="L41" s="84">
        <f>'Вклады юр и физ лиц'!K41/Население!L41</f>
        <v>23.336886993603411</v>
      </c>
      <c r="M41" s="84">
        <f>'Вклады юр и физ лиц'!L41/Население!M41</f>
        <v>21.925213675213676</v>
      </c>
      <c r="N41" s="84">
        <f>'Вклады юр и физ лиц'!M41/Население!N41</f>
        <v>27.240343347639485</v>
      </c>
      <c r="O41" s="84">
        <f>'Вклады юр и физ лиц'!N41/Население!O41</f>
        <v>31.570815450643778</v>
      </c>
      <c r="P41" s="84">
        <f>'Вклады юр и физ лиц'!O41/Население!P41</f>
        <v>35.036480686695278</v>
      </c>
      <c r="Q41" s="84">
        <f>'Вклады юр и физ лиц'!P41/Население!Q41</f>
        <v>35.403433476394852</v>
      </c>
      <c r="R41" s="84">
        <f>'Вклады юр и физ лиц'!Q41/Население!R41</f>
        <v>37.1505376344086</v>
      </c>
    </row>
    <row r="42" spans="1:18" x14ac:dyDescent="0.25">
      <c r="A42" s="85">
        <v>41</v>
      </c>
      <c r="B42" s="84" t="s">
        <v>43</v>
      </c>
      <c r="C42" s="84">
        <f>'Вклады юр и физ лиц'!B42/Население!C42</f>
        <v>6.5062234794908056</v>
      </c>
      <c r="D42" s="84">
        <f>'Вклады юр и физ лиц'!C42/Население!D42</f>
        <v>7.094444444444445</v>
      </c>
      <c r="E42" s="84">
        <f>'Вклады юр и физ лиц'!D42/Население!E42</f>
        <v>8.3977175463623404</v>
      </c>
      <c r="F42" s="84">
        <f>'Вклады юр и физ лиц'!E42/Население!F42</f>
        <v>11.250427350427351</v>
      </c>
      <c r="G42" s="84">
        <f>'Вклады юр и физ лиц'!F42/Население!G42</f>
        <v>12.466951566951566</v>
      </c>
      <c r="H42" s="84">
        <f>'Вклады юр и физ лиц'!G42/Население!H42</f>
        <v>16.235393258426967</v>
      </c>
      <c r="I42" s="84">
        <f>'Вклады юр и физ лиц'!H42/Население!I42</f>
        <v>22.200282087447107</v>
      </c>
      <c r="J42" s="84">
        <f>'Вклады юр и физ лиц'!I42/Население!J42</f>
        <v>28.722379603399432</v>
      </c>
      <c r="K42" s="84">
        <f>'Вклады юр и физ лиц'!J42/Население!K42</f>
        <v>34.362215909090907</v>
      </c>
      <c r="L42" s="84">
        <f>'Вклады юр и физ лиц'!K42/Население!L42</f>
        <v>37.135977337110482</v>
      </c>
      <c r="M42" s="84">
        <f>'Вклады юр и физ лиц'!L42/Население!M42</f>
        <v>36.836647727272727</v>
      </c>
      <c r="N42" s="84">
        <f>'Вклады юр и физ лиц'!M42/Население!N42</f>
        <v>43.88620199146515</v>
      </c>
      <c r="O42" s="84">
        <f>'Вклады юр и физ лиц'!N42/Население!O42</f>
        <v>48.525641025641029</v>
      </c>
      <c r="P42" s="84">
        <f>'Вклады юр и физ лиц'!O42/Население!P42</f>
        <v>54.878397711015737</v>
      </c>
      <c r="Q42" s="84">
        <f>'Вклады юр и физ лиц'!P42/Население!Q42</f>
        <v>58.229555236728835</v>
      </c>
      <c r="R42" s="84">
        <f>'Вклады юр и физ лиц'!Q42/Население!R42</f>
        <v>65.513708513708508</v>
      </c>
    </row>
    <row r="43" spans="1:18" x14ac:dyDescent="0.25">
      <c r="A43" s="85">
        <v>42</v>
      </c>
      <c r="B43" s="84" t="s">
        <v>40</v>
      </c>
      <c r="C43" s="84">
        <f>'Вклады юр и физ лиц'!B43/Население!C43</f>
        <v>1.8743923611111113</v>
      </c>
      <c r="D43" s="84">
        <f>'Вклады юр и физ лиц'!C43/Население!D43</f>
        <v>0.44067067927773002</v>
      </c>
      <c r="E43" s="84">
        <f>'Вклады юр и физ лиц'!D43/Население!E43</f>
        <v>0.30439189189189186</v>
      </c>
      <c r="F43" s="84">
        <f>'Вклады юр и физ лиц'!E43/Население!F43</f>
        <v>0.48585607940446646</v>
      </c>
      <c r="G43" s="84">
        <f>'Вклады юр и физ лиц'!F43/Население!G43</f>
        <v>1.9306698950766747</v>
      </c>
      <c r="H43" s="84">
        <f>'Вклады юр и физ лиц'!G43/Население!H43</f>
        <v>2.2415686274509805</v>
      </c>
      <c r="I43" s="84">
        <f>'Вклады юр и физ лиц'!H43/Население!I43</f>
        <v>2.9024577572964669</v>
      </c>
      <c r="J43" s="84">
        <f>'Вклады юр и физ лиц'!I43/Население!J43</f>
        <v>3.7298113207547168</v>
      </c>
      <c r="K43" s="84">
        <f>'Вклады юр и физ лиц'!J43/Население!K43</f>
        <v>6.1916790490341755</v>
      </c>
      <c r="L43" s="84">
        <f>'Вклады юр и физ лиц'!K43/Население!L43</f>
        <v>6.1007299270072997</v>
      </c>
      <c r="M43" s="84">
        <f>'Вклады юр и физ лиц'!L43/Население!M43</f>
        <v>6.4490674318507892</v>
      </c>
      <c r="N43" s="84">
        <f>'Вклады юр и физ лиц'!M43/Население!N43</f>
        <v>14.956890459363958</v>
      </c>
      <c r="O43" s="84">
        <f>'Вклады юр и физ лиц'!N43/Население!O43</f>
        <v>12.134307585247042</v>
      </c>
      <c r="P43" s="84">
        <f>'Вклады юр и физ лиц'!O43/Население!P43</f>
        <v>11.781743308167467</v>
      </c>
      <c r="Q43" s="84">
        <f>'Вклады юр и физ лиц'!P43/Население!Q43</f>
        <v>16.440162271805274</v>
      </c>
      <c r="R43" s="84">
        <f>'Вклады юр и физ лиц'!Q43/Население!R43</f>
        <v>17.289719626168225</v>
      </c>
    </row>
    <row r="44" spans="1:18" x14ac:dyDescent="0.25">
      <c r="A44" s="85">
        <v>43</v>
      </c>
      <c r="B44" s="84" t="s">
        <v>41</v>
      </c>
      <c r="C44" s="84">
        <f>'Вклады юр и физ лиц'!B44/Население!C44</f>
        <v>6.6841281397888599</v>
      </c>
      <c r="D44" s="84">
        <f>'Вклады юр и физ лиц'!C44/Население!D44</f>
        <v>8.9532103321033212</v>
      </c>
      <c r="E44" s="84">
        <f>'Вклады юр и физ лиц'!D44/Население!E44</f>
        <v>12.757349129951869</v>
      </c>
      <c r="F44" s="84">
        <f>'Вклады юр и физ лиц'!E44/Население!F44</f>
        <v>17.979260628465806</v>
      </c>
      <c r="G44" s="84">
        <f>'Вклады юр и физ лиц'!F44/Население!G44</f>
        <v>19.468747691171039</v>
      </c>
      <c r="H44" s="84">
        <f>'Вклады юр и физ лиц'!G44/Население!H44</f>
        <v>24.986898779612346</v>
      </c>
      <c r="I44" s="84">
        <f>'Вклады юр и физ лиц'!H44/Население!I44</f>
        <v>32.699677072120558</v>
      </c>
      <c r="J44" s="84">
        <f>'Вклады юр и физ лиц'!I44/Население!J44</f>
        <v>39.77140809745611</v>
      </c>
      <c r="K44" s="84">
        <f>'Вклады юр и физ лиц'!J44/Население!K44</f>
        <v>48.670365068002866</v>
      </c>
      <c r="L44" s="84">
        <f>'Вклады юр и физ лиц'!K44/Население!L44</f>
        <v>58.458735262593784</v>
      </c>
      <c r="M44" s="84">
        <f>'Вклады юр и физ лиц'!L44/Население!M44</f>
        <v>58.518915060670949</v>
      </c>
      <c r="N44" s="84">
        <f>'Вклады юр и физ лиц'!M44/Население!N44</f>
        <v>67.757845934379461</v>
      </c>
      <c r="O44" s="84">
        <f>'Вклады юр и физ лиц'!N44/Население!O44</f>
        <v>79.237772224205642</v>
      </c>
      <c r="P44" s="84">
        <f>'Вклады юр и физ лиц'!O44/Население!P44</f>
        <v>86.704114490161004</v>
      </c>
      <c r="Q44" s="84">
        <f>'Вклады юр и физ лиц'!P44/Население!Q44</f>
        <v>97.163039600428107</v>
      </c>
      <c r="R44" s="84">
        <f>'Вклады юр и физ лиц'!Q44/Население!R44</f>
        <v>104.86501969208736</v>
      </c>
    </row>
    <row r="45" spans="1:18" x14ac:dyDescent="0.25">
      <c r="A45" s="85">
        <v>44</v>
      </c>
      <c r="B45" s="84" t="s">
        <v>44</v>
      </c>
      <c r="C45" s="84">
        <f>'Вклады юр и физ лиц'!B45/Население!C45</f>
        <v>7.7922036399409738</v>
      </c>
      <c r="D45" s="84">
        <f>'Вклады юр и физ лиц'!C45/Население!D45</f>
        <v>11.131036180162441</v>
      </c>
      <c r="E45" s="84">
        <f>'Вклады юр и физ лиц'!D45/Население!E45</f>
        <v>16.175265366576156</v>
      </c>
      <c r="F45" s="84">
        <f>'Вклады юр и физ лиц'!E45/Население!F45</f>
        <v>23.364125339254873</v>
      </c>
      <c r="G45" s="84">
        <f>'Вклады юр и физ лиц'!F45/Население!G45</f>
        <v>29.510327828444662</v>
      </c>
      <c r="H45" s="84">
        <f>'Вклады юр и физ лиц'!G45/Население!H45</f>
        <v>42.062033398821221</v>
      </c>
      <c r="I45" s="84">
        <f>'Вклады юр и физ лиц'!H45/Население!I45</f>
        <v>58.701525590551178</v>
      </c>
      <c r="J45" s="84">
        <f>'Вклады юр и физ лиц'!I45/Население!J45</f>
        <v>65.755971435606995</v>
      </c>
      <c r="K45" s="84">
        <f>'Вклады юр и физ лиц'!J45/Население!K45</f>
        <v>71.319656019656023</v>
      </c>
      <c r="L45" s="84">
        <f>'Вклады юр и физ лиц'!K45/Население!L45</f>
        <v>79.137033398821217</v>
      </c>
      <c r="M45" s="84">
        <f>'Вклады юр и физ лиц'!L45/Население!M45</f>
        <v>86.85335298452469</v>
      </c>
      <c r="N45" s="84">
        <f>'Вклады юр и физ лиц'!M45/Население!N45</f>
        <v>89.826653552987466</v>
      </c>
      <c r="O45" s="84">
        <f>'Вклады юр и физ лиц'!N45/Население!O45</f>
        <v>92.316268766920999</v>
      </c>
      <c r="P45" s="84">
        <f>'Вклады юр и физ лиц'!O45/Население!P45</f>
        <v>104.52678351024439</v>
      </c>
      <c r="Q45" s="84">
        <f>'Вклады юр и физ лиц'!P45/Население!Q45</f>
        <v>113.8912828132739</v>
      </c>
      <c r="R45" s="84">
        <f>'Вклады юр и физ лиц'!Q45/Население!R45</f>
        <v>118.58993522670653</v>
      </c>
    </row>
    <row r="46" spans="1:18" x14ac:dyDescent="0.25">
      <c r="A46" s="85">
        <v>45</v>
      </c>
      <c r="B46" s="84" t="s">
        <v>45</v>
      </c>
      <c r="C46" s="84">
        <f>'Вклады юр и физ лиц'!B46/Население!C46</f>
        <v>4.096774193548387</v>
      </c>
      <c r="D46" s="84">
        <f>'Вклады юр и физ лиц'!C46/Население!D46</f>
        <v>5.7237359550561804</v>
      </c>
      <c r="E46" s="84">
        <f>'Вклады юр и физ лиц'!D46/Население!E46</f>
        <v>8.6411598302687409</v>
      </c>
      <c r="F46" s="84">
        <f>'Вклады юр и физ лиц'!E46/Население!F46</f>
        <v>12.096017069701281</v>
      </c>
      <c r="G46" s="84">
        <f>'Вклады юр и физ лиц'!F46/Население!G46</f>
        <v>13.560714285714285</v>
      </c>
      <c r="H46" s="84">
        <f>'Вклады юр и физ лиц'!G46/Население!H46</f>
        <v>19.068920863309351</v>
      </c>
      <c r="I46" s="84">
        <f>'Вклады юр и физ лиц'!H46/Население!I46</f>
        <v>26.697976878612717</v>
      </c>
      <c r="J46" s="84">
        <f>'Вклады юр и физ лиц'!I46/Население!J46</f>
        <v>32.327536231884061</v>
      </c>
      <c r="K46" s="84">
        <f>'Вклады юр и физ лиц'!J46/Население!K46</f>
        <v>40.061046511627907</v>
      </c>
      <c r="L46" s="84">
        <f>'Вклады юр и физ лиц'!K46/Население!L46</f>
        <v>49.381368267831149</v>
      </c>
      <c r="M46" s="84">
        <f>'Вклады юр и физ лиц'!L46/Население!M46</f>
        <v>55.415451895043731</v>
      </c>
      <c r="N46" s="84">
        <f>'Вклады юр и физ лиц'!M46/Население!N46</f>
        <v>65.016058394160581</v>
      </c>
      <c r="O46" s="84">
        <f>'Вклады юр и физ лиц'!N46/Население!O46</f>
        <v>76.960410557184744</v>
      </c>
      <c r="P46" s="84">
        <f>'Вклады юр и физ лиц'!O46/Население!P46</f>
        <v>80.427312775330392</v>
      </c>
      <c r="Q46" s="84">
        <f>'Вклады юр и физ лиц'!P46/Население!Q46</f>
        <v>89.210603829160533</v>
      </c>
      <c r="R46" s="84">
        <f>'Вклады юр и физ лиц'!Q46/Население!R46</f>
        <v>102.82666666666667</v>
      </c>
    </row>
    <row r="47" spans="1:18" x14ac:dyDescent="0.25">
      <c r="A47" s="85">
        <v>46</v>
      </c>
      <c r="B47" s="84" t="s">
        <v>46</v>
      </c>
      <c r="C47" s="84">
        <f>'Вклады юр и физ лиц'!B47/Население!C47</f>
        <v>5.26635838150289</v>
      </c>
      <c r="D47" s="84">
        <f>'Вклады юр и физ лиц'!C47/Население!D47</f>
        <v>7.701050175029172</v>
      </c>
      <c r="E47" s="84">
        <f>'Вклады юр и физ лиц'!D47/Население!E47</f>
        <v>11.721816037735849</v>
      </c>
      <c r="F47" s="84">
        <f>'Вклады юр и физ лиц'!E47/Население!F47</f>
        <v>15.552976190476191</v>
      </c>
      <c r="G47" s="84">
        <f>'Вклады юр и физ лиц'!F47/Население!G47</f>
        <v>17.165546218487396</v>
      </c>
      <c r="H47" s="84">
        <f>'Вклады юр и физ лиц'!G47/Население!H47</f>
        <v>24.22769784172662</v>
      </c>
      <c r="I47" s="84">
        <f>'Вклады юр и физ лиц'!H47/Население!I47</f>
        <v>34.020606060606063</v>
      </c>
      <c r="J47" s="84">
        <f>'Вклады юр и физ лиц'!I47/Население!J47</f>
        <v>38.669108669108667</v>
      </c>
      <c r="K47" s="84">
        <f>'Вклады юр и физ лиц'!J47/Население!K47</f>
        <v>44.793103448275865</v>
      </c>
      <c r="L47" s="84">
        <f>'Вклады юр и физ лиц'!K47/Население!L47</f>
        <v>52.464771322620521</v>
      </c>
      <c r="M47" s="84">
        <f>'Вклады юр и физ лиц'!L47/Население!M47</f>
        <v>57.941759603469642</v>
      </c>
      <c r="N47" s="84">
        <f>'Вклады юр и физ лиц'!M47/Население!N47</f>
        <v>67.429455445544548</v>
      </c>
      <c r="O47" s="84">
        <f>'Вклады юр и физ лиц'!N47/Население!O47</f>
        <v>75.942857142857136</v>
      </c>
      <c r="P47" s="84">
        <f>'Вклады юр и физ лиц'!O47/Население!P47</f>
        <v>83.255345911949689</v>
      </c>
      <c r="Q47" s="84">
        <f>'Вклады юр и физ лиц'!P47/Население!Q47</f>
        <v>92.487341772151893</v>
      </c>
      <c r="R47" s="84">
        <f>'Вклады юр и физ лиц'!Q47/Население!R47</f>
        <v>101.54043645699615</v>
      </c>
    </row>
    <row r="48" spans="1:18" x14ac:dyDescent="0.25">
      <c r="A48" s="85">
        <v>47</v>
      </c>
      <c r="B48" s="84" t="s">
        <v>47</v>
      </c>
      <c r="C48" s="84">
        <f>'Вклады юр и физ лиц'!B48/Население!C48</f>
        <v>11.684316852737906</v>
      </c>
      <c r="D48" s="84">
        <f>'Вклады юр и физ лиц'!C48/Население!D48</f>
        <v>21.727166400850614</v>
      </c>
      <c r="E48" s="84">
        <f>'Вклады юр и физ лиц'!D48/Население!E48</f>
        <v>28.468723404255318</v>
      </c>
      <c r="F48" s="84">
        <f>'Вклады юр и физ лиц'!E48/Население!F48</f>
        <v>40.662742492691997</v>
      </c>
      <c r="G48" s="84">
        <f>'Вклады юр и физ лиц'!F48/Население!G48</f>
        <v>42.119607322897316</v>
      </c>
      <c r="H48" s="84">
        <f>'Вклады юр и физ лиц'!G48/Население!H48</f>
        <v>49.452152099287034</v>
      </c>
      <c r="I48" s="84">
        <f>'Вклады юр и физ лиц'!H48/Население!I48</f>
        <v>69.134367604522751</v>
      </c>
      <c r="J48" s="84">
        <f>'Вклады юр и физ лиц'!I48/Население!J48</f>
        <v>90.591836734693871</v>
      </c>
      <c r="K48" s="84">
        <f>'Вклады юр и физ лиц'!J48/Население!K48</f>
        <v>101.63288170922355</v>
      </c>
      <c r="L48" s="84">
        <f>'Вклады юр и физ лиц'!K48/Население!L48</f>
        <v>120.72996108949417</v>
      </c>
      <c r="M48" s="84">
        <f>'Вклады юр и физ лиц'!L48/Население!M48</f>
        <v>135.38201085551822</v>
      </c>
      <c r="N48" s="84">
        <f>'Вклады юр и физ лиц'!M48/Население!N48</f>
        <v>151.26615186615186</v>
      </c>
      <c r="O48" s="84">
        <f>'Вклады юр и физ лиц'!N48/Население!O48</f>
        <v>171.46136071887034</v>
      </c>
      <c r="P48" s="84">
        <f>'Вклады юр и физ лиц'!O48/Население!P48</f>
        <v>180.09104898691973</v>
      </c>
      <c r="Q48" s="84">
        <f>'Вклады юр и физ лиц'!P48/Население!Q48</f>
        <v>210.14783499871893</v>
      </c>
      <c r="R48" s="84">
        <f>'Вклады юр и физ лиц'!Q48/Население!R48</f>
        <v>243.23626091422702</v>
      </c>
    </row>
    <row r="49" spans="1:18" x14ac:dyDescent="0.25">
      <c r="A49" s="85">
        <v>48</v>
      </c>
      <c r="B49" s="84" t="s">
        <v>48</v>
      </c>
      <c r="C49" s="84">
        <f>'Вклады юр и физ лиц'!B49/Население!C49</f>
        <v>6.6695342820181116</v>
      </c>
      <c r="D49" s="84">
        <f>'Вклады юр и физ лиц'!C49/Население!D49</f>
        <v>9.7237046632124358</v>
      </c>
      <c r="E49" s="84">
        <f>'Вклады юр и физ лиц'!D49/Население!E49</f>
        <v>13.920806241872562</v>
      </c>
      <c r="F49" s="84">
        <f>'Вклады юр и физ лиц'!E49/Население!F49</f>
        <v>19.438617090671887</v>
      </c>
      <c r="G49" s="84">
        <f>'Вклады юр и физ лиц'!F49/Население!G49</f>
        <v>20.047547416612165</v>
      </c>
      <c r="H49" s="84">
        <f>'Вклады юр и физ лиц'!G49/Население!H49</f>
        <v>27.830328947368422</v>
      </c>
      <c r="I49" s="84">
        <f>'Вклады юр и физ лиц'!H49/Население!I49</f>
        <v>36.664690382081687</v>
      </c>
      <c r="J49" s="84">
        <f>'Вклады юр и физ лиц'!I49/Население!J49</f>
        <v>42.972990777338602</v>
      </c>
      <c r="K49" s="84">
        <f>'Вклады юр и физ лиц'!J49/Население!K49</f>
        <v>53.972972972972975</v>
      </c>
      <c r="L49" s="84">
        <f>'Вклады юр и физ лиц'!K49/Население!L49</f>
        <v>64.43017127799736</v>
      </c>
      <c r="M49" s="84">
        <f>'Вклады юр и физ лиц'!L49/Население!M49</f>
        <v>71.125906394199077</v>
      </c>
      <c r="N49" s="84">
        <f>'Вклады юр и физ лиц'!M49/Население!N49</f>
        <v>79.250494396835862</v>
      </c>
      <c r="O49" s="84">
        <f>'Вклады юр и физ лиц'!N49/Население!O49</f>
        <v>98.704560475875738</v>
      </c>
      <c r="P49" s="84">
        <f>'Вклады юр и физ лиц'!O49/Население!P49</f>
        <v>107.43065693430657</v>
      </c>
      <c r="Q49" s="84">
        <f>'Вклады юр и физ лиц'!P49/Население!Q49</f>
        <v>116.62958027981345</v>
      </c>
      <c r="R49" s="84">
        <f>'Вклады юр и физ лиц'!Q49/Население!R49</f>
        <v>116.35967849966511</v>
      </c>
    </row>
    <row r="50" spans="1:18" x14ac:dyDescent="0.25">
      <c r="A50" s="85">
        <v>49</v>
      </c>
      <c r="B50" s="84" t="s">
        <v>49</v>
      </c>
      <c r="C50" s="84">
        <f>'Вклады юр и физ лиц'!B50/Население!C50</f>
        <v>5.3114151681000781</v>
      </c>
      <c r="D50" s="84">
        <f>'Вклады юр и физ лиц'!C50/Население!D50</f>
        <v>7.3031733746130039</v>
      </c>
      <c r="E50" s="84">
        <f>'Вклады юр и физ лиц'!D50/Население!E50</f>
        <v>11.411586314152411</v>
      </c>
      <c r="F50" s="84">
        <f>'Вклады юр и физ лиц'!E50/Население!F50</f>
        <v>16.253822152886116</v>
      </c>
      <c r="G50" s="84">
        <f>'Вклады юр и физ лиц'!F50/Население!G50</f>
        <v>17.139483971853011</v>
      </c>
      <c r="H50" s="84">
        <f>'Вклады юр и физ лиц'!G50/Население!H50</f>
        <v>24.132853717026379</v>
      </c>
      <c r="I50" s="84">
        <f>'Вклады юр и физ лиц'!H50/Население!I50</f>
        <v>34.246190858059343</v>
      </c>
      <c r="J50" s="84">
        <f>'Вклады юр и физ лиц'!I50/Население!J50</f>
        <v>40.180064308681672</v>
      </c>
      <c r="K50" s="84">
        <f>'Вклады юр и физ лиц'!J50/Население!K50</f>
        <v>51.220967741935482</v>
      </c>
      <c r="L50" s="84">
        <f>'Вклады юр и физ лиц'!K50/Население!L50</f>
        <v>62.759289176090469</v>
      </c>
      <c r="M50" s="84">
        <f>'Вклады юр и физ лиц'!L50/Население!M50</f>
        <v>62.868229587712207</v>
      </c>
      <c r="N50" s="84">
        <f>'Вклады юр и физ лиц'!M50/Население!N50</f>
        <v>76.204692556634299</v>
      </c>
      <c r="O50" s="84">
        <f>'Вклады юр и физ лиц'!N50/Население!O50</f>
        <v>89.485783915515839</v>
      </c>
      <c r="P50" s="84">
        <f>'Вклады юр и физ лиц'!O50/Население!P50</f>
        <v>100.5233033524121</v>
      </c>
      <c r="Q50" s="84">
        <f>'Вклады юр и физ лиц'!P50/Население!Q50</f>
        <v>110.33825944170772</v>
      </c>
      <c r="R50" s="84">
        <f>'Вклады юр и физ лиц'!Q50/Население!R50</f>
        <v>118.89900662251655</v>
      </c>
    </row>
    <row r="51" spans="1:18" x14ac:dyDescent="0.25">
      <c r="A51" s="85">
        <v>50</v>
      </c>
      <c r="B51" s="84" t="s">
        <v>50</v>
      </c>
      <c r="C51" s="84">
        <f>'Вклады юр и физ лиц'!B51/Население!C51</f>
        <v>10.959507171754321</v>
      </c>
      <c r="D51" s="84">
        <f>'Вклады юр и физ лиц'!C51/Население!D51</f>
        <v>13.837809315866085</v>
      </c>
      <c r="E51" s="84">
        <f>'Вклады юр и физ лиц'!D51/Население!E51</f>
        <v>20.197436836323689</v>
      </c>
      <c r="F51" s="84">
        <f>'Вклады юр и физ лиц'!E51/Население!F51</f>
        <v>30.573399558498895</v>
      </c>
      <c r="G51" s="84">
        <f>'Вклады юр и физ лиц'!F51/Население!G51</f>
        <v>39.713552437223044</v>
      </c>
      <c r="H51" s="84">
        <f>'Вклады юр и физ лиц'!G51/Население!H51</f>
        <v>42.589445709946851</v>
      </c>
      <c r="I51" s="84">
        <f>'Вклады юр и физ лиц'!H51/Население!I51</f>
        <v>53.92892436335994</v>
      </c>
      <c r="J51" s="84">
        <f>'Вклады юр и физ лиц'!I51/Население!J51</f>
        <v>68.758542141230066</v>
      </c>
      <c r="K51" s="84">
        <f>'Вклады юр и физ лиц'!J51/Население!K51</f>
        <v>78.645675265553876</v>
      </c>
      <c r="L51" s="84">
        <f>'Вклады юр и физ лиц'!K51/Население!L51</f>
        <v>90.961698900265446</v>
      </c>
      <c r="M51" s="84">
        <f>'Вклады юр и физ лиц'!L51/Население!M51</f>
        <v>88.727031131359155</v>
      </c>
      <c r="N51" s="84">
        <f>'Вклады юр и физ лиц'!M51/Население!N51</f>
        <v>102.11816109422493</v>
      </c>
      <c r="O51" s="84">
        <f>'Вклады юр и физ лиц'!N51/Население!O51</f>
        <v>110.73046130385055</v>
      </c>
      <c r="P51" s="84">
        <f>'Вклады юр и физ лиц'!O51/Население!P51</f>
        <v>118.16315587897357</v>
      </c>
      <c r="Q51" s="84">
        <f>'Вклады юр и физ лиц'!P51/Население!Q51</f>
        <v>127.17429780684878</v>
      </c>
      <c r="R51" s="84">
        <f>'Вклады юр и физ лиц'!Q51/Население!R51</f>
        <v>140.5246219464909</v>
      </c>
    </row>
    <row r="52" spans="1:18" x14ac:dyDescent="0.25">
      <c r="A52" s="85">
        <v>51</v>
      </c>
      <c r="B52" s="84" t="s">
        <v>51</v>
      </c>
      <c r="C52" s="84">
        <f>'Вклады юр и физ лиц'!B52/Население!C52</f>
        <v>6.6529950669485558</v>
      </c>
      <c r="D52" s="84">
        <f>'Вклады юр и физ лиц'!C52/Население!D52</f>
        <v>8.6918225918225911</v>
      </c>
      <c r="E52" s="84">
        <f>'Вклады юр и физ лиц'!D52/Население!E52</f>
        <v>12.883672039243168</v>
      </c>
      <c r="F52" s="84">
        <f>'Вклады юр и физ лиц'!E52/Население!F52</f>
        <v>16.506298655343244</v>
      </c>
      <c r="G52" s="84">
        <f>'Вклады юр и физ лиц'!F52/Население!G52</f>
        <v>20.426266952177016</v>
      </c>
      <c r="H52" s="84">
        <f>'Вклады юр и физ лиц'!G52/Население!H52</f>
        <v>27.630097087378637</v>
      </c>
      <c r="I52" s="84">
        <f>'Вклады юр и физ лиц'!H52/Население!I52</f>
        <v>40.57153614457831</v>
      </c>
      <c r="J52" s="84">
        <f>'Вклады юр и физ лиц'!I52/Население!J52</f>
        <v>45.629264594389689</v>
      </c>
      <c r="K52" s="84">
        <f>'Вклады юр и физ лиц'!J52/Население!K52</f>
        <v>53.755148741418765</v>
      </c>
      <c r="L52" s="84">
        <f>'Вклады юр и физ лиц'!K52/Население!L52</f>
        <v>62.521472392638039</v>
      </c>
      <c r="M52" s="84">
        <f>'Вклады юр и физ лиц'!L52/Население!M52</f>
        <v>63.056283731688509</v>
      </c>
      <c r="N52" s="84">
        <f>'Вклады юр и физ лиц'!M52/Население!N52</f>
        <v>75.978328173374607</v>
      </c>
      <c r="O52" s="84">
        <f>'Вклады юр и физ лиц'!N52/Население!O52</f>
        <v>87.833982852689005</v>
      </c>
      <c r="P52" s="84">
        <f>'Вклады юр и физ лиц'!O52/Население!P52</f>
        <v>100.98977987421384</v>
      </c>
      <c r="Q52" s="84">
        <f>'Вклады юр и физ лиц'!P52/Население!Q52</f>
        <v>110.38004750593824</v>
      </c>
      <c r="R52" s="84">
        <f>'Вклады юр и физ лиц'!Q52/Население!R52</f>
        <v>123.812</v>
      </c>
    </row>
    <row r="53" spans="1:18" x14ac:dyDescent="0.25">
      <c r="A53" s="85">
        <v>52</v>
      </c>
      <c r="B53" s="84" t="s">
        <v>52</v>
      </c>
      <c r="C53" s="84">
        <f>'Вклады юр и физ лиц'!B53/Население!C53</f>
        <v>10.733245459871119</v>
      </c>
      <c r="D53" s="84">
        <f>'Вклады юр и физ лиц'!C53/Население!D53</f>
        <v>14.606273819994136</v>
      </c>
      <c r="E53" s="84">
        <f>'Вклады юр и физ лиц'!D53/Население!E53</f>
        <v>22.102514049097902</v>
      </c>
      <c r="F53" s="84">
        <f>'Вклады юр и физ лиц'!E53/Население!F53</f>
        <v>31.755000000000003</v>
      </c>
      <c r="G53" s="84">
        <f>'Вклады юр и физ лиц'!F53/Население!G53</f>
        <v>31.025142173002095</v>
      </c>
      <c r="H53" s="84">
        <f>'Вклады юр и физ лиц'!G53/Население!H53</f>
        <v>42.662696493349458</v>
      </c>
      <c r="I53" s="84">
        <f>'Вклады юр и физ лиц'!H53/Население!I53</f>
        <v>60.484379739156807</v>
      </c>
      <c r="J53" s="84">
        <f>'Вклады юр и физ лиц'!I53/Население!J53</f>
        <v>68.292097264437686</v>
      </c>
      <c r="K53" s="84">
        <f>'Вклады юр и физ лиц'!J53/Население!K53</f>
        <v>85.668393782383419</v>
      </c>
      <c r="L53" s="84">
        <f>'Вклады юр и физ лиц'!K53/Население!L53</f>
        <v>93.794801223241592</v>
      </c>
      <c r="M53" s="84">
        <f>'Вклады юр и физ лиц'!L53/Население!M53</f>
        <v>96.860122699386508</v>
      </c>
      <c r="N53" s="84">
        <f>'Вклады юр и физ лиц'!M53/Население!N53</f>
        <v>121.46551724137932</v>
      </c>
      <c r="O53" s="84">
        <f>'Вклады юр и физ лиц'!N53/Население!O53</f>
        <v>134.59598145285935</v>
      </c>
      <c r="P53" s="84">
        <f>'Вклады юр и физ лиц'!O53/Население!P53</f>
        <v>152.81772939346811</v>
      </c>
      <c r="Q53" s="84">
        <f>'Вклады юр и физ лиц'!P53/Население!Q53</f>
        <v>170.38869809553543</v>
      </c>
      <c r="R53" s="84">
        <f>'Вклады юр и физ лиц'!Q53/Население!R53</f>
        <v>188.5631098520617</v>
      </c>
    </row>
    <row r="54" spans="1:18" x14ac:dyDescent="0.25">
      <c r="A54" s="85">
        <v>53</v>
      </c>
      <c r="B54" s="84" t="s">
        <v>53</v>
      </c>
      <c r="C54" s="84">
        <f>'Вклады юр и физ лиц'!B54/Население!C54</f>
        <v>6.8426660296225519</v>
      </c>
      <c r="D54" s="84">
        <f>'Вклады юр и физ лиц'!C54/Население!D54</f>
        <v>9.5406922357343316</v>
      </c>
      <c r="E54" s="84">
        <f>'Вклады юр и физ лиц'!D54/Население!E54</f>
        <v>12.810818438381938</v>
      </c>
      <c r="F54" s="84">
        <f>'Вклады юр и физ лиц'!E54/Население!F54</f>
        <v>18.85375176970269</v>
      </c>
      <c r="G54" s="84">
        <f>'Вклады юр и физ лиц'!F54/Население!G54</f>
        <v>21.641477272727276</v>
      </c>
      <c r="H54" s="84">
        <f>'Вклады юр и физ лиц'!G54/Население!H54</f>
        <v>27.477608267716537</v>
      </c>
      <c r="I54" s="84">
        <f>'Вклады юр и физ лиц'!H54/Население!I54</f>
        <v>35.734683794466406</v>
      </c>
      <c r="J54" s="84">
        <f>'Вклады юр и физ лиц'!I54/Население!J54</f>
        <v>43.472222222222221</v>
      </c>
      <c r="K54" s="84">
        <f>'Вклады юр и физ лиц'!J54/Население!K54</f>
        <v>53.602787456445995</v>
      </c>
      <c r="L54" s="84">
        <f>'Вклады юр и физ лиц'!K54/Население!L54</f>
        <v>62.552723638180908</v>
      </c>
      <c r="M54" s="84">
        <f>'Вклады юр и физ лиц'!L54/Население!M54</f>
        <v>62.790977443609023</v>
      </c>
      <c r="N54" s="84">
        <f>'Вклады юр и физ лиц'!M54/Население!N54</f>
        <v>72.769849246231161</v>
      </c>
      <c r="O54" s="84">
        <f>'Вклады юр и физ лиц'!N54/Население!O54</f>
        <v>78.704752275025271</v>
      </c>
      <c r="P54" s="84">
        <f>'Вклады юр и физ лиц'!O54/Население!P54</f>
        <v>87.386143657666835</v>
      </c>
      <c r="Q54" s="84">
        <f>'Вклады юр и физ лиц'!P54/Население!Q54</f>
        <v>97.687276443536021</v>
      </c>
      <c r="R54" s="84">
        <f>'Вклады юр и физ лиц'!Q54/Население!R54</f>
        <v>106.77509006690684</v>
      </c>
    </row>
    <row r="55" spans="1:18" x14ac:dyDescent="0.25">
      <c r="A55" s="85">
        <v>54</v>
      </c>
      <c r="B55" s="84" t="s">
        <v>54</v>
      </c>
      <c r="C55" s="84">
        <f>'Вклады юр и физ лиц'!B55/Население!C55</f>
        <v>6.0938028169014089</v>
      </c>
      <c r="D55" s="84">
        <f>'Вклады юр и физ лиц'!C55/Население!D55</f>
        <v>8.393110795454545</v>
      </c>
      <c r="E55" s="84">
        <f>'Вклады юр и физ лиц'!D55/Население!E55</f>
        <v>12.102865329512893</v>
      </c>
      <c r="F55" s="84">
        <f>'Вклады юр и физ лиц'!E55/Население!F55</f>
        <v>15.755115273775216</v>
      </c>
      <c r="G55" s="84">
        <f>'Вклады юр и физ лиц'!F55/Население!G55</f>
        <v>18.735362318840579</v>
      </c>
      <c r="H55" s="84">
        <f>'Вклады юр и физ лиц'!G55/Население!H55</f>
        <v>23.703395953757227</v>
      </c>
      <c r="I55" s="84">
        <f>'Вклады юр и физ лиц'!H55/Население!I55</f>
        <v>33.053013798111834</v>
      </c>
      <c r="J55" s="84">
        <f>'Вклады юр и физ лиц'!I55/Население!J55</f>
        <v>40.4163623082542</v>
      </c>
      <c r="K55" s="84">
        <f>'Вклады юр и физ лиц'!J55/Население!K55</f>
        <v>49.398971344599559</v>
      </c>
      <c r="L55" s="84">
        <f>'Вклады юр и физ лиц'!K55/Население!L55</f>
        <v>60.195427728613566</v>
      </c>
      <c r="M55" s="84">
        <f>'Вклады юр и физ лиц'!L55/Население!M55</f>
        <v>59.905856189770198</v>
      </c>
      <c r="N55" s="84">
        <f>'Вклады юр и физ лиц'!M55/Население!N55</f>
        <v>72.759314456035767</v>
      </c>
      <c r="O55" s="84">
        <f>'Вклады юр и физ лиц'!N55/Население!O55</f>
        <v>83.018768768768766</v>
      </c>
      <c r="P55" s="84">
        <f>'Вклады юр и физ лиц'!O55/Население!P55</f>
        <v>95.194992412746586</v>
      </c>
      <c r="Q55" s="84">
        <f>'Вклады юр и физ лиц'!P55/Население!Q55</f>
        <v>106.90045941807044</v>
      </c>
      <c r="R55" s="84">
        <f>'Вклады юр и физ лиц'!Q55/Население!R55</f>
        <v>116.96281951975213</v>
      </c>
    </row>
    <row r="56" spans="1:18" x14ac:dyDescent="0.25">
      <c r="A56" s="85">
        <v>55</v>
      </c>
      <c r="B56" s="84" t="s">
        <v>55</v>
      </c>
      <c r="C56" s="84">
        <f>'Вклады юр и физ лиц'!B56/Население!C56</f>
        <v>12.70895846249225</v>
      </c>
      <c r="D56" s="84">
        <f>'Вклады юр и физ лиц'!C56/Население!D56</f>
        <v>20.196738789589212</v>
      </c>
      <c r="E56" s="84">
        <f>'Вклады юр и физ лиц'!D56/Население!E56</f>
        <v>28.292762743864063</v>
      </c>
      <c r="F56" s="84">
        <f>'Вклады юр и физ лиц'!E56/Население!F56</f>
        <v>45.163157894736848</v>
      </c>
      <c r="G56" s="84">
        <f>'Вклады юр и физ лиц'!F56/Население!G56</f>
        <v>43.758152002522863</v>
      </c>
      <c r="H56" s="84">
        <f>'Вклады юр и физ лиц'!G56/Население!H56</f>
        <v>53.293623639191289</v>
      </c>
      <c r="I56" s="84">
        <f>'Вклады юр и физ лиц'!H56/Население!I56</f>
        <v>68.373988799004351</v>
      </c>
      <c r="J56" s="84">
        <f>'Вклады юр и физ лиц'!I56/Население!J56</f>
        <v>86.048241518829755</v>
      </c>
      <c r="K56" s="84">
        <f>'Вклады юр и физ лиц'!J56/Население!K56</f>
        <v>98.295857988165679</v>
      </c>
      <c r="L56" s="84">
        <f>'Вклады юр и физ лиц'!K56/Население!L56</f>
        <v>115.66697790227202</v>
      </c>
      <c r="M56" s="84">
        <f>'Вклады юр и физ лиц'!L56/Население!M56</f>
        <v>125.06207111665627</v>
      </c>
      <c r="N56" s="84">
        <f>'Вклады юр и физ лиц'!M56/Население!N56</f>
        <v>141.08179831408054</v>
      </c>
      <c r="O56" s="84">
        <f>'Вклады юр и физ лиц'!N56/Население!O56</f>
        <v>154.0632633886627</v>
      </c>
      <c r="P56" s="84">
        <f>'Вклады юр и физ лиц'!O56/Население!P56</f>
        <v>160.68928683631793</v>
      </c>
      <c r="Q56" s="84">
        <f>'Вклады юр и физ лиц'!P56/Население!Q56</f>
        <v>166.96602705253224</v>
      </c>
      <c r="R56" s="84">
        <f>'Вклады юр и физ лиц'!Q56/Население!R56</f>
        <v>175.8411540900444</v>
      </c>
    </row>
    <row r="57" spans="1:18" x14ac:dyDescent="0.25">
      <c r="A57" s="85">
        <v>56</v>
      </c>
      <c r="B57" s="84" t="s">
        <v>56</v>
      </c>
      <c r="C57" s="84">
        <f>'Вклады юр и физ лиц'!B57/Население!C57</f>
        <v>7.6043998456194517</v>
      </c>
      <c r="D57" s="84">
        <f>'Вклады юр и физ лиц'!C57/Население!D57</f>
        <v>10.834432515337424</v>
      </c>
      <c r="E57" s="84">
        <f>'Вклады юр и физ лиц'!D57/Население!E57</f>
        <v>15.550250481695569</v>
      </c>
      <c r="F57" s="84">
        <f>'Вклады юр и физ лиц'!E57/Население!F57</f>
        <v>21.631811145510834</v>
      </c>
      <c r="G57" s="84">
        <f>'Вклады юр и физ лиц'!F57/Население!G57</f>
        <v>21.698445394481151</v>
      </c>
      <c r="H57" s="84">
        <f>'Вклады юр и физ лиц'!G57/Население!H57</f>
        <v>28.435688765383087</v>
      </c>
      <c r="I57" s="84">
        <f>'Вклады юр и физ лиц'!H57/Население!I57</f>
        <v>38.785970506177762</v>
      </c>
      <c r="J57" s="84">
        <f>'Вклады юр и физ лиц'!I57/Население!J57</f>
        <v>46.302836596084695</v>
      </c>
      <c r="K57" s="84">
        <f>'Вклады юр и физ лиц'!J57/Население!K57</f>
        <v>59.632358830596715</v>
      </c>
      <c r="L57" s="84">
        <f>'Вклады юр и физ лиц'!K57/Население!L57</f>
        <v>69.607300441235466</v>
      </c>
      <c r="M57" s="84">
        <f>'Вклады юр и физ лиц'!L57/Население!M57</f>
        <v>72.399517684887456</v>
      </c>
      <c r="N57" s="84">
        <f>'Вклады юр и физ лиц'!M57/Население!N57</f>
        <v>84.631706333198863</v>
      </c>
      <c r="O57" s="84">
        <f>'Вклады юр и физ лиц'!N57/Население!O57</f>
        <v>88.008120178643935</v>
      </c>
      <c r="P57" s="84">
        <f>'Вклады юр и физ лиц'!O57/Население!P57</f>
        <v>93.461286358049975</v>
      </c>
      <c r="Q57" s="84">
        <f>'Вклады юр и физ лиц'!P57/Население!Q57</f>
        <v>106.90875309661436</v>
      </c>
      <c r="R57" s="84">
        <f>'Вклады юр и физ лиц'!Q57/Население!R57</f>
        <v>117.40041753653445</v>
      </c>
    </row>
    <row r="58" spans="1:18" x14ac:dyDescent="0.25">
      <c r="A58" s="85">
        <v>57</v>
      </c>
      <c r="B58" s="84" t="s">
        <v>57</v>
      </c>
      <c r="C58" s="84">
        <f>'Вклады юр и физ лиц'!B58/Население!C58</f>
        <v>6.1373134328358212</v>
      </c>
      <c r="D58" s="84">
        <f>'Вклады юр и физ лиц'!C58/Население!D58</f>
        <v>7.9579341317365264</v>
      </c>
      <c r="E58" s="84">
        <f>'Вклады юр и физ лиц'!D58/Население!E58</f>
        <v>11.215506807866868</v>
      </c>
      <c r="F58" s="84">
        <f>'Вклады юр и физ лиц'!E58/Население!F58</f>
        <v>15.380411585365852</v>
      </c>
      <c r="G58" s="84">
        <f>'Вклады юр и физ лиц'!F58/Население!G58</f>
        <v>17.724367816091952</v>
      </c>
      <c r="H58" s="84">
        <f>'Вклады юр и физ лиц'!G58/Население!H58</f>
        <v>25.198217054263566</v>
      </c>
      <c r="I58" s="84">
        <f>'Вклады юр и физ лиц'!H58/Население!I58</f>
        <v>39.180967238689547</v>
      </c>
      <c r="J58" s="84">
        <f>'Вклады юр и физ лиц'!I58/Население!J58</f>
        <v>47.468602825745684</v>
      </c>
      <c r="K58" s="84">
        <f>'Вклады юр и физ лиц'!J58/Население!K58</f>
        <v>51.49921135646688</v>
      </c>
      <c r="L58" s="84">
        <f>'Вклады юр и физ лиц'!K58/Население!L58</f>
        <v>62.636291600633918</v>
      </c>
      <c r="M58" s="84">
        <f>'Вклады юр и физ лиц'!L58/Население!M58</f>
        <v>65.945151033386324</v>
      </c>
      <c r="N58" s="84">
        <f>'Вклады юр и физ лиц'!M58/Население!N58</f>
        <v>78.074221867517963</v>
      </c>
      <c r="O58" s="84">
        <f>'Вклады юр и физ лиц'!N58/Население!O58</f>
        <v>85.668003207698476</v>
      </c>
      <c r="P58" s="84">
        <f>'Вклады юр и физ лиц'!O58/Население!P58</f>
        <v>101.67447495961228</v>
      </c>
      <c r="Q58" s="84">
        <f>'Вклады юр и физ лиц'!P58/Население!Q58</f>
        <v>109.18455284552846</v>
      </c>
      <c r="R58" s="84">
        <f>'Вклады юр и физ лиц'!Q58/Население!R58</f>
        <v>116.82101806239737</v>
      </c>
    </row>
    <row r="59" spans="1:18" x14ac:dyDescent="0.25">
      <c r="A59" s="85">
        <v>58</v>
      </c>
      <c r="B59" s="84" t="s">
        <v>58</v>
      </c>
      <c r="C59" s="84">
        <f>'Вклады юр и физ лиц'!B59/Население!C59</f>
        <v>4.1075883575883578</v>
      </c>
      <c r="D59" s="84">
        <f>'Вклады юр и физ лиц'!C59/Население!D59</f>
        <v>5.4502040816326529</v>
      </c>
      <c r="E59" s="84">
        <f>'Вклады юр и физ лиц'!D59/Население!E59</f>
        <v>8.1047471620227043</v>
      </c>
      <c r="F59" s="84">
        <f>'Вклады юр и физ лиц'!E59/Население!F59</f>
        <v>10.927604166666667</v>
      </c>
      <c r="G59" s="84">
        <f>'Вклады юр и физ лиц'!F59/Население!G59</f>
        <v>11.951521511017837</v>
      </c>
      <c r="H59" s="84">
        <f>'Вклады юр и физ лиц'!G59/Население!H59</f>
        <v>16.38866886688669</v>
      </c>
      <c r="I59" s="84">
        <f>'Вклады юр и физ лиц'!H59/Население!I59</f>
        <v>22.448660714285715</v>
      </c>
      <c r="J59" s="84">
        <f>'Вклады юр и физ лиц'!I59/Население!J59</f>
        <v>27.089164785553049</v>
      </c>
      <c r="K59" s="84">
        <f>'Вклады юр и физ лиц'!J59/Население!K59</f>
        <v>35.492588369441279</v>
      </c>
      <c r="L59" s="84">
        <f>'Вклады юр и физ лиц'!K59/Население!L59</f>
        <v>41.96206896551724</v>
      </c>
      <c r="M59" s="84">
        <f>'Вклады юр и физ лиц'!L59/Население!M59</f>
        <v>42.764501160092806</v>
      </c>
      <c r="N59" s="84">
        <f>'Вклады юр и физ лиц'!M59/Население!N59</f>
        <v>52.58313817330211</v>
      </c>
      <c r="O59" s="84">
        <f>'Вклады юр и физ лиц'!N59/Население!O59</f>
        <v>57.223404255319146</v>
      </c>
      <c r="P59" s="84">
        <f>'Вклады юр и физ лиц'!O59/Население!P59</f>
        <v>66.180838323353299</v>
      </c>
      <c r="Q59" s="84">
        <f>'Вклады юр и физ лиц'!P59/Население!Q59</f>
        <v>71.269649334945584</v>
      </c>
      <c r="R59" s="84">
        <f>'Вклады юр и физ лиц'!Q59/Население!R59</f>
        <v>77.658119658119659</v>
      </c>
    </row>
    <row r="60" spans="1:18" x14ac:dyDescent="0.25">
      <c r="A60" s="85">
        <v>59</v>
      </c>
      <c r="B60" s="84" t="s">
        <v>59</v>
      </c>
      <c r="C60" s="84">
        <f>'Вклады юр и физ лиц'!B60/Население!C60</f>
        <v>11.976767676767677</v>
      </c>
      <c r="D60" s="84">
        <f>'Вклады юр и физ лиц'!C60/Население!D60</f>
        <v>16.783242630385487</v>
      </c>
      <c r="E60" s="84">
        <f>'Вклады юр и физ лиц'!D60/Население!E60</f>
        <v>26.388204545454546</v>
      </c>
      <c r="F60" s="84">
        <f>'Вклады юр и физ лиц'!E60/Население!F60</f>
        <v>39.173703366696998</v>
      </c>
      <c r="G60" s="84">
        <f>'Вклады юр и физ лиц'!F60/Население!G60</f>
        <v>38.381001137656426</v>
      </c>
      <c r="H60" s="84">
        <f>'Вклады юр и физ лиц'!G60/Население!H60</f>
        <v>47.626157784500819</v>
      </c>
      <c r="I60" s="84">
        <f>'Вклады юр и физ лиц'!H60/Население!I60</f>
        <v>66.756907360111441</v>
      </c>
      <c r="J60" s="84">
        <f>'Вклады юр и физ лиц'!I60/Население!J60</f>
        <v>80.679564411492123</v>
      </c>
      <c r="K60" s="84">
        <f>'Вклады юр и физ лиц'!J60/Население!K60</f>
        <v>94.034714186530891</v>
      </c>
      <c r="L60" s="84">
        <f>'Вклады юр и физ лиц'!K60/Население!L60</f>
        <v>111.10746475618211</v>
      </c>
      <c r="M60" s="84">
        <f>'Вклады юр и физ лиц'!L60/Население!M60</f>
        <v>112.93695150115474</v>
      </c>
      <c r="N60" s="84">
        <f>'Вклады юр и физ лиц'!M60/Население!N60</f>
        <v>129.35296835296836</v>
      </c>
      <c r="O60" s="84">
        <f>'Вклады юр и физ лиц'!N60/Население!O60</f>
        <v>145.95491329479768</v>
      </c>
      <c r="P60" s="84">
        <f>'Вклады юр и физ лиц'!O60/Население!P60</f>
        <v>163.48215940685822</v>
      </c>
      <c r="Q60" s="84">
        <f>'Вклады юр и физ лиц'!P60/Население!Q60</f>
        <v>178.30062630480168</v>
      </c>
      <c r="R60" s="84">
        <f>'Вклады юр и физ лиц'!Q60/Население!R60</f>
        <v>193.8988344988345</v>
      </c>
    </row>
    <row r="61" spans="1:18" x14ac:dyDescent="0.25">
      <c r="A61" s="85">
        <v>60</v>
      </c>
      <c r="B61" s="84" t="s">
        <v>60</v>
      </c>
      <c r="C61" s="84">
        <f>'Вклады юр и физ лиц'!B61/Население!C61</f>
        <v>22.218123861566486</v>
      </c>
      <c r="D61" s="84">
        <f>'Вклады юр и физ лиц'!C61/Население!D61</f>
        <v>30.506921456515197</v>
      </c>
      <c r="E61" s="84">
        <f>'Вклады юр и физ лиц'!D61/Население!E61</f>
        <v>41.015186846038858</v>
      </c>
      <c r="F61" s="84">
        <f>'Вклады юр и физ лиц'!E61/Население!F61</f>
        <v>52.816627148784825</v>
      </c>
      <c r="G61" s="84">
        <f>'Вклады юр и физ лиц'!F61/Население!G61</f>
        <v>68.651515151515156</v>
      </c>
      <c r="H61" s="84">
        <f>'Вклады юр и физ лиц'!G61/Население!H61</f>
        <v>81.929603524229066</v>
      </c>
      <c r="I61" s="84">
        <f>'Вклады юр и физ лиц'!H61/Население!I61</f>
        <v>103.77398843930636</v>
      </c>
      <c r="J61" s="84">
        <f>'Вклады юр и физ лиц'!I61/Население!J61</f>
        <v>125.64027342637425</v>
      </c>
      <c r="K61" s="84">
        <f>'Вклады юр и физ лиц'!J61/Население!K61</f>
        <v>151.58685843203611</v>
      </c>
      <c r="L61" s="84">
        <f>'Вклады юр и физ лиц'!K61/Население!L61</f>
        <v>171.21195196872381</v>
      </c>
      <c r="M61" s="84">
        <f>'Вклады юр и физ лиц'!L61/Население!M61</f>
        <v>170.67496542185339</v>
      </c>
      <c r="N61" s="84">
        <f>'Вклады юр и физ лиц'!M61/Население!N61</f>
        <v>175.07786885245901</v>
      </c>
      <c r="O61" s="84">
        <f>'Вклады юр и физ лиц'!N61/Население!O61</f>
        <v>202.4593716143012</v>
      </c>
      <c r="P61" s="84">
        <f>'Вклады юр и физ лиц'!O61/Население!P61</f>
        <v>237.11254364759603</v>
      </c>
      <c r="Q61" s="84">
        <f>'Вклады юр и физ лиц'!P61/Население!Q61</f>
        <v>269.96539792387546</v>
      </c>
      <c r="R61" s="84">
        <f>'Вклады юр и физ лиц'!Q61/Население!R61</f>
        <v>312.05082053996824</v>
      </c>
    </row>
    <row r="62" spans="1:18" x14ac:dyDescent="0.25">
      <c r="A62" s="85">
        <v>61</v>
      </c>
      <c r="B62" s="84" t="s">
        <v>61</v>
      </c>
      <c r="C62" s="84">
        <f>'Вклады юр и физ лиц'!B62/Население!C62</f>
        <v>8.4239124253625253</v>
      </c>
      <c r="D62" s="84">
        <f>'Вклады юр и физ лиц'!C62/Население!D62</f>
        <v>11.839252336448599</v>
      </c>
      <c r="E62" s="84">
        <f>'Вклады юр и физ лиц'!D62/Население!E62</f>
        <v>17.374779641740119</v>
      </c>
      <c r="F62" s="84">
        <f>'Вклады юр и физ лиц'!E62/Население!F62</f>
        <v>24.151523782398176</v>
      </c>
      <c r="G62" s="84">
        <f>'Вклады юр и физ лиц'!F62/Население!G62</f>
        <v>27.808352337514254</v>
      </c>
      <c r="H62" s="84">
        <f>'Вклады юр и физ лиц'!G62/Население!H62</f>
        <v>33.459551208285383</v>
      </c>
      <c r="I62" s="84">
        <f>'Вклады юр и физ лиц'!H62/Население!I62</f>
        <v>44.375287356321842</v>
      </c>
      <c r="J62" s="84">
        <f>'Вклады юр и физ лиц'!I62/Население!J62</f>
        <v>51.971592539454804</v>
      </c>
      <c r="K62" s="84">
        <f>'Вклады юр и физ лиц'!J62/Население!K62</f>
        <v>62.525501432664754</v>
      </c>
      <c r="L62" s="84">
        <f>'Вклады юр и физ лиц'!K62/Население!L62</f>
        <v>73.875929102344202</v>
      </c>
      <c r="M62" s="84">
        <f>'Вклады юр и физ лиц'!L62/Население!M62</f>
        <v>75.731219651528136</v>
      </c>
      <c r="N62" s="84">
        <f>'Вклады юр и физ лиц'!M62/Население!N62</f>
        <v>92.277555682467167</v>
      </c>
      <c r="O62" s="84">
        <f>'Вклады юр и физ лиц'!N62/Население!O62</f>
        <v>102.86830804466075</v>
      </c>
      <c r="P62" s="84">
        <f>'Вклады юр и физ лиц'!O62/Население!P62</f>
        <v>116.97698504027618</v>
      </c>
      <c r="Q62" s="84">
        <f>'Вклады юр и физ лиц'!P62/Население!Q62</f>
        <v>135.96682054241199</v>
      </c>
      <c r="R62" s="84">
        <f>'Вклады юр и физ лиц'!Q62/Население!R62</f>
        <v>147.06273598605867</v>
      </c>
    </row>
    <row r="63" spans="1:18" x14ac:dyDescent="0.25">
      <c r="A63" s="85">
        <v>62</v>
      </c>
      <c r="B63" s="84" t="s">
        <v>62</v>
      </c>
      <c r="C63" s="84">
        <f>'Вклады юр и физ лиц'!B63/Население!C63</f>
        <v>2.9569306930693067</v>
      </c>
      <c r="D63" s="84">
        <f>'Вклады юр и физ лиц'!C63/Население!D63</f>
        <v>4.0789215686274511</v>
      </c>
      <c r="E63" s="84">
        <f>'Вклады юр и физ лиц'!D63/Население!E63</f>
        <v>6.4063414634146341</v>
      </c>
      <c r="F63" s="84">
        <f>'Вклады юр и физ лиц'!E63/Население!F63</f>
        <v>8.8599033816425123</v>
      </c>
      <c r="G63" s="84">
        <f>'Вклады юр и физ лиц'!F63/Население!G63</f>
        <v>9.0416267942583737</v>
      </c>
      <c r="H63" s="84">
        <f>'Вклады юр и физ лиц'!G63/Население!H63</f>
        <v>13.663768115942029</v>
      </c>
      <c r="I63" s="84">
        <f>'Вклады юр и физ лиц'!H63/Население!I63</f>
        <v>19.727272727272727</v>
      </c>
      <c r="J63" s="84">
        <f>'Вклады юр и физ лиц'!I63/Население!J63</f>
        <v>22.014285714285716</v>
      </c>
      <c r="K63" s="84">
        <f>'Вклады юр и физ лиц'!J63/Население!K63</f>
        <v>28.957345971563981</v>
      </c>
      <c r="L63" s="84">
        <f>'Вклады юр и физ лиц'!K63/Население!L63</f>
        <v>30.490654205607477</v>
      </c>
      <c r="M63" s="84">
        <f>'Вклады юр и физ лиц'!L63/Население!M63</f>
        <v>32.893023255813951</v>
      </c>
      <c r="N63" s="84">
        <f>'Вклады юр и физ лиц'!M63/Население!N63</f>
        <v>35.373271889400918</v>
      </c>
      <c r="O63" s="84">
        <f>'Вклады юр и физ лиц'!N63/Население!O63</f>
        <v>36.146788990825691</v>
      </c>
      <c r="P63" s="84">
        <f>'Вклады юр и физ лиц'!O63/Население!P63</f>
        <v>41.767123287671232</v>
      </c>
      <c r="Q63" s="84">
        <f>'Вклады юр и физ лиц'!P63/Население!Q63</f>
        <v>44.790909090909089</v>
      </c>
      <c r="R63" s="84">
        <f>'Вклады юр и физ лиц'!Q63/Население!R63</f>
        <v>49.244343891402714</v>
      </c>
    </row>
    <row r="64" spans="1:18" x14ac:dyDescent="0.25">
      <c r="A64" s="85">
        <v>63</v>
      </c>
      <c r="B64" s="84" t="s">
        <v>63</v>
      </c>
      <c r="C64" s="84">
        <f>'Вклады юр и физ лиц'!B64/Население!C64</f>
        <v>4.9634953464322642</v>
      </c>
      <c r="D64" s="84">
        <f>'Вклады юр и физ лиц'!C64/Население!D64</f>
        <v>6.2112033195020748</v>
      </c>
      <c r="E64" s="84">
        <f>'Вклады юр и физ лиц'!D64/Население!E64</f>
        <v>8.421145833333334</v>
      </c>
      <c r="F64" s="84">
        <f>'Вклады юр и физ лиц'!E64/Население!F64</f>
        <v>12.289479166666666</v>
      </c>
      <c r="G64" s="84">
        <f>'Вклады юр и физ лиц'!F64/Население!G64</f>
        <v>12.755775234131113</v>
      </c>
      <c r="H64" s="84">
        <f>'Вклады юр и физ лиц'!G64/Население!H64</f>
        <v>17.819650205761317</v>
      </c>
      <c r="I64" s="84">
        <f>'Вклады юр и физ лиц'!H64/Население!I64</f>
        <v>28.444902162718847</v>
      </c>
      <c r="J64" s="84">
        <f>'Вклады юр и физ лиц'!I64/Население!J64</f>
        <v>30.916666666666668</v>
      </c>
      <c r="K64" s="84">
        <f>'Вклады юр и физ лиц'!J64/Население!K64</f>
        <v>34.246406570841891</v>
      </c>
      <c r="L64" s="84">
        <f>'Вклады юр и физ лиц'!K64/Население!L64</f>
        <v>42.347648261758692</v>
      </c>
      <c r="M64" s="84">
        <f>'Вклады юр и физ лиц'!L64/Население!M64</f>
        <v>39.214867617107942</v>
      </c>
      <c r="N64" s="84">
        <f>'Вклады юр и физ лиц'!M64/Население!N64</f>
        <v>44.330284552845526</v>
      </c>
      <c r="O64" s="84">
        <f>'Вклады юр и физ лиц'!N64/Население!O64</f>
        <v>46.953299492385788</v>
      </c>
      <c r="P64" s="84">
        <f>'Вклады юр и физ лиц'!O64/Население!P64</f>
        <v>54.765005086469991</v>
      </c>
      <c r="Q64" s="84">
        <f>'Вклады юр и физ лиц'!P64/Население!Q64</f>
        <v>57.369168356997974</v>
      </c>
      <c r="R64" s="84">
        <f>'Вклады юр и физ лиц'!Q64/Население!R64</f>
        <v>65.26903553299492</v>
      </c>
    </row>
    <row r="65" spans="1:18" x14ac:dyDescent="0.25">
      <c r="A65" s="85">
        <v>64</v>
      </c>
      <c r="B65" s="84" t="s">
        <v>64</v>
      </c>
      <c r="C65" s="84">
        <f>'Вклады юр и физ лиц'!B65/Население!C65</f>
        <v>2.0231023102310233</v>
      </c>
      <c r="D65" s="84">
        <f>'Вклады юр и физ лиц'!C65/Население!D65</f>
        <v>2.5773462783171519</v>
      </c>
      <c r="E65" s="84">
        <f>'Вклады юр и физ лиц'!D65/Население!E65</f>
        <v>3.8184466019417478</v>
      </c>
      <c r="F65" s="84">
        <f>'Вклады юр и физ лиц'!E65/Население!F65</f>
        <v>4.6192307692307697</v>
      </c>
      <c r="G65" s="84">
        <f>'Вклады юр и физ лиц'!F65/Население!G65</f>
        <v>5.5894904458598722</v>
      </c>
      <c r="H65" s="84">
        <f>'Вклады юр и физ лиц'!G65/Население!H65</f>
        <v>10.09448051948052</v>
      </c>
      <c r="I65" s="84">
        <f>'Вклады юр и физ лиц'!H65/Население!I65</f>
        <v>11.207119741100323</v>
      </c>
      <c r="J65" s="84">
        <f>'Вклады юр и физ лиц'!I65/Население!J65</f>
        <v>13.909677419354839</v>
      </c>
      <c r="K65" s="84">
        <f>'Вклады юр и физ лиц'!J65/Население!K65</f>
        <v>16.166666666666668</v>
      </c>
      <c r="L65" s="84">
        <f>'Вклады юр и физ лиц'!K65/Население!L65</f>
        <v>21.773885350318473</v>
      </c>
      <c r="M65" s="84">
        <f>'Вклады юр и физ лиц'!L65/Население!M65</f>
        <v>18.591772151898734</v>
      </c>
      <c r="N65" s="84">
        <f>'Вклады юр и физ лиц'!M65/Население!N65</f>
        <v>20.99685534591195</v>
      </c>
      <c r="O65" s="84">
        <f>'Вклады юр и физ лиц'!N65/Население!O65</f>
        <v>24.506211180124225</v>
      </c>
      <c r="P65" s="84">
        <f>'Вклады юр и физ лиц'!O65/Население!P65</f>
        <v>27.243827160493826</v>
      </c>
      <c r="Q65" s="84">
        <f>'Вклады юр и физ лиц'!P65/Население!Q65</f>
        <v>30.685015290519878</v>
      </c>
      <c r="R65" s="84">
        <f>'Вклады юр и физ лиц'!Q65/Население!R65</f>
        <v>32.157575757575756</v>
      </c>
    </row>
    <row r="66" spans="1:18" x14ac:dyDescent="0.25">
      <c r="A66" s="85">
        <v>65</v>
      </c>
      <c r="B66" s="84" t="s">
        <v>65</v>
      </c>
      <c r="C66" s="84">
        <f>'Вклады юр и физ лиц'!B66/Население!C66</f>
        <v>4.8595505617977528</v>
      </c>
      <c r="D66" s="84">
        <f>'Вклады юр и физ лиц'!C66/Население!D66</f>
        <v>6.4200743494423795</v>
      </c>
      <c r="E66" s="84">
        <f>'Вклады юр и физ лиц'!D66/Население!E66</f>
        <v>9.524394785847301</v>
      </c>
      <c r="F66" s="84">
        <f>'Вклады юр и физ лиц'!E66/Население!F66</f>
        <v>11.765735567970205</v>
      </c>
      <c r="G66" s="84">
        <f>'Вклады юр и физ лиц'!F66/Население!G66</f>
        <v>13.638289962825278</v>
      </c>
      <c r="H66" s="84">
        <f>'Вклады юр и физ лиц'!G66/Население!H66</f>
        <v>18.429323308270675</v>
      </c>
      <c r="I66" s="84">
        <f>'Вклады юр и физ лиц'!H66/Население!I66</f>
        <v>25.161654135338345</v>
      </c>
      <c r="J66" s="84">
        <f>'Вклады юр и физ лиц'!I66/Население!J66</f>
        <v>31.337711069418386</v>
      </c>
      <c r="K66" s="84">
        <f>'Вклады юр и физ лиц'!J66/Население!K66</f>
        <v>37.282771535580522</v>
      </c>
      <c r="L66" s="84">
        <f>'Вклады юр и физ лиц'!K66/Население!L66</f>
        <v>46.23320895522388</v>
      </c>
      <c r="M66" s="84">
        <f>'Вклады юр и физ лиц'!L66/Население!M66</f>
        <v>40.675977653631286</v>
      </c>
      <c r="N66" s="84">
        <f>'Вклады юр и физ лиц'!M66/Население!N66</f>
        <v>49.186219739292362</v>
      </c>
      <c r="O66" s="84">
        <f>'Вклады юр и физ лиц'!N66/Население!O66</f>
        <v>57.498141263940518</v>
      </c>
      <c r="P66" s="84">
        <f>'Вклады юр и физ лиц'!O66/Население!P66</f>
        <v>63.513966480446925</v>
      </c>
      <c r="Q66" s="84">
        <f>'Вклады юр и физ лиц'!P66/Население!Q66</f>
        <v>73.18164794007491</v>
      </c>
      <c r="R66" s="84">
        <f>'Вклады юр и физ лиц'!Q66/Население!R66</f>
        <v>81.201127819548873</v>
      </c>
    </row>
    <row r="67" spans="1:18" x14ac:dyDescent="0.25">
      <c r="A67" s="85">
        <v>66</v>
      </c>
      <c r="B67" s="84" t="s">
        <v>66</v>
      </c>
      <c r="C67" s="84">
        <f>'Вклады юр и физ лиц'!B67/Население!C67</f>
        <v>5.2797842588893324</v>
      </c>
      <c r="D67" s="84">
        <f>'Вклады юр и физ лиц'!C67/Население!D67</f>
        <v>7.1349980338183245</v>
      </c>
      <c r="E67" s="84">
        <f>'Вклады юр и физ лиц'!D67/Население!E67</f>
        <v>10.207253269916766</v>
      </c>
      <c r="F67" s="84">
        <f>'Вклады юр и физ лиц'!E67/Население!F67</f>
        <v>13.998125996810208</v>
      </c>
      <c r="G67" s="84">
        <f>'Вклады юр и физ лиц'!F67/Население!G67</f>
        <v>15.896676011213456</v>
      </c>
      <c r="H67" s="84">
        <f>'Вклады юр и физ лиц'!G67/Население!H67</f>
        <v>21.841663218866366</v>
      </c>
      <c r="I67" s="84">
        <f>'Вклады юр и физ лиц'!H67/Население!I67</f>
        <v>32.287910261736599</v>
      </c>
      <c r="J67" s="84">
        <f>'Вклады юр и физ лиц'!I67/Население!J67</f>
        <v>37.858274280950397</v>
      </c>
      <c r="K67" s="84">
        <f>'Вклады юр и физ лиц'!J67/Население!K67</f>
        <v>42.817649519029693</v>
      </c>
      <c r="L67" s="84">
        <f>'Вклады юр и физ лиц'!K67/Население!L67</f>
        <v>51.087631027253671</v>
      </c>
      <c r="M67" s="84">
        <f>'Вклады юр и физ лиц'!L67/Население!M67</f>
        <v>49.61884728649558</v>
      </c>
      <c r="N67" s="84">
        <f>'Вклады юр и физ лиц'!M67/Население!N67</f>
        <v>61.358833474218088</v>
      </c>
      <c r="O67" s="84">
        <f>'Вклады юр и физ лиц'!N67/Население!O67</f>
        <v>72.407659574468084</v>
      </c>
      <c r="P67" s="84">
        <f>'Вклады юр и физ лиц'!O67/Население!P67</f>
        <v>83.209601371624515</v>
      </c>
      <c r="Q67" s="84">
        <f>'Вклады юр и физ лиц'!P67/Население!Q67</f>
        <v>90.873974967630559</v>
      </c>
      <c r="R67" s="84">
        <f>'Вклады юр и физ лиц'!Q67/Население!R67</f>
        <v>100.8301393728223</v>
      </c>
    </row>
    <row r="68" spans="1:18" x14ac:dyDescent="0.25">
      <c r="A68" s="85">
        <v>67</v>
      </c>
      <c r="B68" s="84" t="s">
        <v>73</v>
      </c>
      <c r="C68" s="84">
        <v>6324.7</v>
      </c>
      <c r="D68" s="84">
        <v>8.0200999999999993</v>
      </c>
      <c r="E68" s="84">
        <v>14.731199999999999</v>
      </c>
      <c r="F68" s="84">
        <v>15.826000000000001</v>
      </c>
      <c r="G68" s="84">
        <f>'Вклады юр и физ лиц'!F68/Население!G68</f>
        <v>13.067770814682184</v>
      </c>
      <c r="H68" s="84">
        <f>'Вклады юр и физ лиц'!G68/Население!H68</f>
        <v>18.016817359855335</v>
      </c>
      <c r="I68" s="84">
        <f>'Вклады юр и физ лиц'!H68/Население!I68</f>
        <v>24.406363636363636</v>
      </c>
      <c r="J68" s="84">
        <f>'Вклады юр и физ лиц'!I68/Население!J68</f>
        <v>30.261187214611873</v>
      </c>
      <c r="K68" s="84">
        <f>'Вклады юр и физ лиц'!J68/Население!K68</f>
        <v>36.931192660550458</v>
      </c>
      <c r="L68" s="84">
        <f>'Вклады юр и физ лиц'!K68/Население!L68</f>
        <v>45.043238270469182</v>
      </c>
      <c r="M68" s="84">
        <f>'Вклады юр и физ лиц'!L68/Население!M68</f>
        <v>43.392428439519854</v>
      </c>
      <c r="N68" s="84">
        <f>'Вклады юр и физ лиц'!M68/Население!N68</f>
        <v>53.358665430954588</v>
      </c>
      <c r="O68" s="84">
        <f>'Вклады юр и физ лиц'!N68/Население!O68</f>
        <v>56.928238583410995</v>
      </c>
      <c r="P68" s="84">
        <f>'Вклады юр и физ лиц'!O68/Население!P68</f>
        <v>66.791744840525325</v>
      </c>
      <c r="Q68" s="84">
        <f>'Вклады юр и физ лиц'!P68/Население!Q68</f>
        <v>74.306603773584911</v>
      </c>
      <c r="R68" s="84">
        <f>'Вклады юр и физ лиц'!Q68/Население!R68</f>
        <v>84.320987654320987</v>
      </c>
    </row>
    <row r="69" spans="1:18" x14ac:dyDescent="0.25">
      <c r="A69" s="85">
        <v>68</v>
      </c>
      <c r="B69" s="84" t="s">
        <v>67</v>
      </c>
      <c r="C69" s="84">
        <f>'Вклады юр и физ лиц'!B69/Население!C69</f>
        <v>9.8841756709654938</v>
      </c>
      <c r="D69" s="84">
        <f>'Вклады юр и физ лиц'!C69/Население!D69</f>
        <v>12.487130075705437</v>
      </c>
      <c r="E69" s="84">
        <f>'Вклады юр и физ лиц'!D69/Население!E69</f>
        <v>19.009122322045613</v>
      </c>
      <c r="F69" s="84">
        <f>'Вклады юр и физ лиц'!E69/Население!F69</f>
        <v>23.463667820069205</v>
      </c>
      <c r="G69" s="84">
        <f>'Вклады юр и физ лиц'!F69/Население!G69</f>
        <v>23.633529411764705</v>
      </c>
      <c r="H69" s="84">
        <f>'Вклады юр и физ лиц'!G69/Население!H69</f>
        <v>32.134393778720394</v>
      </c>
      <c r="I69" s="84">
        <f>'Вклады юр и физ лиц'!H69/Население!I69</f>
        <v>45.733262861169841</v>
      </c>
      <c r="J69" s="84">
        <f>'Вклады юр и физ лиц'!I69/Население!J69</f>
        <v>59.886898489638213</v>
      </c>
      <c r="K69" s="84">
        <f>'Вклады юр и физ лиц'!J69/Население!K69</f>
        <v>66.615141955835966</v>
      </c>
      <c r="L69" s="84">
        <f>'Вклады юр и физ лиц'!K69/Население!L69</f>
        <v>75.102483385799232</v>
      </c>
      <c r="M69" s="84">
        <f>'Вклады юр и физ лиц'!L69/Население!M69</f>
        <v>72.606420097697139</v>
      </c>
      <c r="N69" s="84">
        <f>'Вклады юр и физ лиц'!M69/Население!N69</f>
        <v>87.258086956521737</v>
      </c>
      <c r="O69" s="84">
        <f>'Вклады юр и физ лиц'!N69/Население!O69</f>
        <v>95.168636995827541</v>
      </c>
      <c r="P69" s="84">
        <f>'Вклады юр и физ лиц'!O69/Население!P69</f>
        <v>108.19067501739735</v>
      </c>
      <c r="Q69" s="84">
        <f>'Вклады юр и физ лиц'!P69/Население!Q69</f>
        <v>117.00209351011863</v>
      </c>
      <c r="R69" s="84">
        <f>'Вклады юр и физ лиц'!Q69/Население!R69</f>
        <v>132.11134453781511</v>
      </c>
    </row>
    <row r="70" spans="1:18" x14ac:dyDescent="0.25">
      <c r="A70" s="85">
        <v>69</v>
      </c>
      <c r="B70" s="84" t="s">
        <v>68</v>
      </c>
      <c r="C70" s="84">
        <f>'Вклады юр и физ лиц'!B70/Население!C70</f>
        <v>8.3061396468699851</v>
      </c>
      <c r="D70" s="84">
        <f>'Вклады юр и физ лиц'!C70/Население!D70</f>
        <v>12.373011476058567</v>
      </c>
      <c r="E70" s="84">
        <f>'Вклады юр и физ лиц'!D70/Население!E70</f>
        <v>16.369132856006363</v>
      </c>
      <c r="F70" s="84">
        <f>'Вклады юр и физ лиц'!E70/Население!F70</f>
        <v>21.018141945773525</v>
      </c>
      <c r="G70" s="84">
        <f>'Вклады юр и физ лиц'!F70/Население!G70</f>
        <v>22.11928143712575</v>
      </c>
      <c r="H70" s="84">
        <f>'Вклады юр и физ лиц'!G70/Население!H70</f>
        <v>28.765691927512357</v>
      </c>
      <c r="I70" s="84">
        <f>'Вклады юр и физ лиц'!H70/Население!I70</f>
        <v>40.2516501650165</v>
      </c>
      <c r="J70" s="84">
        <f>'Вклады юр и физ лиц'!I70/Население!J70</f>
        <v>52.98554913294798</v>
      </c>
      <c r="K70" s="84">
        <f>'Вклады юр и физ лиц'!J70/Население!K70</f>
        <v>63.858974358974358</v>
      </c>
      <c r="L70" s="84">
        <f>'Вклады юр и физ лиц'!K70/Население!L70</f>
        <v>77.612008281573495</v>
      </c>
      <c r="M70" s="84">
        <f>'Вклады юр и физ лиц'!L70/Население!M70</f>
        <v>75.975549108992951</v>
      </c>
      <c r="N70" s="84">
        <f>'Вклады юр и физ лиц'!M70/Население!N70</f>
        <v>89.925695309256952</v>
      </c>
      <c r="O70" s="84">
        <f>'Вклады юр и физ лиц'!N70/Население!O70</f>
        <v>110.55740432612313</v>
      </c>
      <c r="P70" s="84">
        <f>'Вклады юр и физ лиц'!O70/Население!P70</f>
        <v>127.53461217681401</v>
      </c>
      <c r="Q70" s="84">
        <f>'Вклады юр и физ лиц'!P70/Население!Q70</f>
        <v>133.62275198661649</v>
      </c>
      <c r="R70" s="84">
        <f>'Вклады юр и физ лиц'!Q70/Население!R70</f>
        <v>153.25768421052632</v>
      </c>
    </row>
    <row r="71" spans="1:18" x14ac:dyDescent="0.25">
      <c r="A71" s="85">
        <v>70</v>
      </c>
      <c r="B71" s="84" t="s">
        <v>69</v>
      </c>
      <c r="C71" s="84">
        <f>'Вклады юр и физ лиц'!B71/Население!C71</f>
        <v>8.9457947255880264</v>
      </c>
      <c r="D71" s="84">
        <f>'Вклады юр и физ лиц'!C71/Население!D71</f>
        <v>11.911623811201126</v>
      </c>
      <c r="E71" s="84">
        <f>'Вклады юр и физ лиц'!D71/Население!E71</f>
        <v>16.606263269639065</v>
      </c>
      <c r="F71" s="84">
        <f>'Вклады юр и физ лиц'!E71/Население!F71</f>
        <v>24.693269571377968</v>
      </c>
      <c r="G71" s="84">
        <f>'Вклады юр и физ лиц'!F71/Население!G71</f>
        <v>24.38536498936924</v>
      </c>
      <c r="H71" s="84">
        <f>'Вклады юр и физ лиц'!G71/Население!H71</f>
        <v>31.169358927924666</v>
      </c>
      <c r="I71" s="84">
        <f>'Вклады юр и физ лиц'!H71/Население!I71</f>
        <v>46.25627044711014</v>
      </c>
      <c r="J71" s="84">
        <f>'Вклады юр и физ лиц'!I71/Население!J71</f>
        <v>60.239970824215902</v>
      </c>
      <c r="K71" s="84">
        <f>'Вклады юр и физ лиц'!J71/Население!K71</f>
        <v>63.995610826627654</v>
      </c>
      <c r="L71" s="84">
        <f>'Вклады юр и физ лиц'!K71/Население!L71</f>
        <v>65.825321100917435</v>
      </c>
      <c r="M71" s="84">
        <f>'Вклады юр и физ лиц'!L71/Население!M71</f>
        <v>66.818984547461369</v>
      </c>
      <c r="N71" s="84">
        <f>'Вклады юр и физ лиц'!M71/Население!N71</f>
        <v>76.971945367294211</v>
      </c>
      <c r="O71" s="84">
        <f>'Вклады юр и физ лиц'!N71/Население!O71</f>
        <v>86.685714285714283</v>
      </c>
      <c r="P71" s="84">
        <f>'Вклады юр и физ лиц'!O71/Население!P71</f>
        <v>105.64996260284218</v>
      </c>
      <c r="Q71" s="84">
        <f>'Вклады юр и физ лиц'!P71/Население!Q71</f>
        <v>118.72009029345372</v>
      </c>
      <c r="R71" s="84">
        <f>'Вклады юр и физ лиц'!Q71/Население!R71</f>
        <v>122.98518799848082</v>
      </c>
    </row>
    <row r="72" spans="1:18" x14ac:dyDescent="0.25">
      <c r="A72" s="85">
        <v>71</v>
      </c>
      <c r="B72" s="84" t="s">
        <v>70</v>
      </c>
      <c r="C72" s="84">
        <f>'Вклады юр и физ лиц'!B72/Население!C72</f>
        <v>9.0459887005649708</v>
      </c>
      <c r="D72" s="84">
        <f>'Вклады юр и физ лиц'!C72/Население!D72</f>
        <v>12.822452830188679</v>
      </c>
      <c r="E72" s="84">
        <f>'Вклады юр и физ лиц'!D72/Население!E72</f>
        <v>18.937107156380158</v>
      </c>
      <c r="F72" s="84">
        <f>'Вклады юр и физ лиц'!E72/Население!F72</f>
        <v>28.89704097116844</v>
      </c>
      <c r="G72" s="84">
        <f>'Вклады юр и физ лиц'!F72/Население!G72</f>
        <v>32.721136363636361</v>
      </c>
      <c r="H72" s="84">
        <f>'Вклады юр и физ лиц'!G72/Население!H72</f>
        <v>39.810465116279069</v>
      </c>
      <c r="I72" s="84">
        <f>'Вклады юр и физ лиц'!H72/Население!I72</f>
        <v>52.706736136955712</v>
      </c>
      <c r="J72" s="84">
        <f>'Вклады юр и физ лиц'!I72/Население!J72</f>
        <v>69.770110701107015</v>
      </c>
      <c r="K72" s="84">
        <f>'Вклады юр и физ лиц'!J72/Население!K72</f>
        <v>85.015745148297327</v>
      </c>
      <c r="L72" s="84">
        <f>'Вклады юр и физ лиц'!K72/Население!L72</f>
        <v>100.46523480160175</v>
      </c>
      <c r="M72" s="84">
        <f>'Вклады юр и физ лиц'!L72/Население!M72</f>
        <v>109.33128167994207</v>
      </c>
      <c r="N72" s="84">
        <f>'Вклады юр и физ лиц'!M72/Население!N72</f>
        <v>126.00107913669065</v>
      </c>
      <c r="O72" s="84">
        <f>'Вклады юр и физ лиц'!N72/Население!O72</f>
        <v>150.44281104338472</v>
      </c>
      <c r="P72" s="84">
        <f>'Вклады юр и физ лиц'!O72/Население!P72</f>
        <v>171.48048693161476</v>
      </c>
      <c r="Q72" s="84">
        <f>'Вклады юр и физ лиц'!P72/Население!Q72</f>
        <v>151.22980700500358</v>
      </c>
      <c r="R72" s="84">
        <f>'Вклады юр и физ лиц'!Q72/Население!R72</f>
        <v>171.95585068198133</v>
      </c>
    </row>
    <row r="73" spans="1:18" x14ac:dyDescent="0.25">
      <c r="A73" s="85">
        <v>72</v>
      </c>
      <c r="B73" s="84" t="s">
        <v>71</v>
      </c>
      <c r="C73" s="84">
        <f>'Вклады юр и физ лиц'!B73/Население!C73</f>
        <v>7.8253968253968251</v>
      </c>
      <c r="D73" s="84">
        <f>'Вклады юр и физ лиц'!C73/Население!D73</f>
        <v>10.672039312039312</v>
      </c>
      <c r="E73" s="84">
        <f>'Вклады юр и физ лиц'!D73/Население!E73</f>
        <v>15.371915103652517</v>
      </c>
      <c r="F73" s="84">
        <f>'Вклады юр и физ лиц'!E73/Население!F73</f>
        <v>19.838305252725469</v>
      </c>
      <c r="G73" s="84">
        <f>'Вклады юр и физ лиц'!F73/Население!G73</f>
        <v>20.069662363455812</v>
      </c>
      <c r="H73" s="84">
        <f>'Вклады юр и физ лиц'!G73/Население!H73</f>
        <v>27.228426909458776</v>
      </c>
      <c r="I73" s="84">
        <f>'Вклады юр и физ лиц'!H73/Население!I73</f>
        <v>37.061265822784812</v>
      </c>
      <c r="J73" s="84">
        <f>'Вклады юр и физ лиц'!I73/Население!J73</f>
        <v>46.625633232016213</v>
      </c>
      <c r="K73" s="84">
        <f>'Вклады юр и физ лиц'!J73/Население!K73</f>
        <v>56.215805471124618</v>
      </c>
      <c r="L73" s="84">
        <f>'Вклады юр и физ лиц'!K73/Население!L73</f>
        <v>67.883215369059656</v>
      </c>
      <c r="M73" s="84">
        <f>'Вклады юр и физ лиц'!L73/Население!M73</f>
        <v>67.300808897876649</v>
      </c>
      <c r="N73" s="84">
        <f>'Вклады юр и физ лиц'!M73/Население!N73</f>
        <v>78.909275215408002</v>
      </c>
      <c r="O73" s="84">
        <f>'Вклады юр и физ лиц'!N73/Население!O73</f>
        <v>87.991836734693877</v>
      </c>
      <c r="P73" s="84">
        <f>'Вклады юр и физ лиц'!O73/Население!P73</f>
        <v>97.07355967078189</v>
      </c>
      <c r="Q73" s="84">
        <f>'Вклады юр и физ лиц'!P73/Население!Q73</f>
        <v>106.59418785677218</v>
      </c>
      <c r="R73" s="84">
        <f>'Вклады юр и физ лиц'!Q73/Население!R73</f>
        <v>116.8125</v>
      </c>
    </row>
    <row r="74" spans="1:18" x14ac:dyDescent="0.25">
      <c r="A74" s="85">
        <v>73</v>
      </c>
      <c r="B74" s="84" t="s">
        <v>72</v>
      </c>
      <c r="C74" s="84">
        <f>'Вклады юр и физ лиц'!B74/Население!C74</f>
        <v>11.0849609375</v>
      </c>
      <c r="D74" s="84">
        <f>'Вклады юр и физ лиц'!C74/Население!D74</f>
        <v>18.551740812379109</v>
      </c>
      <c r="E74" s="84">
        <f>'Вклады юр и физ лиц'!D74/Население!E74</f>
        <v>20.026331074540174</v>
      </c>
      <c r="F74" s="84">
        <f>'Вклады юр и физ лиц'!E74/Население!F74</f>
        <v>26.253526570048312</v>
      </c>
      <c r="G74" s="84">
        <f>'Вклады юр и физ лиц'!F74/Население!G74</f>
        <v>25.229865125240845</v>
      </c>
      <c r="H74" s="84">
        <f>'Вклады юр и физ лиц'!G74/Население!H74</f>
        <v>33.856148713060058</v>
      </c>
      <c r="I74" s="84">
        <f>'Вклады юр и физ лиц'!H74/Население!I74</f>
        <v>44.716446124763706</v>
      </c>
      <c r="J74" s="84">
        <f>'Вклады юр и физ лиц'!I74/Население!J74</f>
        <v>56.371240601503757</v>
      </c>
      <c r="K74" s="84">
        <f>'Вклады юр и физ лиц'!J74/Население!K74</f>
        <v>69.510280373831776</v>
      </c>
      <c r="L74" s="84">
        <f>'Вклады юр и физ лиц'!K74/Население!L74</f>
        <v>82.648044692737429</v>
      </c>
      <c r="M74" s="84">
        <f>'Вклады юр и физ лиц'!L74/Население!M74</f>
        <v>83.254410399257196</v>
      </c>
      <c r="N74" s="84">
        <f>'Вклады юр и физ лиц'!M74/Население!N74</f>
        <v>98.24930491195552</v>
      </c>
      <c r="O74" s="84">
        <f>'Вклады юр и физ лиц'!N74/Население!O74</f>
        <v>112.0343228200371</v>
      </c>
      <c r="P74" s="84">
        <f>'Вклады юр и физ лиц'!O74/Население!P74</f>
        <v>119.33704735376044</v>
      </c>
      <c r="Q74" s="84">
        <f>'Вклады юр и физ лиц'!P74/Население!Q74</f>
        <v>129.72499999999999</v>
      </c>
      <c r="R74" s="84">
        <f>'Вклады юр и физ лиц'!Q74/Население!R74</f>
        <v>143.84579439252337</v>
      </c>
    </row>
    <row r="75" spans="1:18" x14ac:dyDescent="0.25">
      <c r="A75" s="85">
        <v>74</v>
      </c>
      <c r="B75" s="84" t="s">
        <v>74</v>
      </c>
      <c r="C75" s="84">
        <f>'Вклады юр и физ лиц'!B75/Население!C75</f>
        <v>11.088993710691824</v>
      </c>
      <c r="D75" s="84">
        <f>'Вклады юр и физ лиц'!C75/Население!D75</f>
        <v>14.971789473684211</v>
      </c>
      <c r="E75" s="84">
        <f>'Вклады юр и физ лиц'!D75/Население!E75</f>
        <v>19.724105263157895</v>
      </c>
      <c r="F75" s="84">
        <f>'Вклады юр и физ лиц'!E75/Население!F75</f>
        <v>25.013880126182965</v>
      </c>
      <c r="G75" s="84">
        <f>'Вклады юр и физ лиц'!F75/Население!G75</f>
        <v>30.112105263157893</v>
      </c>
      <c r="H75" s="84">
        <f>'Вклады юр и физ лиц'!G75/Население!H75</f>
        <v>36.632254697286008</v>
      </c>
      <c r="I75" s="84">
        <f>'Вклады юр и физ лиц'!H75/Население!I75</f>
        <v>46.064853556485353</v>
      </c>
      <c r="J75" s="84">
        <f>'Вклады юр и физ лиц'!I75/Население!J75</f>
        <v>59.165271966527193</v>
      </c>
      <c r="K75" s="84">
        <f>'Вклады юр и физ лиц'!J75/Население!K75</f>
        <v>69.55916230366492</v>
      </c>
      <c r="L75" s="84">
        <f>'Вклады юр и физ лиц'!K75/Население!L75</f>
        <v>94.904911180773254</v>
      </c>
      <c r="M75" s="84">
        <f>'Вклады юр и физ лиц'!L75/Население!M75</f>
        <v>92.22708333333334</v>
      </c>
      <c r="N75" s="84">
        <f>'Вклады юр и физ лиц'!M75/Население!N75</f>
        <v>106.08203530633438</v>
      </c>
      <c r="O75" s="84">
        <f>'Вклады юр и физ лиц'!N75/Население!O75</f>
        <v>113.26659751037344</v>
      </c>
      <c r="P75" s="84">
        <f>'Вклады юр и физ лиц'!O75/Население!P75</f>
        <v>125.3081695966908</v>
      </c>
      <c r="Q75" s="84">
        <f>'Вклады юр и физ лиц'!P75/Население!Q75</f>
        <v>141.41460905349794</v>
      </c>
      <c r="R75" s="84">
        <f>'Вклады юр и физ лиц'!Q75/Население!R75</f>
        <v>145.08859470468431</v>
      </c>
    </row>
    <row r="76" spans="1:18" x14ac:dyDescent="0.25">
      <c r="A76" s="85">
        <v>75</v>
      </c>
      <c r="B76" s="84" t="s">
        <v>75</v>
      </c>
      <c r="C76" s="84">
        <f>'Вклады юр и физ лиц'!B76/Население!C76</f>
        <v>14.865281899109794</v>
      </c>
      <c r="D76" s="84">
        <f>'Вклады юр и физ лиц'!C76/Население!D76</f>
        <v>20.011174785100284</v>
      </c>
      <c r="E76" s="84">
        <f>'Вклады юр и физ лиц'!D76/Население!E76</f>
        <v>28.55158501440922</v>
      </c>
      <c r="F76" s="84">
        <f>'Вклады юр и физ лиц'!E76/Население!F76</f>
        <v>38.303468208092482</v>
      </c>
      <c r="G76" s="84">
        <f>'Вклады юр и физ лиц'!F76/Население!G76</f>
        <v>43.876453488372093</v>
      </c>
      <c r="H76" s="84">
        <f>'Вклады юр и физ лиц'!G76/Население!H76</f>
        <v>61.4888198757764</v>
      </c>
      <c r="I76" s="84">
        <f>'Вклады юр и физ лиц'!H76/Население!I76</f>
        <v>83.368750000000006</v>
      </c>
      <c r="J76" s="84">
        <f>'Вклады юр и физ лиц'!I76/Население!J76</f>
        <v>105.534375</v>
      </c>
      <c r="K76" s="84">
        <f>'Вклады юр и физ лиц'!J76/Население!K76</f>
        <v>123.503125</v>
      </c>
      <c r="L76" s="84">
        <f>'Вклады юр и физ лиц'!K76/Население!L76</f>
        <v>149.41324921135646</v>
      </c>
      <c r="M76" s="84">
        <f>'Вклады юр и физ лиц'!L76/Население!M76</f>
        <v>144.61708860759492</v>
      </c>
      <c r="N76" s="84">
        <f>'Вклады юр и физ лиц'!M76/Население!N76</f>
        <v>177.93333333333334</v>
      </c>
      <c r="O76" s="84">
        <f>'Вклады юр и физ лиц'!N76/Население!O76</f>
        <v>206.02215189873417</v>
      </c>
      <c r="P76" s="84">
        <f>'Вклады юр и физ лиц'!O76/Население!P76</f>
        <v>235.8095238095238</v>
      </c>
      <c r="Q76" s="84">
        <f>'Вклады юр и физ лиц'!P76/Население!Q76</f>
        <v>264.45367412140575</v>
      </c>
      <c r="R76" s="84">
        <f>'Вклады юр и физ лиц'!Q76/Население!R76</f>
        <v>292.05466237942125</v>
      </c>
    </row>
    <row r="77" spans="1:18" x14ac:dyDescent="0.25">
      <c r="A77" s="85">
        <v>76</v>
      </c>
      <c r="B77" s="84" t="s">
        <v>76</v>
      </c>
      <c r="C77" s="84">
        <f>'Вклады юр и физ лиц'!B77/Население!C77</f>
        <v>8.2846537120079713</v>
      </c>
      <c r="D77" s="84">
        <f>'Вклады юр и физ лиц'!C77/Население!D77</f>
        <v>11.266666666666667</v>
      </c>
      <c r="E77" s="84">
        <f>'Вклады юр и физ лиц'!D77/Население!E77</f>
        <v>18.144117647058824</v>
      </c>
      <c r="F77" s="84">
        <f>'Вклады юр и физ лиц'!E77/Население!F77</f>
        <v>25.609318637274548</v>
      </c>
      <c r="G77" s="84">
        <f>'Вклады юр и физ лиц'!F77/Население!G77</f>
        <v>27.498692152917506</v>
      </c>
      <c r="H77" s="84">
        <f>'Вклады юр и физ лиц'!G77/Население!H77</f>
        <v>39.739784946236561</v>
      </c>
      <c r="I77" s="84">
        <f>'Вклады юр и физ лиц'!H77/Население!I77</f>
        <v>56.918503331624805</v>
      </c>
      <c r="J77" s="84">
        <f>'Вклады юр и физ лиц'!I77/Население!J77</f>
        <v>71.435028248587571</v>
      </c>
      <c r="K77" s="84">
        <f>'Вклады юр и физ лиц'!J77/Население!K77</f>
        <v>84.219298245614041</v>
      </c>
      <c r="L77" s="84">
        <f>'Вклады юр и физ лиц'!K77/Население!L77</f>
        <v>102.33523021210553</v>
      </c>
      <c r="M77" s="84">
        <f>'Вклады юр и физ лиц'!L77/Население!M77</f>
        <v>104.22913426645931</v>
      </c>
      <c r="N77" s="84">
        <f>'Вклады юр и физ лиц'!M77/Население!N77</f>
        <v>123.61986479459178</v>
      </c>
      <c r="O77" s="84">
        <f>'Вклады юр и физ лиц'!N77/Население!O77</f>
        <v>134.67485624673287</v>
      </c>
      <c r="P77" s="84">
        <f>'Вклады юр и физ лиц'!O77/Население!P77</f>
        <v>159.20452155625657</v>
      </c>
      <c r="Q77" s="84">
        <f>'Вклады юр и физ лиц'!P77/Население!Q77</f>
        <v>179.80116033755274</v>
      </c>
      <c r="R77" s="84">
        <f>'Вклады юр и физ лиц'!Q77/Население!R77</f>
        <v>196.31043663471777</v>
      </c>
    </row>
    <row r="78" spans="1:18" x14ac:dyDescent="0.25">
      <c r="A78" s="85">
        <v>77</v>
      </c>
      <c r="B78" s="84" t="s">
        <v>77</v>
      </c>
      <c r="C78" s="84">
        <f>'Вклады юр и физ лиц'!B78/Население!C78</f>
        <v>13.507049418604652</v>
      </c>
      <c r="D78" s="84">
        <f>'Вклады юр и физ лиц'!C78/Население!D78</f>
        <v>18.223229461756375</v>
      </c>
      <c r="E78" s="84">
        <f>'Вклады юр и физ лиц'!D78/Население!E78</f>
        <v>28.101637010676157</v>
      </c>
      <c r="F78" s="84">
        <f>'Вклады юр и физ лиц'!E78/Население!F78</f>
        <v>42.196652421652423</v>
      </c>
      <c r="G78" s="84">
        <f>'Вклады юр и физ лиц'!F78/Население!G78</f>
        <v>41.346219686162627</v>
      </c>
      <c r="H78" s="84">
        <f>'Вклады юр и физ лиц'!G78/Население!H78</f>
        <v>59.022933730454206</v>
      </c>
      <c r="I78" s="84">
        <f>'Вклады юр и физ лиц'!H78/Население!I78</f>
        <v>82.692995529061108</v>
      </c>
      <c r="J78" s="84">
        <f>'Вклады юр и физ лиц'!I78/Население!J78</f>
        <v>95.217585692995527</v>
      </c>
      <c r="K78" s="84">
        <f>'Вклады юр и физ лиц'!J78/Население!K78</f>
        <v>113.34179104477612</v>
      </c>
      <c r="L78" s="84">
        <f>'Вклады юр и физ лиц'!K78/Население!L78</f>
        <v>123.93497757847534</v>
      </c>
      <c r="M78" s="84">
        <f>'Вклады юр и физ лиц'!L78/Население!M78</f>
        <v>128.84782608695653</v>
      </c>
      <c r="N78" s="84">
        <f>'Вклады юр и физ лиц'!M78/Население!N78</f>
        <v>145.80345086271569</v>
      </c>
      <c r="O78" s="84">
        <f>'Вклады юр и физ лиц'!N78/Население!O78</f>
        <v>165.86219879518072</v>
      </c>
      <c r="P78" s="84">
        <f>'Вклады юр и физ лиц'!O78/Население!P78</f>
        <v>176.59121877365632</v>
      </c>
      <c r="Q78" s="84">
        <f>'Вклады юр и физ лиц'!P78/Население!Q78</f>
        <v>183.22264437689969</v>
      </c>
      <c r="R78" s="84">
        <f>'Вклады юр и физ лиц'!Q78/Население!R78</f>
        <v>201.598001537279</v>
      </c>
    </row>
    <row r="79" spans="1:18" x14ac:dyDescent="0.25">
      <c r="A79" s="85">
        <v>78</v>
      </c>
      <c r="B79" s="84" t="s">
        <v>78</v>
      </c>
      <c r="C79" s="84">
        <f>'Вклады юр и физ лиц'!B79/Население!C79</f>
        <v>6.6219512195121952</v>
      </c>
      <c r="D79" s="84">
        <f>'Вклады юр и физ лиц'!C79/Население!D79</f>
        <v>9.161180476730987</v>
      </c>
      <c r="E79" s="84">
        <f>'Вклады юр и физ лиц'!D79/Население!E79</f>
        <v>13.0288</v>
      </c>
      <c r="F79" s="84">
        <f>'Вклады юр и физ лиц'!E79/Население!F79</f>
        <v>25.404482758620691</v>
      </c>
      <c r="G79" s="84">
        <f>'Вклады юр и физ лиц'!F79/Население!G79</f>
        <v>22.924074074074074</v>
      </c>
      <c r="H79" s="84">
        <f>'Вклады юр и физ лиц'!G79/Население!H79</f>
        <v>31.76019300361882</v>
      </c>
      <c r="I79" s="84">
        <f>'Вклады юр и физ лиц'!H79/Население!I79</f>
        <v>44.730816077953712</v>
      </c>
      <c r="J79" s="84">
        <f>'Вклады юр и физ лиц'!I79/Население!J79</f>
        <v>57.335373317013463</v>
      </c>
      <c r="K79" s="84">
        <f>'Вклады юр и физ лиц'!J79/Население!K79</f>
        <v>62.569667077681878</v>
      </c>
      <c r="L79" s="84">
        <f>'Вклады юр и физ лиц'!K79/Население!L79</f>
        <v>79.161728395061729</v>
      </c>
      <c r="M79" s="84">
        <f>'Вклады юр и физ лиц'!L79/Население!M79</f>
        <v>81.41811414392059</v>
      </c>
      <c r="N79" s="84">
        <f>'Вклады юр и физ лиц'!M79/Население!N79</f>
        <v>93.453865336658353</v>
      </c>
      <c r="O79" s="84">
        <f>'Вклады юр и физ лиц'!N79/Население!O79</f>
        <v>94.860902255639104</v>
      </c>
      <c r="P79" s="84">
        <f>'Вклады юр и физ лиц'!O79/Население!P79</f>
        <v>111.43702770780857</v>
      </c>
      <c r="Q79" s="84">
        <f>'Вклады юр и физ лиц'!P79/Население!Q79</f>
        <v>129.70886075949366</v>
      </c>
      <c r="R79" s="84">
        <f>'Вклады юр и физ лиц'!Q79/Население!R79</f>
        <v>146.85933503836318</v>
      </c>
    </row>
    <row r="80" spans="1:18" x14ac:dyDescent="0.25">
      <c r="A80" s="85">
        <v>79</v>
      </c>
      <c r="B80" s="84" t="s">
        <v>79</v>
      </c>
      <c r="C80" s="84">
        <f>'Вклады юр и физ лиц'!B80/Население!C80</f>
        <v>19.537058823529414</v>
      </c>
      <c r="D80" s="84">
        <f>'Вклады юр и физ лиц'!C80/Население!D80</f>
        <v>26.311046511627907</v>
      </c>
      <c r="E80" s="84">
        <f>'Вклады юр и физ лиц'!D80/Население!E80</f>
        <v>36.42307692307692</v>
      </c>
      <c r="F80" s="84">
        <f>'Вклады юр и физ лиц'!E80/Население!F80</f>
        <v>46.690361445783132</v>
      </c>
      <c r="G80" s="84">
        <f>'Вклады юр и физ лиц'!F80/Население!G80</f>
        <v>57.711656441717793</v>
      </c>
      <c r="H80" s="84">
        <f>'Вклады юр и физ лиц'!G80/Население!H80</f>
        <v>78.90320512820513</v>
      </c>
      <c r="I80" s="84">
        <f>'Вклады юр и физ лиц'!H80/Население!I80</f>
        <v>106.67096774193548</v>
      </c>
      <c r="J80" s="84">
        <f>'Вклады юр и физ лиц'!I80/Население!J80</f>
        <v>142.35526315789474</v>
      </c>
      <c r="K80" s="84">
        <f>'Вклады юр и физ лиц'!J80/Население!K80</f>
        <v>177.08666666666667</v>
      </c>
      <c r="L80" s="84">
        <f>'Вклады юр и физ лиц'!K80/Население!L80</f>
        <v>208.40540540540542</v>
      </c>
      <c r="M80" s="84">
        <f>'Вклады юр и физ лиц'!L80/Население!M80</f>
        <v>217.77551020408163</v>
      </c>
      <c r="N80" s="84">
        <f>'Вклады юр и физ лиц'!M80/Население!N80</f>
        <v>230.64383561643837</v>
      </c>
      <c r="O80" s="84">
        <f>'Вклады юр и физ лиц'!N80/Население!O80</f>
        <v>266.59722222222223</v>
      </c>
      <c r="P80" s="84">
        <f>'Вклады юр и физ лиц'!O80/Население!P80</f>
        <v>351.05673758865248</v>
      </c>
      <c r="Q80" s="84">
        <f>'Вклады юр и физ лиц'!P80/Население!Q80</f>
        <v>361.3</v>
      </c>
      <c r="R80" s="84">
        <f>'Вклады юр и физ лиц'!Q80/Население!R80</f>
        <v>421.83453237410072</v>
      </c>
    </row>
    <row r="81" spans="1:18" x14ac:dyDescent="0.25">
      <c r="A81" s="85">
        <v>80</v>
      </c>
      <c r="B81" s="84" t="s">
        <v>80</v>
      </c>
      <c r="C81" s="84">
        <f>'Вклады юр и физ лиц'!B81/Население!C81</f>
        <v>14.968330134357005</v>
      </c>
      <c r="D81" s="84">
        <f>'Вклады юр и физ лиц'!C81/Население!D81</f>
        <v>21.182129277566538</v>
      </c>
      <c r="E81" s="84">
        <f>'Вклады юр и физ лиц'!D81/Население!E81</f>
        <v>31.421880998080614</v>
      </c>
      <c r="F81" s="84">
        <f>'Вклады юр и физ лиц'!E81/Население!F81</f>
        <v>44.072586872586868</v>
      </c>
      <c r="G81" s="84">
        <f>'Вклады юр и физ лиц'!F81/Население!G81</f>
        <v>46.474902723735404</v>
      </c>
      <c r="H81" s="84">
        <f>'Вклады юр и физ лиц'!G81/Население!H81</f>
        <v>61.181488933601614</v>
      </c>
      <c r="I81" s="84">
        <f>'Вклады юр и физ лиц'!H81/Население!I81</f>
        <v>87.252525252525245</v>
      </c>
      <c r="J81" s="84">
        <f>'Вклады юр и физ лиц'!I81/Население!J81</f>
        <v>111.36437246963563</v>
      </c>
      <c r="K81" s="84">
        <f>'Вклады юр и физ лиц'!J81/Население!K81</f>
        <v>124.39103869653768</v>
      </c>
      <c r="L81" s="84">
        <f>'Вклады юр и физ лиц'!K81/Население!L81</f>
        <v>149.4610655737705</v>
      </c>
      <c r="M81" s="84">
        <f>'Вклады юр и физ лиц'!L81/Население!M81</f>
        <v>177.77002053388091</v>
      </c>
      <c r="N81" s="84">
        <f>'Вклады юр и физ лиц'!M81/Население!N81</f>
        <v>371.45585215605752</v>
      </c>
      <c r="O81" s="84">
        <f>'Вклады юр и физ лиц'!N81/Население!O81</f>
        <v>348.96938775510205</v>
      </c>
      <c r="P81" s="84">
        <f>'Вклады юр и физ лиц'!O81/Население!P81</f>
        <v>301.58367346938775</v>
      </c>
      <c r="Q81" s="84">
        <f>'Вклады юр и физ лиц'!P81/Население!Q81</f>
        <v>347.57991803278691</v>
      </c>
      <c r="R81" s="84">
        <f>'Вклады юр и физ лиц'!Q81/Население!R81</f>
        <v>356.17489711934155</v>
      </c>
    </row>
    <row r="82" spans="1:18" x14ac:dyDescent="0.25">
      <c r="A82" s="85">
        <v>81</v>
      </c>
      <c r="B82" s="84" t="s">
        <v>81</v>
      </c>
      <c r="C82" s="84">
        <f>'Вклады юр и физ лиц'!B82/Население!C82</f>
        <v>5.0780219780219786</v>
      </c>
      <c r="D82" s="84">
        <f>'Вклады юр и физ лиц'!C82/Население!D82</f>
        <v>6.9978609625668442</v>
      </c>
      <c r="E82" s="84">
        <f>'Вклады юр и физ лиц'!D82/Население!E82</f>
        <v>9.1177419354838722</v>
      </c>
      <c r="F82" s="84">
        <f>'Вклады юр и физ лиц'!E82/Население!F82</f>
        <v>12.377956989247313</v>
      </c>
      <c r="G82" s="84">
        <f>'Вклады юр и физ лиц'!F82/Население!G82</f>
        <v>14.535135135135135</v>
      </c>
      <c r="H82" s="84">
        <f>'Вклады юр и физ лиц'!G82/Население!H82</f>
        <v>17.564204545454547</v>
      </c>
      <c r="I82" s="84">
        <f>'Вклады юр и физ лиц'!H82/Население!I82</f>
        <v>25.08</v>
      </c>
      <c r="J82" s="84">
        <f>'Вклады юр и физ лиц'!I82/Население!J82</f>
        <v>32.942196531791907</v>
      </c>
      <c r="K82" s="84">
        <f>'Вклады юр и физ лиц'!J82/Население!K82</f>
        <v>42.12865497076023</v>
      </c>
      <c r="L82" s="84">
        <f>'Вклады юр и физ лиц'!K82/Население!L82</f>
        <v>52.822485207100591</v>
      </c>
      <c r="M82" s="84">
        <f>'Вклады юр и физ лиц'!L82/Население!M82</f>
        <v>53.963855421686745</v>
      </c>
      <c r="N82" s="84">
        <f>'Вклады юр и физ лиц'!M82/Население!N82</f>
        <v>62.213414634146339</v>
      </c>
      <c r="O82" s="84">
        <f>'Вклады юр и физ лиц'!N82/Население!O82</f>
        <v>69.277777777777771</v>
      </c>
      <c r="P82" s="84">
        <f>'Вклады юр и физ лиц'!O82/Население!P82</f>
        <v>73.400000000000006</v>
      </c>
      <c r="Q82" s="84">
        <f>'Вклады юр и физ лиц'!P82/Население!Q82</f>
        <v>84.898734177215189</v>
      </c>
      <c r="R82" s="84">
        <f>'Вклады юр и физ лиц'!Q82/Население!R82</f>
        <v>97.414012738853501</v>
      </c>
    </row>
    <row r="83" spans="1:18" x14ac:dyDescent="0.25">
      <c r="A83" s="85">
        <v>82</v>
      </c>
      <c r="B83" s="84" t="s">
        <v>82</v>
      </c>
      <c r="C83" s="84">
        <f>'Вклады юр и физ лиц'!B83/Население!C83</f>
        <v>28.630769230769229</v>
      </c>
      <c r="D83" s="84">
        <f>'Вклады юр и физ лиц'!C83/Население!D83</f>
        <v>36.799999999999997</v>
      </c>
      <c r="E83" s="84">
        <f>'Вклады юр и физ лиц'!D83/Население!E83</f>
        <v>46.101999999999997</v>
      </c>
      <c r="F83" s="84">
        <f>'Вклады юр и физ лиц'!E83/Население!F83</f>
        <v>49.722000000000001</v>
      </c>
      <c r="G83" s="84">
        <f>'Вклады юр и физ лиц'!F83/Население!G83</f>
        <v>66.373999999999995</v>
      </c>
      <c r="H83" s="84">
        <f>'Вклады юр и физ лиц'!G83/Население!H83</f>
        <v>95.741176470588243</v>
      </c>
      <c r="I83" s="84">
        <f>'Вклады юр и физ лиц'!H83/Население!I83</f>
        <v>93.509803921568633</v>
      </c>
      <c r="J83" s="84">
        <f>'Вклады юр и физ лиц'!I83/Население!J83</f>
        <v>107.88235294117646</v>
      </c>
      <c r="K83" s="84">
        <f>'Вклады юр и физ лиц'!J83/Население!K83</f>
        <v>157.62745098039215</v>
      </c>
      <c r="L83" s="84">
        <f>'Вклады юр и физ лиц'!K83/Население!L83</f>
        <v>202.94117647058823</v>
      </c>
      <c r="M83" s="84">
        <f>'Вклады юр и физ лиц'!L83/Население!M83</f>
        <v>161.26</v>
      </c>
      <c r="N83" s="84">
        <f>'Вклады юр и физ лиц'!M83/Население!N83</f>
        <v>195.76</v>
      </c>
      <c r="O83" s="84">
        <f>'Вклады юр и физ лиц'!N83/Население!O83</f>
        <v>221.02</v>
      </c>
      <c r="P83" s="84">
        <f>'Вклады юр и физ лиц'!O83/Население!P83</f>
        <v>234.14</v>
      </c>
      <c r="Q83" s="84">
        <f>'Вклады юр и физ лиц'!P83/Население!Q83</f>
        <v>259.24</v>
      </c>
      <c r="R83" s="84">
        <f>'Вклады юр и физ лиц'!Q83/Население!R83</f>
        <v>258.12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85"/>
  <sheetViews>
    <sheetView workbookViewId="0">
      <selection activeCell="C1" sqref="C1"/>
    </sheetView>
  </sheetViews>
  <sheetFormatPr defaultRowHeight="15.75" x14ac:dyDescent="0.25"/>
  <cols>
    <col min="1" max="1" width="9" style="79" bestFit="1" customWidth="1"/>
    <col min="2" max="2" width="39.7109375" style="80" customWidth="1"/>
    <col min="3" max="3" width="11.7109375" style="79" bestFit="1" customWidth="1"/>
    <col min="4" max="18" width="9.140625" style="79"/>
    <col min="19" max="16384" width="9.140625" style="80"/>
  </cols>
  <sheetData>
    <row r="1" spans="1:17" x14ac:dyDescent="0.25">
      <c r="A1" s="85" t="s">
        <v>216</v>
      </c>
      <c r="B1" s="86" t="s">
        <v>217</v>
      </c>
      <c r="C1" s="80" t="s">
        <v>218</v>
      </c>
      <c r="D1" s="80" t="s">
        <v>215</v>
      </c>
      <c r="E1" s="85"/>
      <c r="F1" s="85"/>
      <c r="G1" s="85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5">
        <v>1</v>
      </c>
      <c r="B2" s="85">
        <v>0.47331809959115667</v>
      </c>
      <c r="C2" s="187">
        <v>43831</v>
      </c>
      <c r="D2" s="80">
        <v>39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x14ac:dyDescent="0.25">
      <c r="A3" s="85">
        <v>2</v>
      </c>
      <c r="B3" s="85">
        <v>0.33270188843097659</v>
      </c>
      <c r="C3" s="187">
        <v>43831</v>
      </c>
      <c r="D3" s="80">
        <v>39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x14ac:dyDescent="0.25">
      <c r="A4" s="85">
        <v>3</v>
      </c>
      <c r="B4" s="85">
        <v>0.47666276200573965</v>
      </c>
      <c r="C4" s="187">
        <v>43831</v>
      </c>
      <c r="D4" s="80">
        <v>39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</row>
    <row r="5" spans="1:17" x14ac:dyDescent="0.25">
      <c r="A5" s="85">
        <v>4</v>
      </c>
      <c r="B5" s="85">
        <v>0.51759154474940328</v>
      </c>
      <c r="C5" s="187">
        <v>43831</v>
      </c>
      <c r="D5" s="80">
        <v>39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7" x14ac:dyDescent="0.25">
      <c r="A6" s="85">
        <v>5</v>
      </c>
      <c r="B6" s="85">
        <v>0.42344660016898888</v>
      </c>
      <c r="C6" s="187">
        <v>43831</v>
      </c>
      <c r="D6" s="80">
        <v>39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17" x14ac:dyDescent="0.25">
      <c r="A7" s="85">
        <v>6</v>
      </c>
      <c r="B7" s="85">
        <v>0.51402047921295846</v>
      </c>
      <c r="C7" s="187">
        <v>43831</v>
      </c>
      <c r="D7" s="80">
        <v>39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1:17" x14ac:dyDescent="0.25">
      <c r="A8" s="85">
        <v>7</v>
      </c>
      <c r="B8" s="85">
        <v>0.47844363113694538</v>
      </c>
      <c r="C8" s="187">
        <v>43831</v>
      </c>
      <c r="D8" s="80">
        <v>39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7" x14ac:dyDescent="0.25">
      <c r="A9" s="85">
        <v>8</v>
      </c>
      <c r="B9" s="85">
        <v>0.40254495735793155</v>
      </c>
      <c r="C9" s="187">
        <v>43831</v>
      </c>
      <c r="D9" s="80">
        <v>39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</row>
    <row r="10" spans="1:17" x14ac:dyDescent="0.25">
      <c r="A10" s="85">
        <v>9</v>
      </c>
      <c r="B10" s="85">
        <v>0.43256187142381791</v>
      </c>
      <c r="C10" s="187">
        <v>43831</v>
      </c>
      <c r="D10" s="80">
        <v>39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</row>
    <row r="11" spans="1:17" x14ac:dyDescent="0.25">
      <c r="A11" s="85">
        <v>10</v>
      </c>
      <c r="B11" s="85">
        <v>0.58877871889227362</v>
      </c>
      <c r="C11" s="187">
        <v>43831</v>
      </c>
      <c r="D11" s="80">
        <v>39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</row>
    <row r="12" spans="1:17" x14ac:dyDescent="0.25">
      <c r="A12" s="85">
        <v>11</v>
      </c>
      <c r="B12" s="85">
        <v>0.42326805156391645</v>
      </c>
      <c r="C12" s="187">
        <v>43831</v>
      </c>
      <c r="D12" s="80">
        <v>39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</row>
    <row r="13" spans="1:17" x14ac:dyDescent="0.25">
      <c r="A13" s="85">
        <v>12</v>
      </c>
      <c r="B13" s="85">
        <v>0.48351737438905301</v>
      </c>
      <c r="C13" s="187">
        <v>43831</v>
      </c>
      <c r="D13" s="80">
        <v>39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</row>
    <row r="14" spans="1:17" x14ac:dyDescent="0.25">
      <c r="A14" s="85">
        <v>13</v>
      </c>
      <c r="B14" s="85">
        <v>0.40150895650137258</v>
      </c>
      <c r="C14" s="187">
        <v>43831</v>
      </c>
      <c r="D14" s="80">
        <v>39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</row>
    <row r="15" spans="1:17" x14ac:dyDescent="0.25">
      <c r="A15" s="85">
        <v>14</v>
      </c>
      <c r="B15" s="85">
        <v>0.35071314254701902</v>
      </c>
      <c r="C15" s="187">
        <v>43831</v>
      </c>
      <c r="D15" s="80">
        <v>39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</row>
    <row r="16" spans="1:17" x14ac:dyDescent="0.25">
      <c r="A16" s="85">
        <v>15</v>
      </c>
      <c r="B16" s="85">
        <v>0.44996211798909946</v>
      </c>
      <c r="C16" s="187">
        <v>43831</v>
      </c>
      <c r="D16" s="80">
        <v>39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</row>
    <row r="17" spans="1:17" x14ac:dyDescent="0.25">
      <c r="A17" s="85">
        <v>16</v>
      </c>
      <c r="B17" s="85">
        <v>0.49452294301132682</v>
      </c>
      <c r="C17" s="187">
        <v>43831</v>
      </c>
      <c r="D17" s="80">
        <v>39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</row>
    <row r="18" spans="1:17" x14ac:dyDescent="0.25">
      <c r="A18" s="85">
        <v>17</v>
      </c>
      <c r="B18" s="85">
        <v>0.52774760193363834</v>
      </c>
      <c r="C18" s="187">
        <v>43831</v>
      </c>
      <c r="D18" s="80">
        <v>39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</row>
    <row r="19" spans="1:17" x14ac:dyDescent="0.25">
      <c r="A19" s="85">
        <v>18</v>
      </c>
      <c r="B19" s="85">
        <v>0.91823527266886729</v>
      </c>
      <c r="C19" s="187">
        <v>43831</v>
      </c>
      <c r="D19" s="80">
        <v>39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</row>
    <row r="20" spans="1:17" x14ac:dyDescent="0.25">
      <c r="A20" s="85">
        <v>19</v>
      </c>
      <c r="B20" s="85">
        <v>0.46379385697776881</v>
      </c>
      <c r="C20" s="187">
        <v>43831</v>
      </c>
      <c r="D20" s="80">
        <v>39</v>
      </c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</row>
    <row r="21" spans="1:17" x14ac:dyDescent="0.25">
      <c r="A21" s="85">
        <v>20</v>
      </c>
      <c r="B21" s="85">
        <v>0.50069901242229231</v>
      </c>
      <c r="C21" s="187">
        <v>43831</v>
      </c>
      <c r="D21" s="80">
        <v>39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</row>
    <row r="22" spans="1:17" x14ac:dyDescent="0.25">
      <c r="A22" s="85">
        <v>21</v>
      </c>
      <c r="B22" s="85">
        <v>0.51902706132392085</v>
      </c>
      <c r="C22" s="187">
        <v>43831</v>
      </c>
      <c r="D22" s="80">
        <v>39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</row>
    <row r="23" spans="1:17" x14ac:dyDescent="0.25">
      <c r="A23" s="85">
        <v>22</v>
      </c>
      <c r="B23" s="85">
        <v>0.52630230627264818</v>
      </c>
      <c r="C23" s="187">
        <v>43831</v>
      </c>
      <c r="D23" s="80">
        <v>39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</row>
    <row r="24" spans="1:17" x14ac:dyDescent="0.25">
      <c r="A24" s="85">
        <v>23</v>
      </c>
      <c r="B24" s="85">
        <v>0.54168035247016189</v>
      </c>
      <c r="C24" s="187">
        <v>43831</v>
      </c>
      <c r="D24" s="80">
        <v>39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</row>
    <row r="25" spans="1:17" x14ac:dyDescent="0.25">
      <c r="A25" s="85">
        <v>24</v>
      </c>
      <c r="B25" s="85">
        <v>0.3537894922269133</v>
      </c>
      <c r="C25" s="187">
        <v>43831</v>
      </c>
      <c r="D25" s="80">
        <v>39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</row>
    <row r="26" spans="1:17" x14ac:dyDescent="0.25">
      <c r="A26" s="85">
        <v>25</v>
      </c>
      <c r="B26" s="85">
        <v>0.61519403586281163</v>
      </c>
      <c r="C26" s="187">
        <v>43831</v>
      </c>
      <c r="D26" s="80">
        <v>39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</row>
    <row r="27" spans="1:17" x14ac:dyDescent="0.25">
      <c r="A27" s="85">
        <v>26</v>
      </c>
      <c r="B27" s="85">
        <v>0.38474244940625818</v>
      </c>
      <c r="C27" s="187">
        <v>43831</v>
      </c>
      <c r="D27" s="80">
        <v>39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</row>
    <row r="28" spans="1:17" x14ac:dyDescent="0.25">
      <c r="A28" s="85">
        <v>27</v>
      </c>
      <c r="B28" s="85">
        <v>0.37163011350833658</v>
      </c>
      <c r="C28" s="187">
        <v>43831</v>
      </c>
      <c r="D28" s="80">
        <v>39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</row>
    <row r="29" spans="1:17" x14ac:dyDescent="0.25">
      <c r="A29" s="85">
        <v>28</v>
      </c>
      <c r="B29" s="85">
        <v>0.77297922233290406</v>
      </c>
      <c r="C29" s="187">
        <v>43831</v>
      </c>
      <c r="D29" s="80">
        <v>39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</row>
    <row r="30" spans="1:17" x14ac:dyDescent="0.25">
      <c r="A30" s="85">
        <v>29</v>
      </c>
      <c r="B30" s="85">
        <v>0.13295239821897267</v>
      </c>
      <c r="C30" s="187">
        <v>43831</v>
      </c>
      <c r="D30" s="80">
        <v>39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</row>
    <row r="31" spans="1:17" x14ac:dyDescent="0.25">
      <c r="A31" s="85">
        <v>30</v>
      </c>
      <c r="B31" s="85">
        <v>6.9869665694309718E-2</v>
      </c>
      <c r="C31" s="187">
        <v>43831</v>
      </c>
      <c r="D31" s="80">
        <v>39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</row>
    <row r="32" spans="1:17" x14ac:dyDescent="0.25">
      <c r="A32" s="85">
        <v>31</v>
      </c>
      <c r="B32" s="85">
        <v>0.16074499767207401</v>
      </c>
      <c r="C32" s="187">
        <v>43831</v>
      </c>
      <c r="D32" s="80">
        <v>39</v>
      </c>
      <c r="E32" s="111"/>
      <c r="F32" s="111"/>
      <c r="G32" s="111"/>
      <c r="H32" s="111"/>
      <c r="I32" s="111"/>
      <c r="J32" s="111"/>
      <c r="K32" s="111"/>
      <c r="L32" s="111"/>
      <c r="M32" s="85"/>
      <c r="N32" s="85"/>
      <c r="O32" s="85"/>
      <c r="P32" s="85"/>
      <c r="Q32" s="85"/>
    </row>
    <row r="33" spans="1:17" x14ac:dyDescent="0.25">
      <c r="A33" s="85">
        <v>32</v>
      </c>
      <c r="B33" s="85">
        <v>0.44594572438127333</v>
      </c>
      <c r="C33" s="187">
        <v>43831</v>
      </c>
      <c r="D33" s="80">
        <v>39</v>
      </c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</row>
    <row r="34" spans="1:17" x14ac:dyDescent="0.25">
      <c r="A34" s="85">
        <v>33</v>
      </c>
      <c r="B34" s="85">
        <v>0.28431094556781877</v>
      </c>
      <c r="C34" s="187">
        <v>43831</v>
      </c>
      <c r="D34" s="80">
        <v>39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</row>
    <row r="35" spans="1:17" x14ac:dyDescent="0.25">
      <c r="A35" s="85">
        <v>34</v>
      </c>
      <c r="B35" s="85">
        <v>0.35236143889062588</v>
      </c>
      <c r="C35" s="187">
        <v>43831</v>
      </c>
      <c r="D35" s="80">
        <v>39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x14ac:dyDescent="0.25">
      <c r="A36" s="85">
        <v>35</v>
      </c>
      <c r="B36" s="85">
        <v>0.4256160228915648</v>
      </c>
      <c r="C36" s="187">
        <v>43831</v>
      </c>
      <c r="D36" s="80">
        <v>39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</row>
    <row r="37" spans="1:17" x14ac:dyDescent="0.25">
      <c r="A37" s="85">
        <v>36</v>
      </c>
      <c r="B37" s="85">
        <v>0.17809784407262791</v>
      </c>
      <c r="C37" s="187">
        <v>43831</v>
      </c>
      <c r="D37" s="80">
        <v>39</v>
      </c>
      <c r="E37" s="111"/>
      <c r="F37" s="111"/>
      <c r="G37" s="111"/>
      <c r="H37" s="111"/>
      <c r="I37" s="111"/>
      <c r="J37" s="111"/>
      <c r="K37" s="111"/>
      <c r="L37" s="111"/>
      <c r="M37" s="85"/>
      <c r="N37" s="85"/>
      <c r="O37" s="85"/>
      <c r="P37" s="85"/>
      <c r="Q37" s="85"/>
    </row>
    <row r="38" spans="1:17" x14ac:dyDescent="0.25">
      <c r="A38" s="85">
        <v>37</v>
      </c>
      <c r="B38" s="85">
        <v>9.8432235575959589E-3</v>
      </c>
      <c r="C38" s="187">
        <v>43831</v>
      </c>
      <c r="D38" s="80">
        <v>39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</row>
    <row r="39" spans="1:17" x14ac:dyDescent="0.25">
      <c r="A39" s="85">
        <v>38</v>
      </c>
      <c r="B39" s="85">
        <v>4.954102688027116E-5</v>
      </c>
      <c r="C39" s="187">
        <v>43831</v>
      </c>
      <c r="D39" s="80">
        <v>39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</row>
    <row r="40" spans="1:17" x14ac:dyDescent="0.25">
      <c r="A40" s="85">
        <v>39</v>
      </c>
      <c r="B40" s="85">
        <v>9.0196387441356968E-2</v>
      </c>
      <c r="C40" s="187">
        <v>43831</v>
      </c>
      <c r="D40" s="80">
        <v>39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</row>
    <row r="41" spans="1:17" x14ac:dyDescent="0.25">
      <c r="A41" s="85">
        <v>40</v>
      </c>
      <c r="B41" s="85">
        <v>4.6419106077915349E-2</v>
      </c>
      <c r="C41" s="187">
        <v>43831</v>
      </c>
      <c r="D41" s="80">
        <v>39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</row>
    <row r="42" spans="1:17" x14ac:dyDescent="0.25">
      <c r="A42" s="85">
        <v>41</v>
      </c>
      <c r="B42" s="85">
        <v>0.17535989340349503</v>
      </c>
      <c r="C42" s="187">
        <v>43831</v>
      </c>
      <c r="D42" s="80">
        <v>39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</row>
    <row r="43" spans="1:17" x14ac:dyDescent="0.25">
      <c r="A43" s="85">
        <v>42</v>
      </c>
      <c r="B43" s="85">
        <v>1.364967551697172E-3</v>
      </c>
      <c r="C43" s="187">
        <v>43831</v>
      </c>
      <c r="D43" s="80">
        <v>39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</row>
    <row r="44" spans="1:17" x14ac:dyDescent="0.25">
      <c r="A44" s="85">
        <v>43</v>
      </c>
      <c r="B44" s="85">
        <v>0.33701604313853978</v>
      </c>
      <c r="C44" s="187">
        <v>43831</v>
      </c>
      <c r="D44" s="80">
        <v>39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</row>
    <row r="45" spans="1:17" x14ac:dyDescent="0.25">
      <c r="A45" s="85">
        <v>44</v>
      </c>
      <c r="B45" s="85">
        <v>0.38222366725243595</v>
      </c>
      <c r="C45" s="187">
        <v>43831</v>
      </c>
      <c r="D45" s="80">
        <v>39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</row>
    <row r="46" spans="1:17" x14ac:dyDescent="0.25">
      <c r="A46" s="85">
        <v>45</v>
      </c>
      <c r="B46" s="85">
        <v>0.32982768057390277</v>
      </c>
      <c r="C46" s="187">
        <v>43831</v>
      </c>
      <c r="D46" s="80">
        <v>39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</row>
    <row r="47" spans="1:17" x14ac:dyDescent="0.25">
      <c r="A47" s="85">
        <v>46</v>
      </c>
      <c r="B47" s="85">
        <v>0.32522592711651011</v>
      </c>
      <c r="C47" s="187">
        <v>43831</v>
      </c>
      <c r="D47" s="80">
        <v>39</v>
      </c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</row>
    <row r="48" spans="1:17" x14ac:dyDescent="0.25">
      <c r="A48" s="85">
        <v>47</v>
      </c>
      <c r="B48" s="85">
        <v>0.62568935815827942</v>
      </c>
      <c r="C48" s="187">
        <v>43831</v>
      </c>
      <c r="D48" s="80">
        <v>39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</row>
    <row r="49" spans="1:17" x14ac:dyDescent="0.25">
      <c r="A49" s="85">
        <v>48</v>
      </c>
      <c r="B49" s="85">
        <v>0.37524238628808715</v>
      </c>
      <c r="C49" s="187">
        <v>43831</v>
      </c>
      <c r="D49" s="80">
        <v>39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</row>
    <row r="50" spans="1:17" x14ac:dyDescent="0.25">
      <c r="A50" s="85">
        <v>49</v>
      </c>
      <c r="B50" s="85">
        <v>0.38318042731147112</v>
      </c>
      <c r="C50" s="187">
        <v>43831</v>
      </c>
      <c r="D50" s="80">
        <v>39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</row>
    <row r="51" spans="1:17" x14ac:dyDescent="0.25">
      <c r="A51" s="85">
        <v>50</v>
      </c>
      <c r="B51" s="85">
        <v>0.44413419786913705</v>
      </c>
      <c r="C51" s="187">
        <v>43831</v>
      </c>
      <c r="D51" s="80">
        <v>39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</row>
    <row r="52" spans="1:17" x14ac:dyDescent="0.25">
      <c r="A52" s="85">
        <v>51</v>
      </c>
      <c r="B52" s="85">
        <v>0.39804696969268744</v>
      </c>
      <c r="C52" s="187">
        <v>43831</v>
      </c>
      <c r="D52" s="80">
        <v>39</v>
      </c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</row>
    <row r="53" spans="1:17" x14ac:dyDescent="0.25">
      <c r="A53" s="85">
        <v>52</v>
      </c>
      <c r="B53" s="85">
        <v>0.54615230866956832</v>
      </c>
      <c r="C53" s="187">
        <v>43831</v>
      </c>
      <c r="D53" s="80">
        <v>39</v>
      </c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</row>
    <row r="54" spans="1:17" x14ac:dyDescent="0.25">
      <c r="A54" s="85">
        <v>53</v>
      </c>
      <c r="B54" s="85">
        <v>0.34363730542499638</v>
      </c>
      <c r="C54" s="187">
        <v>43831</v>
      </c>
      <c r="D54" s="80">
        <v>39</v>
      </c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</row>
    <row r="55" spans="1:17" x14ac:dyDescent="0.25">
      <c r="A55" s="85">
        <v>54</v>
      </c>
      <c r="B55" s="85">
        <v>0.37714385055817967</v>
      </c>
      <c r="C55" s="187">
        <v>43831</v>
      </c>
      <c r="D55" s="80">
        <v>39</v>
      </c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</row>
    <row r="56" spans="1:17" x14ac:dyDescent="0.25">
      <c r="A56" s="85">
        <v>55</v>
      </c>
      <c r="B56" s="85">
        <v>0.52276758666435386</v>
      </c>
      <c r="C56" s="187">
        <v>43831</v>
      </c>
      <c r="D56" s="80">
        <v>39</v>
      </c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</row>
    <row r="57" spans="1:17" x14ac:dyDescent="0.25">
      <c r="A57" s="85">
        <v>56</v>
      </c>
      <c r="B57" s="85">
        <v>0.37851714647903673</v>
      </c>
      <c r="C57" s="187">
        <v>43831</v>
      </c>
      <c r="D57" s="80">
        <v>39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</row>
    <row r="58" spans="1:17" x14ac:dyDescent="0.25">
      <c r="A58" s="85">
        <v>57</v>
      </c>
      <c r="B58" s="85">
        <v>0.37669771007658037</v>
      </c>
      <c r="C58" s="187">
        <v>43831</v>
      </c>
      <c r="D58" s="80">
        <v>39</v>
      </c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</row>
    <row r="59" spans="1:17" x14ac:dyDescent="0.25">
      <c r="A59" s="85">
        <v>58</v>
      </c>
      <c r="B59" s="85">
        <v>0.230232558003093</v>
      </c>
      <c r="C59" s="187">
        <v>43831</v>
      </c>
      <c r="D59" s="80">
        <v>39</v>
      </c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</row>
    <row r="60" spans="1:17" x14ac:dyDescent="0.25">
      <c r="A60" s="85">
        <v>59</v>
      </c>
      <c r="B60" s="85">
        <v>0.55531882462931104</v>
      </c>
      <c r="C60" s="187">
        <v>43831</v>
      </c>
      <c r="D60" s="80">
        <v>39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</row>
    <row r="61" spans="1:17" x14ac:dyDescent="0.25">
      <c r="A61" s="85">
        <v>60</v>
      </c>
      <c r="B61" s="85">
        <v>0.69385138412718517</v>
      </c>
      <c r="C61" s="187">
        <v>43831</v>
      </c>
      <c r="D61" s="80">
        <v>39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</row>
    <row r="62" spans="1:17" x14ac:dyDescent="0.25">
      <c r="A62" s="85">
        <v>61</v>
      </c>
      <c r="B62" s="85">
        <v>0.46045270129142851</v>
      </c>
      <c r="C62" s="187">
        <v>43831</v>
      </c>
      <c r="D62" s="80">
        <v>39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17" x14ac:dyDescent="0.25">
      <c r="A63" s="85">
        <v>62</v>
      </c>
      <c r="B63" s="85">
        <v>9.8659673879452695E-2</v>
      </c>
      <c r="C63" s="187">
        <v>43831</v>
      </c>
      <c r="D63" s="80">
        <v>39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17" x14ac:dyDescent="0.25">
      <c r="A64" s="85">
        <v>63</v>
      </c>
      <c r="B64" s="85">
        <v>0.17421919649137263</v>
      </c>
      <c r="C64" s="187">
        <v>43831</v>
      </c>
      <c r="D64" s="80">
        <v>39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1:17" x14ac:dyDescent="0.25">
      <c r="A65" s="85">
        <v>64</v>
      </c>
      <c r="B65" s="85">
        <v>2.8819124875972078E-2</v>
      </c>
      <c r="C65" s="187">
        <v>43831</v>
      </c>
      <c r="D65" s="80">
        <v>39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</row>
    <row r="66" spans="1:17" x14ac:dyDescent="0.25">
      <c r="A66" s="85">
        <v>65</v>
      </c>
      <c r="B66" s="85">
        <v>0.24546919487775695</v>
      </c>
      <c r="C66" s="187">
        <v>43831</v>
      </c>
      <c r="D66" s="80">
        <v>39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</row>
    <row r="67" spans="1:17" x14ac:dyDescent="0.25">
      <c r="A67" s="85">
        <v>66</v>
      </c>
      <c r="B67" s="85">
        <v>0.32266269196477743</v>
      </c>
      <c r="C67" s="187">
        <v>43831</v>
      </c>
      <c r="D67" s="80">
        <v>39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</row>
    <row r="68" spans="1:17" x14ac:dyDescent="0.25">
      <c r="A68" s="85">
        <v>67</v>
      </c>
      <c r="B68" s="85">
        <v>0.25856336334104485</v>
      </c>
      <c r="C68" s="187">
        <v>43831</v>
      </c>
      <c r="D68" s="80">
        <v>39</v>
      </c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</row>
    <row r="69" spans="1:17" x14ac:dyDescent="0.25">
      <c r="A69" s="85">
        <v>68</v>
      </c>
      <c r="B69" s="85">
        <v>0.4217613518743486</v>
      </c>
      <c r="C69" s="187">
        <v>43831</v>
      </c>
      <c r="D69" s="80">
        <v>39</v>
      </c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</row>
    <row r="70" spans="1:17" x14ac:dyDescent="0.25">
      <c r="A70" s="85">
        <v>69</v>
      </c>
      <c r="B70" s="85">
        <v>0.47511603240966932</v>
      </c>
      <c r="C70" s="187">
        <v>43831</v>
      </c>
      <c r="D70" s="80">
        <v>39</v>
      </c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</row>
    <row r="71" spans="1:17" x14ac:dyDescent="0.25">
      <c r="A71" s="85">
        <v>70</v>
      </c>
      <c r="B71" s="85">
        <v>0.3955894830308217</v>
      </c>
      <c r="C71" s="187">
        <v>43831</v>
      </c>
      <c r="D71" s="80">
        <v>39</v>
      </c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</row>
    <row r="72" spans="1:17" x14ac:dyDescent="0.25">
      <c r="A72" s="85">
        <v>71</v>
      </c>
      <c r="B72" s="85">
        <v>0.51516209418278225</v>
      </c>
      <c r="C72" s="187">
        <v>43831</v>
      </c>
      <c r="D72" s="80">
        <v>39</v>
      </c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</row>
    <row r="73" spans="1:17" x14ac:dyDescent="0.25">
      <c r="A73" s="85">
        <v>72</v>
      </c>
      <c r="B73" s="85">
        <v>0.37667089260959397</v>
      </c>
      <c r="C73" s="187">
        <v>43831</v>
      </c>
      <c r="D73" s="80">
        <v>39</v>
      </c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</row>
    <row r="74" spans="1:17" x14ac:dyDescent="0.25">
      <c r="A74" s="85">
        <v>73</v>
      </c>
      <c r="B74" s="85">
        <v>0.45253539727914521</v>
      </c>
      <c r="C74" s="187">
        <v>43831</v>
      </c>
      <c r="D74" s="80">
        <v>39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</row>
    <row r="75" spans="1:17" x14ac:dyDescent="0.25">
      <c r="A75" s="85">
        <v>74</v>
      </c>
      <c r="B75" s="85">
        <v>0.45561935793518826</v>
      </c>
      <c r="C75" s="187">
        <v>43831</v>
      </c>
      <c r="D75" s="80">
        <v>39</v>
      </c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</row>
    <row r="76" spans="1:17" x14ac:dyDescent="0.25">
      <c r="A76" s="85">
        <v>75</v>
      </c>
      <c r="B76" s="85">
        <v>0.67670349823361586</v>
      </c>
      <c r="C76" s="187">
        <v>43831</v>
      </c>
      <c r="D76" s="80">
        <v>39</v>
      </c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</row>
    <row r="77" spans="1:17" x14ac:dyDescent="0.25">
      <c r="A77" s="85">
        <v>76</v>
      </c>
      <c r="B77" s="85">
        <v>0.5593460806254178</v>
      </c>
      <c r="C77" s="187">
        <v>43831</v>
      </c>
      <c r="D77" s="80">
        <v>39</v>
      </c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</row>
    <row r="78" spans="1:17" x14ac:dyDescent="0.25">
      <c r="A78" s="85">
        <v>77</v>
      </c>
      <c r="B78" s="85">
        <v>0.5679348229302803</v>
      </c>
      <c r="C78" s="187">
        <v>43831</v>
      </c>
      <c r="D78" s="80">
        <v>39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</row>
    <row r="79" spans="1:17" x14ac:dyDescent="0.25">
      <c r="A79" s="85">
        <v>78</v>
      </c>
      <c r="B79" s="85">
        <v>0.45995837888527519</v>
      </c>
      <c r="C79" s="187">
        <v>43831</v>
      </c>
      <c r="D79" s="80">
        <v>39</v>
      </c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</row>
    <row r="80" spans="1:17" x14ac:dyDescent="0.25">
      <c r="A80" s="85">
        <v>79</v>
      </c>
      <c r="B80" s="85">
        <v>0.76309277687832766</v>
      </c>
      <c r="C80" s="187">
        <v>43831</v>
      </c>
      <c r="D80" s="80">
        <v>39</v>
      </c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</row>
    <row r="81" spans="1:17" x14ac:dyDescent="0.25">
      <c r="A81" s="85">
        <v>80</v>
      </c>
      <c r="B81" s="85">
        <v>0.72599039307363999</v>
      </c>
      <c r="C81" s="187">
        <v>43831</v>
      </c>
      <c r="D81" s="80">
        <v>39</v>
      </c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</row>
    <row r="82" spans="1:17" x14ac:dyDescent="0.25">
      <c r="A82" s="85">
        <v>81</v>
      </c>
      <c r="B82" s="85">
        <v>0.31011408610964364</v>
      </c>
      <c r="C82" s="187">
        <v>43831</v>
      </c>
      <c r="D82" s="80">
        <v>39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</row>
    <row r="83" spans="1:17" x14ac:dyDescent="0.25">
      <c r="A83" s="85">
        <v>82</v>
      </c>
      <c r="B83" s="85">
        <v>0.64283741766663793</v>
      </c>
      <c r="C83" s="187">
        <v>43831</v>
      </c>
      <c r="D83" s="80">
        <v>39</v>
      </c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</row>
    <row r="85" spans="1:17" x14ac:dyDescent="0.25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3"/>
  <sheetViews>
    <sheetView topLeftCell="A31" workbookViewId="0">
      <selection activeCell="E9" sqref="E9"/>
    </sheetView>
  </sheetViews>
  <sheetFormatPr defaultRowHeight="15" x14ac:dyDescent="0.25"/>
  <cols>
    <col min="1" max="1" width="9.140625" customWidth="1"/>
    <col min="2" max="2" width="37.42578125" customWidth="1"/>
  </cols>
  <sheetData>
    <row r="1" spans="1:3" ht="15.75" x14ac:dyDescent="0.25">
      <c r="A1" s="84" t="s">
        <v>0</v>
      </c>
      <c r="B1" s="84"/>
      <c r="C1" s="84">
        <v>2019</v>
      </c>
    </row>
    <row r="2" spans="1:3" ht="15.75" x14ac:dyDescent="0.25">
      <c r="A2" s="84">
        <v>1</v>
      </c>
      <c r="B2" s="84" t="s">
        <v>1</v>
      </c>
      <c r="C2" s="90">
        <v>27.1</v>
      </c>
    </row>
    <row r="3" spans="1:3" ht="15.75" x14ac:dyDescent="0.25">
      <c r="A3" s="84">
        <v>2</v>
      </c>
      <c r="B3" s="84" t="s">
        <v>2</v>
      </c>
      <c r="C3" s="90">
        <v>34.9</v>
      </c>
    </row>
    <row r="4" spans="1:3" ht="15.75" x14ac:dyDescent="0.25">
      <c r="A4" s="84">
        <v>3</v>
      </c>
      <c r="B4" s="84" t="s">
        <v>3</v>
      </c>
      <c r="C4" s="90">
        <v>29.1</v>
      </c>
    </row>
    <row r="5" spans="1:3" ht="15.75" x14ac:dyDescent="0.25">
      <c r="A5" s="84">
        <v>4</v>
      </c>
      <c r="B5" s="84" t="s">
        <v>4</v>
      </c>
      <c r="C5" s="90">
        <v>52.2</v>
      </c>
    </row>
    <row r="6" spans="1:3" ht="15.75" x14ac:dyDescent="0.25">
      <c r="A6" s="84">
        <v>5</v>
      </c>
      <c r="B6" s="84" t="s">
        <v>5</v>
      </c>
      <c r="C6" s="90">
        <v>21.4</v>
      </c>
    </row>
    <row r="7" spans="1:3" ht="15.75" x14ac:dyDescent="0.25">
      <c r="A7" s="84">
        <v>6</v>
      </c>
      <c r="B7" s="84" t="s">
        <v>6</v>
      </c>
      <c r="C7" s="90">
        <v>29.8</v>
      </c>
    </row>
    <row r="8" spans="1:3" ht="15.75" x14ac:dyDescent="0.25">
      <c r="A8" s="84">
        <v>7</v>
      </c>
      <c r="B8" s="84" t="s">
        <v>7</v>
      </c>
      <c r="C8" s="90">
        <v>60.2</v>
      </c>
    </row>
    <row r="9" spans="1:3" ht="15.75" x14ac:dyDescent="0.25">
      <c r="A9" s="84">
        <v>8</v>
      </c>
      <c r="B9" s="84" t="s">
        <v>8</v>
      </c>
      <c r="C9" s="90">
        <v>30</v>
      </c>
    </row>
    <row r="10" spans="1:3" ht="15.75" x14ac:dyDescent="0.25">
      <c r="A10" s="84">
        <v>9</v>
      </c>
      <c r="B10" s="84" t="s">
        <v>9</v>
      </c>
      <c r="C10" s="90">
        <v>24</v>
      </c>
    </row>
    <row r="11" spans="1:3" ht="15.75" x14ac:dyDescent="0.25">
      <c r="A11" s="84">
        <v>10</v>
      </c>
      <c r="B11" s="84" t="s">
        <v>10</v>
      </c>
      <c r="C11" s="90">
        <v>44.3</v>
      </c>
    </row>
    <row r="12" spans="1:3" ht="15.75" x14ac:dyDescent="0.25">
      <c r="A12" s="84">
        <v>11</v>
      </c>
      <c r="B12" s="84" t="s">
        <v>11</v>
      </c>
      <c r="C12" s="90">
        <v>24.7</v>
      </c>
    </row>
    <row r="13" spans="1:3" ht="15.75" x14ac:dyDescent="0.25">
      <c r="A13" s="84">
        <v>12</v>
      </c>
      <c r="B13" s="84" t="s">
        <v>12</v>
      </c>
      <c r="C13" s="90">
        <v>39.6</v>
      </c>
    </row>
    <row r="14" spans="1:3" ht="15.75" x14ac:dyDescent="0.25">
      <c r="A14" s="84">
        <v>13</v>
      </c>
      <c r="B14" s="84" t="s">
        <v>13</v>
      </c>
      <c r="C14" s="90">
        <v>49.8</v>
      </c>
    </row>
    <row r="15" spans="1:3" ht="15.75" x14ac:dyDescent="0.25">
      <c r="A15" s="84">
        <v>14</v>
      </c>
      <c r="B15" s="84" t="s">
        <v>14</v>
      </c>
      <c r="C15" s="90">
        <v>34.5</v>
      </c>
    </row>
    <row r="16" spans="1:3" ht="15.75" x14ac:dyDescent="0.25">
      <c r="A16" s="84">
        <v>15</v>
      </c>
      <c r="B16" s="84" t="s">
        <v>15</v>
      </c>
      <c r="C16" s="90">
        <v>84.2</v>
      </c>
    </row>
    <row r="17" spans="1:3" ht="15.75" x14ac:dyDescent="0.25">
      <c r="A17" s="84">
        <v>16</v>
      </c>
      <c r="B17" s="84" t="s">
        <v>16</v>
      </c>
      <c r="C17" s="90">
        <v>25.7</v>
      </c>
    </row>
    <row r="18" spans="1:3" ht="15.75" x14ac:dyDescent="0.25">
      <c r="A18" s="84">
        <v>17</v>
      </c>
      <c r="B18" s="84" t="s">
        <v>17</v>
      </c>
      <c r="C18" s="90">
        <v>36.200000000000003</v>
      </c>
    </row>
    <row r="19" spans="1:3" ht="15.75" x14ac:dyDescent="0.25">
      <c r="A19" s="84">
        <v>18</v>
      </c>
      <c r="B19" s="84" t="s">
        <v>18</v>
      </c>
      <c r="C19" s="90">
        <v>2.6</v>
      </c>
    </row>
    <row r="20" spans="1:3" ht="15.75" x14ac:dyDescent="0.25">
      <c r="A20" s="84">
        <v>19</v>
      </c>
      <c r="B20" s="84" t="s">
        <v>19</v>
      </c>
      <c r="C20" s="90">
        <v>180.5</v>
      </c>
    </row>
    <row r="21" spans="1:3" ht="15.75" x14ac:dyDescent="0.25">
      <c r="A21" s="84">
        <v>20</v>
      </c>
      <c r="B21" s="84" t="s">
        <v>20</v>
      </c>
      <c r="C21" s="90">
        <v>416.8</v>
      </c>
    </row>
    <row r="22" spans="1:3" ht="15.75" x14ac:dyDescent="0.25">
      <c r="A22" s="84">
        <v>21</v>
      </c>
      <c r="B22" s="84" t="s">
        <v>21</v>
      </c>
      <c r="C22" s="90">
        <v>589.9</v>
      </c>
    </row>
    <row r="23" spans="1:3" ht="15.75" x14ac:dyDescent="0.25">
      <c r="A23" s="84">
        <v>22</v>
      </c>
      <c r="B23" s="84" t="s">
        <v>22</v>
      </c>
      <c r="C23" s="90">
        <v>144.5</v>
      </c>
    </row>
    <row r="24" spans="1:3" ht="15.75" x14ac:dyDescent="0.25">
      <c r="A24" s="84">
        <v>23</v>
      </c>
      <c r="B24" s="84" t="s">
        <v>23</v>
      </c>
      <c r="C24" s="90">
        <v>15.1</v>
      </c>
    </row>
    <row r="25" spans="1:3" ht="15.75" x14ac:dyDescent="0.25">
      <c r="A25" s="84">
        <v>24</v>
      </c>
      <c r="B25" s="84" t="s">
        <v>24</v>
      </c>
      <c r="C25" s="90">
        <v>83.9</v>
      </c>
    </row>
    <row r="26" spans="1:3" ht="15.75" x14ac:dyDescent="0.25">
      <c r="A26" s="84">
        <v>25</v>
      </c>
      <c r="B26" s="84" t="s">
        <v>25</v>
      </c>
      <c r="C26" s="90">
        <v>144.9</v>
      </c>
    </row>
    <row r="27" spans="1:3" ht="15.75" x14ac:dyDescent="0.25">
      <c r="A27" s="84">
        <v>26</v>
      </c>
      <c r="B27" s="84" t="s">
        <v>26</v>
      </c>
      <c r="C27" s="90">
        <v>54.5</v>
      </c>
    </row>
    <row r="28" spans="1:3" ht="15.75" x14ac:dyDescent="0.25">
      <c r="A28" s="84">
        <v>27</v>
      </c>
      <c r="B28" s="84" t="s">
        <v>27</v>
      </c>
      <c r="C28" s="90">
        <v>55.4</v>
      </c>
    </row>
    <row r="29" spans="1:3" ht="15.75" x14ac:dyDescent="0.25">
      <c r="A29" s="84">
        <v>28</v>
      </c>
      <c r="B29" s="84" t="s">
        <v>28</v>
      </c>
      <c r="C29" s="90">
        <v>1.4</v>
      </c>
    </row>
    <row r="30" spans="1:3" ht="15.75" x14ac:dyDescent="0.25">
      <c r="A30" s="84">
        <v>29</v>
      </c>
      <c r="B30" s="84" t="s">
        <v>29</v>
      </c>
      <c r="C30" s="90">
        <v>7.8</v>
      </c>
    </row>
    <row r="31" spans="1:3" ht="15.75" x14ac:dyDescent="0.25">
      <c r="A31" s="84">
        <v>30</v>
      </c>
      <c r="B31" s="84" t="s">
        <v>30</v>
      </c>
      <c r="C31" s="90">
        <v>74.7</v>
      </c>
    </row>
    <row r="32" spans="1:3" ht="15.75" x14ac:dyDescent="0.25">
      <c r="A32" s="84">
        <v>31</v>
      </c>
      <c r="B32" s="84" t="s">
        <v>31</v>
      </c>
      <c r="C32" s="90">
        <v>26.1</v>
      </c>
    </row>
    <row r="33" spans="1:3" ht="15.75" x14ac:dyDescent="0.25">
      <c r="A33" s="84">
        <v>32</v>
      </c>
      <c r="B33" s="84" t="s">
        <v>32</v>
      </c>
      <c r="C33" s="90">
        <v>75.5</v>
      </c>
    </row>
    <row r="34" spans="1:3" ht="15.75" x14ac:dyDescent="0.25">
      <c r="A34" s="84">
        <v>33</v>
      </c>
      <c r="B34" s="84" t="s">
        <v>33</v>
      </c>
      <c r="C34" s="90">
        <v>49</v>
      </c>
    </row>
    <row r="35" spans="1:3" ht="15.75" x14ac:dyDescent="0.25">
      <c r="A35" s="84">
        <v>34</v>
      </c>
      <c r="B35" s="84" t="s">
        <v>34</v>
      </c>
      <c r="C35" s="90">
        <v>112.9</v>
      </c>
    </row>
    <row r="36" spans="1:3" ht="15.75" x14ac:dyDescent="0.25">
      <c r="A36" s="84">
        <v>35</v>
      </c>
      <c r="B36" s="84" t="s">
        <v>35</v>
      </c>
      <c r="C36" s="90">
        <v>101</v>
      </c>
    </row>
    <row r="37" spans="1:3" ht="15.75" x14ac:dyDescent="0.25">
      <c r="A37" s="84">
        <v>36</v>
      </c>
      <c r="B37" s="84" t="s">
        <v>36</v>
      </c>
      <c r="C37" s="90">
        <v>0.9</v>
      </c>
    </row>
    <row r="38" spans="1:3" ht="15.75" x14ac:dyDescent="0.25">
      <c r="A38" s="84">
        <v>37</v>
      </c>
      <c r="B38" s="84" t="s">
        <v>37</v>
      </c>
      <c r="C38" s="90">
        <v>50.3</v>
      </c>
    </row>
    <row r="39" spans="1:3" ht="15.75" x14ac:dyDescent="0.25">
      <c r="A39" s="84">
        <v>38</v>
      </c>
      <c r="B39" s="84" t="s">
        <v>38</v>
      </c>
      <c r="C39" s="90">
        <v>3.6</v>
      </c>
    </row>
    <row r="40" spans="1:3" ht="15.75" x14ac:dyDescent="0.25">
      <c r="A40" s="84">
        <v>39</v>
      </c>
      <c r="B40" s="84" t="s">
        <v>42</v>
      </c>
      <c r="C40" s="90">
        <v>12.5</v>
      </c>
    </row>
    <row r="41" spans="1:3" ht="15.75" x14ac:dyDescent="0.25">
      <c r="A41" s="84">
        <v>40</v>
      </c>
      <c r="B41" s="84" t="s">
        <v>39</v>
      </c>
      <c r="C41" s="90">
        <v>14.3</v>
      </c>
    </row>
    <row r="42" spans="1:3" ht="15.75" x14ac:dyDescent="0.25">
      <c r="A42" s="84">
        <v>41</v>
      </c>
      <c r="B42" s="84" t="s">
        <v>43</v>
      </c>
      <c r="C42" s="90">
        <v>8</v>
      </c>
    </row>
    <row r="43" spans="1:3" ht="15.75" x14ac:dyDescent="0.25">
      <c r="A43" s="84">
        <v>42</v>
      </c>
      <c r="B43" s="84" t="s">
        <v>40</v>
      </c>
      <c r="C43" s="90">
        <v>15.6</v>
      </c>
    </row>
    <row r="44" spans="1:3" ht="15.75" x14ac:dyDescent="0.25">
      <c r="A44" s="84">
        <v>43</v>
      </c>
      <c r="B44" s="84" t="s">
        <v>41</v>
      </c>
      <c r="C44" s="90">
        <v>66.2</v>
      </c>
    </row>
    <row r="45" spans="1:3" ht="15.75" x14ac:dyDescent="0.25">
      <c r="A45" s="84">
        <v>44</v>
      </c>
      <c r="B45" s="84" t="s">
        <v>44</v>
      </c>
      <c r="C45" s="90">
        <v>142.9</v>
      </c>
    </row>
    <row r="46" spans="1:3" ht="15.75" x14ac:dyDescent="0.25">
      <c r="A46" s="84">
        <v>45</v>
      </c>
      <c r="B46" s="84" t="s">
        <v>45</v>
      </c>
      <c r="C46" s="90">
        <v>23.4</v>
      </c>
    </row>
    <row r="47" spans="1:3" ht="15.75" x14ac:dyDescent="0.25">
      <c r="A47" s="84">
        <v>46</v>
      </c>
      <c r="B47" s="84" t="s">
        <v>46</v>
      </c>
      <c r="C47" s="90">
        <v>26.1</v>
      </c>
    </row>
    <row r="48" spans="1:3" ht="15.75" x14ac:dyDescent="0.25">
      <c r="A48" s="84">
        <v>47</v>
      </c>
      <c r="B48" s="84" t="s">
        <v>47</v>
      </c>
      <c r="C48" s="90">
        <v>67.8</v>
      </c>
    </row>
    <row r="49" spans="1:3" ht="15.75" x14ac:dyDescent="0.25">
      <c r="A49" s="84">
        <v>48</v>
      </c>
      <c r="B49" s="84" t="s">
        <v>48</v>
      </c>
      <c r="C49" s="90">
        <v>42.1</v>
      </c>
    </row>
    <row r="50" spans="1:3" ht="15.75" x14ac:dyDescent="0.25">
      <c r="A50" s="84">
        <v>49</v>
      </c>
      <c r="B50" s="84" t="s">
        <v>49</v>
      </c>
      <c r="C50" s="90">
        <v>18.3</v>
      </c>
    </row>
    <row r="51" spans="1:3" ht="15.75" x14ac:dyDescent="0.25">
      <c r="A51" s="84">
        <v>50</v>
      </c>
      <c r="B51" s="84" t="s">
        <v>50</v>
      </c>
      <c r="C51" s="90">
        <v>160.19999999999999</v>
      </c>
    </row>
    <row r="52" spans="1:3" ht="15.75" x14ac:dyDescent="0.25">
      <c r="A52" s="84">
        <v>51</v>
      </c>
      <c r="B52" s="84" t="s">
        <v>51</v>
      </c>
      <c r="C52" s="90">
        <v>120.4</v>
      </c>
    </row>
    <row r="53" spans="1:3" ht="15.75" x14ac:dyDescent="0.25">
      <c r="A53" s="84">
        <v>52</v>
      </c>
      <c r="B53" s="84" t="s">
        <v>52</v>
      </c>
      <c r="C53" s="90">
        <v>76.599999999999994</v>
      </c>
    </row>
    <row r="54" spans="1:3" ht="15.75" x14ac:dyDescent="0.25">
      <c r="A54" s="84">
        <v>53</v>
      </c>
      <c r="B54" s="84" t="s">
        <v>53</v>
      </c>
      <c r="C54" s="90">
        <v>123.7</v>
      </c>
    </row>
    <row r="55" spans="1:3" ht="15.75" x14ac:dyDescent="0.25">
      <c r="A55" s="84">
        <v>54</v>
      </c>
      <c r="B55" s="84" t="s">
        <v>54</v>
      </c>
      <c r="C55" s="90">
        <v>43.4</v>
      </c>
    </row>
    <row r="56" spans="1:3" ht="15.75" x14ac:dyDescent="0.25">
      <c r="A56" s="84">
        <v>55</v>
      </c>
      <c r="B56" s="84" t="s">
        <v>55</v>
      </c>
      <c r="C56" s="90">
        <v>53.6</v>
      </c>
    </row>
    <row r="57" spans="1:3" ht="15.75" x14ac:dyDescent="0.25">
      <c r="A57" s="84">
        <v>56</v>
      </c>
      <c r="B57" s="84" t="s">
        <v>56</v>
      </c>
      <c r="C57" s="90">
        <v>101.2</v>
      </c>
    </row>
    <row r="58" spans="1:3" ht="15.75" x14ac:dyDescent="0.25">
      <c r="A58" s="84">
        <v>57</v>
      </c>
      <c r="B58" s="84" t="s">
        <v>57</v>
      </c>
      <c r="C58" s="90">
        <v>37.200000000000003</v>
      </c>
    </row>
    <row r="59" spans="1:3" ht="15.75" x14ac:dyDescent="0.25">
      <c r="A59" s="84">
        <v>58</v>
      </c>
      <c r="B59" s="84" t="s">
        <v>58</v>
      </c>
      <c r="C59" s="90">
        <v>71.5</v>
      </c>
    </row>
    <row r="60" spans="1:3" ht="15.75" x14ac:dyDescent="0.25">
      <c r="A60" s="84">
        <v>59</v>
      </c>
      <c r="B60" s="84" t="s">
        <v>59</v>
      </c>
      <c r="C60" s="90">
        <v>194.3</v>
      </c>
    </row>
    <row r="61" spans="1:3" ht="15.75" x14ac:dyDescent="0.25">
      <c r="A61" s="84">
        <v>60</v>
      </c>
      <c r="B61" s="84" t="s">
        <v>60</v>
      </c>
      <c r="C61" s="90">
        <v>1464.2</v>
      </c>
    </row>
    <row r="62" spans="1:3" ht="15.75" x14ac:dyDescent="0.25">
      <c r="A62" s="84">
        <v>61</v>
      </c>
      <c r="B62" s="84" t="s">
        <v>61</v>
      </c>
      <c r="C62" s="84">
        <v>88.5</v>
      </c>
    </row>
    <row r="63" spans="1:3" ht="15.75" x14ac:dyDescent="0.25">
      <c r="A63" s="84">
        <v>62</v>
      </c>
      <c r="B63" s="84" t="s">
        <v>62</v>
      </c>
      <c r="C63" s="84">
        <v>92.9</v>
      </c>
    </row>
    <row r="64" spans="1:3" ht="15.75" x14ac:dyDescent="0.25">
      <c r="A64" s="84">
        <v>63</v>
      </c>
      <c r="B64" s="84" t="s">
        <v>63</v>
      </c>
      <c r="C64" s="84">
        <v>351.3</v>
      </c>
    </row>
    <row r="65" spans="1:3" ht="15.75" x14ac:dyDescent="0.25">
      <c r="A65" s="84">
        <v>64</v>
      </c>
      <c r="B65" s="84" t="s">
        <v>64</v>
      </c>
      <c r="C65" s="84">
        <v>168.6</v>
      </c>
    </row>
    <row r="66" spans="1:3" ht="15.75" x14ac:dyDescent="0.25">
      <c r="A66" s="84">
        <v>65</v>
      </c>
      <c r="B66" s="84" t="s">
        <v>65</v>
      </c>
      <c r="C66" s="90">
        <v>61.6</v>
      </c>
    </row>
    <row r="67" spans="1:3" ht="15.75" x14ac:dyDescent="0.25">
      <c r="A67" s="84">
        <v>66</v>
      </c>
      <c r="B67" s="84" t="s">
        <v>66</v>
      </c>
      <c r="C67" s="90">
        <v>168</v>
      </c>
    </row>
    <row r="68" spans="1:3" ht="15.75" x14ac:dyDescent="0.25">
      <c r="A68" s="84">
        <v>67</v>
      </c>
      <c r="B68" s="84" t="s">
        <v>73</v>
      </c>
      <c r="C68" s="84">
        <v>431.9</v>
      </c>
    </row>
    <row r="69" spans="1:3" ht="15.75" x14ac:dyDescent="0.25">
      <c r="A69" s="84">
        <v>68</v>
      </c>
      <c r="B69" s="84" t="s">
        <v>67</v>
      </c>
      <c r="C69" s="84">
        <v>2366.8000000000002</v>
      </c>
    </row>
    <row r="70" spans="1:3" ht="15.75" x14ac:dyDescent="0.25">
      <c r="A70" s="84">
        <v>69</v>
      </c>
      <c r="B70" s="84" t="s">
        <v>68</v>
      </c>
      <c r="C70" s="90">
        <v>774.8</v>
      </c>
    </row>
    <row r="71" spans="1:3" ht="15.75" x14ac:dyDescent="0.25">
      <c r="A71" s="84">
        <v>70</v>
      </c>
      <c r="B71" s="84" t="s">
        <v>69</v>
      </c>
      <c r="C71" s="90">
        <v>95.7</v>
      </c>
    </row>
    <row r="72" spans="1:3" ht="15.75" x14ac:dyDescent="0.25">
      <c r="A72" s="84">
        <v>71</v>
      </c>
      <c r="B72" s="84" t="s">
        <v>70</v>
      </c>
      <c r="C72" s="90">
        <v>177.8</v>
      </c>
    </row>
    <row r="73" spans="1:3" ht="15.75" x14ac:dyDescent="0.25">
      <c r="A73" s="84">
        <v>72</v>
      </c>
      <c r="B73" s="84" t="s">
        <v>71</v>
      </c>
      <c r="C73" s="90">
        <v>141.1</v>
      </c>
    </row>
    <row r="74" spans="1:3" ht="15.75" x14ac:dyDescent="0.25">
      <c r="A74" s="84">
        <v>73</v>
      </c>
      <c r="B74" s="84" t="s">
        <v>72</v>
      </c>
      <c r="C74" s="90">
        <v>314.39999999999998</v>
      </c>
    </row>
    <row r="75" spans="1:3" ht="15.75" x14ac:dyDescent="0.25">
      <c r="A75" s="84">
        <v>74</v>
      </c>
      <c r="B75" s="84" t="s">
        <v>74</v>
      </c>
      <c r="C75" s="84">
        <v>3083.5</v>
      </c>
    </row>
    <row r="76" spans="1:3" ht="15.75" x14ac:dyDescent="0.25">
      <c r="A76" s="84">
        <v>75</v>
      </c>
      <c r="B76" s="84" t="s">
        <v>75</v>
      </c>
      <c r="C76" s="90">
        <v>464.3</v>
      </c>
    </row>
    <row r="77" spans="1:3" ht="15.75" x14ac:dyDescent="0.25">
      <c r="A77" s="84">
        <v>76</v>
      </c>
      <c r="B77" s="84" t="s">
        <v>76</v>
      </c>
      <c r="C77" s="90">
        <v>164.7</v>
      </c>
    </row>
    <row r="78" spans="1:3" ht="15.75" x14ac:dyDescent="0.25">
      <c r="A78" s="84">
        <v>77</v>
      </c>
      <c r="B78" s="84" t="s">
        <v>77</v>
      </c>
      <c r="C78" s="90">
        <v>787.6</v>
      </c>
    </row>
    <row r="79" spans="1:3" ht="15.75" x14ac:dyDescent="0.25">
      <c r="A79" s="84">
        <v>78</v>
      </c>
      <c r="B79" s="84" t="s">
        <v>78</v>
      </c>
      <c r="C79" s="90">
        <v>361.9</v>
      </c>
    </row>
    <row r="80" spans="1:3" ht="15.75" x14ac:dyDescent="0.25">
      <c r="A80" s="84">
        <v>79</v>
      </c>
      <c r="B80" s="84" t="s">
        <v>79</v>
      </c>
      <c r="C80" s="90">
        <v>462.5</v>
      </c>
    </row>
    <row r="81" spans="1:3" ht="15.75" x14ac:dyDescent="0.25">
      <c r="A81" s="84">
        <v>80</v>
      </c>
      <c r="B81" s="84" t="s">
        <v>80</v>
      </c>
      <c r="C81" s="90">
        <v>87.1</v>
      </c>
    </row>
    <row r="82" spans="1:3" ht="15.75" x14ac:dyDescent="0.25">
      <c r="A82" s="84">
        <v>81</v>
      </c>
      <c r="B82" s="84" t="s">
        <v>81</v>
      </c>
      <c r="C82" s="90">
        <v>36.299999999999997</v>
      </c>
    </row>
    <row r="83" spans="1:3" ht="15.75" x14ac:dyDescent="0.25">
      <c r="A83" s="84">
        <v>82</v>
      </c>
      <c r="B83" s="84" t="s">
        <v>82</v>
      </c>
      <c r="C83" s="90">
        <v>721.5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R83"/>
  <sheetViews>
    <sheetView topLeftCell="F1" zoomScale="90" zoomScaleNormal="90" workbookViewId="0">
      <selection activeCell="P2" sqref="P2"/>
    </sheetView>
  </sheetViews>
  <sheetFormatPr defaultRowHeight="15.75" x14ac:dyDescent="0.25"/>
  <cols>
    <col min="1" max="1" width="9.140625" style="80"/>
    <col min="2" max="2" width="36.140625" style="80" customWidth="1"/>
    <col min="3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91">
        <v>8.6999999999999993</v>
      </c>
      <c r="D2" s="91">
        <v>10.4</v>
      </c>
      <c r="E2" s="91">
        <v>16</v>
      </c>
      <c r="F2" s="91">
        <v>10.8</v>
      </c>
      <c r="G2" s="91">
        <v>11.1</v>
      </c>
      <c r="H2" s="92">
        <v>10.9</v>
      </c>
      <c r="I2" s="91">
        <v>12.2</v>
      </c>
      <c r="J2" s="91">
        <v>9.1999999999999993</v>
      </c>
      <c r="K2" s="91">
        <v>9.6</v>
      </c>
      <c r="L2" s="92">
        <v>11.5</v>
      </c>
      <c r="M2" s="92">
        <v>12.7</v>
      </c>
      <c r="N2" s="92">
        <v>14.1</v>
      </c>
      <c r="O2" s="92">
        <v>14.8</v>
      </c>
      <c r="P2" s="93">
        <f>18.2*0.58</f>
        <v>10.555999999999999</v>
      </c>
      <c r="Q2" s="93">
        <f>15.1*0.58</f>
        <v>8.7579999999999991</v>
      </c>
      <c r="R2" s="94">
        <f>18.0118946474087*0.58</f>
        <v>10.446898895497045</v>
      </c>
    </row>
    <row r="3" spans="1:18" x14ac:dyDescent="0.25">
      <c r="A3" s="84">
        <v>2</v>
      </c>
      <c r="B3" s="84" t="s">
        <v>2</v>
      </c>
      <c r="C3" s="91">
        <v>6.2</v>
      </c>
      <c r="D3" s="91">
        <v>6.3</v>
      </c>
      <c r="E3" s="91">
        <v>9.6</v>
      </c>
      <c r="F3" s="91">
        <v>7.3</v>
      </c>
      <c r="G3" s="91">
        <v>7.9</v>
      </c>
      <c r="H3" s="92">
        <v>8.8000000000000007</v>
      </c>
      <c r="I3" s="91">
        <v>9.6</v>
      </c>
      <c r="J3" s="91">
        <v>8.9</v>
      </c>
      <c r="K3" s="91">
        <v>7.8</v>
      </c>
      <c r="L3" s="92">
        <v>8.1999999999999993</v>
      </c>
      <c r="M3" s="92">
        <v>7.7</v>
      </c>
      <c r="N3" s="92">
        <v>6.8</v>
      </c>
      <c r="O3" s="92">
        <v>6.2</v>
      </c>
      <c r="P3" s="93">
        <f>8.2*0.58</f>
        <v>4.7559999999999993</v>
      </c>
      <c r="Q3" s="93">
        <f>10.1*0.58</f>
        <v>5.8579999999999997</v>
      </c>
      <c r="R3" s="94">
        <f>10.9433962264151*0.58</f>
        <v>6.3471698113207573</v>
      </c>
    </row>
    <row r="4" spans="1:18" x14ac:dyDescent="0.25">
      <c r="A4" s="84">
        <v>3</v>
      </c>
      <c r="B4" s="84" t="s">
        <v>3</v>
      </c>
      <c r="C4" s="91">
        <v>10.7</v>
      </c>
      <c r="D4" s="91">
        <v>12.9</v>
      </c>
      <c r="E4" s="91">
        <v>10.8</v>
      </c>
      <c r="F4" s="91">
        <v>8.1999999999999993</v>
      </c>
      <c r="G4" s="91">
        <v>10.199999999999999</v>
      </c>
      <c r="H4" s="92">
        <v>9.5</v>
      </c>
      <c r="I4" s="91">
        <v>10.8</v>
      </c>
      <c r="J4" s="91">
        <v>12.8</v>
      </c>
      <c r="K4" s="91">
        <v>10.7</v>
      </c>
      <c r="L4" s="92">
        <v>12.6</v>
      </c>
      <c r="M4" s="92">
        <v>11.2</v>
      </c>
      <c r="N4" s="92">
        <v>10.4</v>
      </c>
      <c r="O4" s="92">
        <v>9</v>
      </c>
      <c r="P4" s="93">
        <f>13*0.58</f>
        <v>7.5399999999999991</v>
      </c>
      <c r="Q4" s="93">
        <f>10.5*0.58</f>
        <v>6.09</v>
      </c>
      <c r="R4" s="94">
        <f>12.6482213438735*0.58</f>
        <v>7.3359683794466291</v>
      </c>
    </row>
    <row r="5" spans="1:18" x14ac:dyDescent="0.25">
      <c r="A5" s="84">
        <v>4</v>
      </c>
      <c r="B5" s="84" t="s">
        <v>4</v>
      </c>
      <c r="C5" s="91">
        <v>12.2</v>
      </c>
      <c r="D5" s="91">
        <v>11.1</v>
      </c>
      <c r="E5" s="91">
        <v>11.8</v>
      </c>
      <c r="F5" s="91">
        <v>11.6</v>
      </c>
      <c r="G5" s="91">
        <v>8.6</v>
      </c>
      <c r="H5" s="92">
        <v>8.6</v>
      </c>
      <c r="I5" s="91">
        <v>9.1999999999999993</v>
      </c>
      <c r="J5" s="91">
        <v>9</v>
      </c>
      <c r="K5" s="91">
        <v>10</v>
      </c>
      <c r="L5" s="92">
        <v>10.3</v>
      </c>
      <c r="M5" s="92">
        <v>11</v>
      </c>
      <c r="N5" s="92">
        <v>11.6</v>
      </c>
      <c r="O5" s="92">
        <v>11.7</v>
      </c>
      <c r="P5" s="93">
        <f>17.1*0.58</f>
        <v>9.9179999999999993</v>
      </c>
      <c r="Q5" s="93">
        <f>13.4*0.58</f>
        <v>7.7719999999999994</v>
      </c>
      <c r="R5" s="94">
        <f>15.9375*0.58</f>
        <v>9.2437499999999986</v>
      </c>
    </row>
    <row r="6" spans="1:18" x14ac:dyDescent="0.25">
      <c r="A6" s="84">
        <v>5</v>
      </c>
      <c r="B6" s="84" t="s">
        <v>5</v>
      </c>
      <c r="C6" s="91">
        <v>4.5</v>
      </c>
      <c r="D6" s="91">
        <v>3.6</v>
      </c>
      <c r="E6" s="91">
        <v>3.5</v>
      </c>
      <c r="F6" s="91">
        <v>5.2</v>
      </c>
      <c r="G6" s="91">
        <v>5.7</v>
      </c>
      <c r="H6" s="92">
        <v>5.8</v>
      </c>
      <c r="I6" s="91">
        <v>5.0999999999999996</v>
      </c>
      <c r="J6" s="91">
        <v>8.5</v>
      </c>
      <c r="K6" s="91">
        <v>8.4</v>
      </c>
      <c r="L6" s="92">
        <v>6.3</v>
      </c>
      <c r="M6" s="92">
        <v>4.4000000000000004</v>
      </c>
      <c r="N6" s="92">
        <v>3.2</v>
      </c>
      <c r="O6" s="92">
        <v>4.2</v>
      </c>
      <c r="P6" s="93">
        <f>8.1*0.58</f>
        <v>4.6979999999999995</v>
      </c>
      <c r="Q6" s="93">
        <f>10*0.58</f>
        <v>5.8</v>
      </c>
      <c r="R6" s="94">
        <f>16.1961367013373*0.58</f>
        <v>9.3937592867756319</v>
      </c>
    </row>
    <row r="7" spans="1:18" x14ac:dyDescent="0.25">
      <c r="A7" s="84">
        <v>6</v>
      </c>
      <c r="B7" s="84" t="s">
        <v>6</v>
      </c>
      <c r="C7" s="91">
        <v>14</v>
      </c>
      <c r="D7" s="91">
        <v>12</v>
      </c>
      <c r="E7" s="91">
        <v>12</v>
      </c>
      <c r="F7" s="91">
        <v>8.9</v>
      </c>
      <c r="G7" s="91">
        <v>7.9</v>
      </c>
      <c r="H7" s="92">
        <v>8.3000000000000007</v>
      </c>
      <c r="I7" s="91">
        <v>7.9</v>
      </c>
      <c r="J7" s="91">
        <v>10.6</v>
      </c>
      <c r="K7" s="91">
        <v>10.9</v>
      </c>
      <c r="L7" s="92">
        <v>9.6999999999999993</v>
      </c>
      <c r="M7" s="92">
        <v>10.9</v>
      </c>
      <c r="N7" s="92">
        <v>8.5</v>
      </c>
      <c r="O7" s="92">
        <v>9</v>
      </c>
      <c r="P7" s="93">
        <f>16.6*0.58</f>
        <v>9.6280000000000001</v>
      </c>
      <c r="Q7" s="93">
        <f>11.5*0.58</f>
        <v>6.67</v>
      </c>
      <c r="R7" s="94">
        <f>12.1140142517815*0.58</f>
        <v>7.0261282660332691</v>
      </c>
    </row>
    <row r="8" spans="1:18" x14ac:dyDescent="0.25">
      <c r="A8" s="84">
        <v>7</v>
      </c>
      <c r="B8" s="84" t="s">
        <v>7</v>
      </c>
      <c r="C8" s="91">
        <v>9.1999999999999993</v>
      </c>
      <c r="D8" s="91">
        <v>7.2</v>
      </c>
      <c r="E8" s="91">
        <v>9.6</v>
      </c>
      <c r="F8" s="91">
        <v>11.5</v>
      </c>
      <c r="G8" s="91">
        <v>8</v>
      </c>
      <c r="H8" s="92">
        <v>8.5</v>
      </c>
      <c r="I8" s="91">
        <v>9.1</v>
      </c>
      <c r="J8" s="91">
        <v>6</v>
      </c>
      <c r="K8" s="91">
        <v>7</v>
      </c>
      <c r="L8" s="92">
        <v>6</v>
      </c>
      <c r="M8" s="92">
        <v>8.1999999999999993</v>
      </c>
      <c r="N8" s="92">
        <v>8.6</v>
      </c>
      <c r="O8" s="92">
        <v>2.8</v>
      </c>
      <c r="P8" s="93">
        <f>5.8*0.58</f>
        <v>3.3639999999999999</v>
      </c>
      <c r="Q8" s="93">
        <f>4.6*0.58</f>
        <v>2.6679999999999997</v>
      </c>
      <c r="R8" s="94">
        <f>5.56521739130435*0.58</f>
        <v>3.2278260869565232</v>
      </c>
    </row>
    <row r="9" spans="1:18" x14ac:dyDescent="0.25">
      <c r="A9" s="84">
        <v>8</v>
      </c>
      <c r="B9" s="84" t="s">
        <v>8</v>
      </c>
      <c r="C9" s="91">
        <v>6.7</v>
      </c>
      <c r="D9" s="91">
        <v>8.5</v>
      </c>
      <c r="E9" s="91">
        <v>11</v>
      </c>
      <c r="F9" s="91">
        <v>8.5</v>
      </c>
      <c r="G9" s="91">
        <v>8.6</v>
      </c>
      <c r="H9" s="92">
        <v>7.1</v>
      </c>
      <c r="I9" s="91">
        <v>13.7</v>
      </c>
      <c r="J9" s="91">
        <v>13</v>
      </c>
      <c r="K9" s="91">
        <v>10.7</v>
      </c>
      <c r="L9" s="92">
        <v>9.9</v>
      </c>
      <c r="M9" s="92">
        <v>7.3</v>
      </c>
      <c r="N9" s="92">
        <v>6.5</v>
      </c>
      <c r="O9" s="92">
        <v>5</v>
      </c>
      <c r="P9" s="93">
        <f>8.9*0.58</f>
        <v>5.1619999999999999</v>
      </c>
      <c r="Q9" s="93">
        <f>5.4*0.58</f>
        <v>3.1320000000000001</v>
      </c>
      <c r="R9" s="94">
        <f>7.64411027568922*0.58</f>
        <v>4.4335839598997477</v>
      </c>
    </row>
    <row r="10" spans="1:18" x14ac:dyDescent="0.25">
      <c r="A10" s="84">
        <v>9</v>
      </c>
      <c r="B10" s="84" t="s">
        <v>9</v>
      </c>
      <c r="C10" s="91">
        <v>11.6</v>
      </c>
      <c r="D10" s="91">
        <v>9.5</v>
      </c>
      <c r="E10" s="91">
        <v>10.3</v>
      </c>
      <c r="F10" s="91">
        <v>10.8</v>
      </c>
      <c r="G10" s="91">
        <v>9.9</v>
      </c>
      <c r="H10" s="92">
        <v>8.9</v>
      </c>
      <c r="I10" s="91">
        <v>10</v>
      </c>
      <c r="J10" s="91">
        <v>14.1</v>
      </c>
      <c r="K10" s="91">
        <v>17.5</v>
      </c>
      <c r="L10" s="92">
        <v>18.600000000000001</v>
      </c>
      <c r="M10" s="92">
        <v>20</v>
      </c>
      <c r="N10" s="92">
        <v>19.2</v>
      </c>
      <c r="O10" s="92">
        <v>18.5</v>
      </c>
      <c r="P10" s="93">
        <v>23.6</v>
      </c>
      <c r="Q10" s="93">
        <f>11.1*0.58</f>
        <v>6.4379999999999997</v>
      </c>
      <c r="R10" s="94">
        <f>11.5068493150685*0.58</f>
        <v>6.6739726027397293</v>
      </c>
    </row>
    <row r="11" spans="1:18" x14ac:dyDescent="0.25">
      <c r="A11" s="84">
        <v>10</v>
      </c>
      <c r="B11" s="84" t="s">
        <v>10</v>
      </c>
      <c r="C11" s="91">
        <v>10</v>
      </c>
      <c r="D11" s="91">
        <v>8.1</v>
      </c>
      <c r="E11" s="91">
        <v>9.1</v>
      </c>
      <c r="F11" s="91">
        <v>7.6</v>
      </c>
      <c r="G11" s="91">
        <v>6.8</v>
      </c>
      <c r="H11" s="92">
        <v>6.7</v>
      </c>
      <c r="I11" s="91">
        <v>8.1</v>
      </c>
      <c r="J11" s="91">
        <v>8.5</v>
      </c>
      <c r="K11" s="91">
        <v>8.4</v>
      </c>
      <c r="L11" s="92">
        <v>8.6999999999999993</v>
      </c>
      <c r="M11" s="92">
        <v>8</v>
      </c>
      <c r="N11" s="92">
        <v>8.5</v>
      </c>
      <c r="O11" s="92">
        <v>8.9</v>
      </c>
      <c r="P11" s="93">
        <f>14.1*0.58</f>
        <v>8.177999999999999</v>
      </c>
      <c r="Q11" s="93">
        <f>8.6*0.58</f>
        <v>4.9879999999999995</v>
      </c>
      <c r="R11" s="94">
        <f>10.8295429932857*0.58</f>
        <v>6.2811349361057056</v>
      </c>
    </row>
    <row r="12" spans="1:18" x14ac:dyDescent="0.25">
      <c r="A12" s="84">
        <v>11</v>
      </c>
      <c r="B12" s="84" t="s">
        <v>11</v>
      </c>
      <c r="C12" s="91">
        <v>19.600000000000001</v>
      </c>
      <c r="D12" s="91">
        <v>13.4</v>
      </c>
      <c r="E12" s="91">
        <v>12</v>
      </c>
      <c r="F12" s="91">
        <v>11.9</v>
      </c>
      <c r="G12" s="91">
        <v>14.2</v>
      </c>
      <c r="H12" s="92">
        <v>11.5</v>
      </c>
      <c r="I12" s="91">
        <v>10.7</v>
      </c>
      <c r="J12" s="91">
        <v>10.1</v>
      </c>
      <c r="K12" s="91">
        <v>8.4</v>
      </c>
      <c r="L12" s="92">
        <v>8.4</v>
      </c>
      <c r="M12" s="92">
        <v>9.6</v>
      </c>
      <c r="N12" s="92">
        <v>7.4</v>
      </c>
      <c r="O12" s="92">
        <v>6.8</v>
      </c>
      <c r="P12" s="93">
        <f>8.6*0.58</f>
        <v>4.9879999999999995</v>
      </c>
      <c r="Q12" s="93">
        <f>10.4*0.58</f>
        <v>6.032</v>
      </c>
      <c r="R12" s="94">
        <f>13.6678200692042*0.58</f>
        <v>7.9273356401384358</v>
      </c>
    </row>
    <row r="13" spans="1:18" x14ac:dyDescent="0.25">
      <c r="A13" s="84">
        <v>12</v>
      </c>
      <c r="B13" s="84" t="s">
        <v>12</v>
      </c>
      <c r="C13" s="91">
        <v>7</v>
      </c>
      <c r="D13" s="91">
        <v>6.2</v>
      </c>
      <c r="E13" s="91">
        <v>4.7</v>
      </c>
      <c r="F13" s="91">
        <v>8.8000000000000007</v>
      </c>
      <c r="G13" s="91">
        <v>6.6</v>
      </c>
      <c r="H13" s="92">
        <v>7</v>
      </c>
      <c r="I13" s="91">
        <v>8.4</v>
      </c>
      <c r="J13" s="91">
        <v>11</v>
      </c>
      <c r="K13" s="91">
        <v>11.4</v>
      </c>
      <c r="L13" s="92">
        <v>13.1</v>
      </c>
      <c r="M13" s="92">
        <v>12.7</v>
      </c>
      <c r="N13" s="92">
        <v>12.3</v>
      </c>
      <c r="O13" s="92">
        <v>12.1</v>
      </c>
      <c r="P13" s="93">
        <f>16.4*0.58</f>
        <v>9.5119999999999987</v>
      </c>
      <c r="Q13" s="93">
        <f>11.8*0.58</f>
        <v>6.8440000000000003</v>
      </c>
      <c r="R13" s="94">
        <f>10.9479305740988*0.58</f>
        <v>6.3497997329773037</v>
      </c>
    </row>
    <row r="14" spans="1:18" x14ac:dyDescent="0.25">
      <c r="A14" s="84">
        <v>13</v>
      </c>
      <c r="B14" s="84" t="s">
        <v>13</v>
      </c>
      <c r="C14" s="91">
        <v>5</v>
      </c>
      <c r="D14" s="91">
        <v>6.6</v>
      </c>
      <c r="E14" s="91">
        <v>8.1</v>
      </c>
      <c r="F14" s="91">
        <v>6</v>
      </c>
      <c r="G14" s="91">
        <v>7.9</v>
      </c>
      <c r="H14" s="92">
        <v>5.5</v>
      </c>
      <c r="I14" s="91">
        <v>6.6</v>
      </c>
      <c r="J14" s="91">
        <v>6.7</v>
      </c>
      <c r="K14" s="91">
        <v>6.6</v>
      </c>
      <c r="L14" s="92">
        <v>6.6</v>
      </c>
      <c r="M14" s="92">
        <v>7.3</v>
      </c>
      <c r="N14" s="92">
        <v>6.9</v>
      </c>
      <c r="O14" s="92">
        <v>6.5</v>
      </c>
      <c r="P14" s="93">
        <f>10.8*0.58</f>
        <v>6.2640000000000002</v>
      </c>
      <c r="Q14" s="93">
        <f>8.4*0.58</f>
        <v>4.8719999999999999</v>
      </c>
      <c r="R14" s="94">
        <f>7.07482993197279*0.58</f>
        <v>4.1034013605442174</v>
      </c>
    </row>
    <row r="15" spans="1:18" x14ac:dyDescent="0.25">
      <c r="A15" s="84">
        <v>14</v>
      </c>
      <c r="B15" s="84" t="s">
        <v>14</v>
      </c>
      <c r="C15" s="91">
        <v>5.5</v>
      </c>
      <c r="D15" s="91">
        <v>8.8000000000000007</v>
      </c>
      <c r="E15" s="91">
        <v>11</v>
      </c>
      <c r="F15" s="91">
        <v>9.1999999999999993</v>
      </c>
      <c r="G15" s="91">
        <v>9.4</v>
      </c>
      <c r="H15" s="92">
        <v>8.1999999999999993</v>
      </c>
      <c r="I15" s="91">
        <v>5.9</v>
      </c>
      <c r="J15" s="91">
        <v>8.5</v>
      </c>
      <c r="K15" s="91">
        <v>8.8000000000000007</v>
      </c>
      <c r="L15" s="92">
        <v>9.1</v>
      </c>
      <c r="M15" s="92">
        <v>9.6</v>
      </c>
      <c r="N15" s="92">
        <v>10.6</v>
      </c>
      <c r="O15" s="92">
        <v>11</v>
      </c>
      <c r="P15" s="93">
        <f>11*0.58</f>
        <v>6.38</v>
      </c>
      <c r="Q15" s="93">
        <f>10.2*0.58</f>
        <v>5.9159999999999995</v>
      </c>
      <c r="R15" s="94">
        <f>12.4624624624625*0.58</f>
        <v>7.2282282282282502</v>
      </c>
    </row>
    <row r="16" spans="1:18" x14ac:dyDescent="0.25">
      <c r="A16" s="84">
        <v>15</v>
      </c>
      <c r="B16" s="84" t="s">
        <v>15</v>
      </c>
      <c r="C16" s="91">
        <v>4.7</v>
      </c>
      <c r="D16" s="91">
        <v>4.7</v>
      </c>
      <c r="E16" s="91">
        <v>5.6</v>
      </c>
      <c r="F16" s="91">
        <v>6.3</v>
      </c>
      <c r="G16" s="91">
        <v>4.4000000000000004</v>
      </c>
      <c r="H16" s="92">
        <v>5.0999999999999996</v>
      </c>
      <c r="I16" s="91">
        <v>7.8</v>
      </c>
      <c r="J16" s="91">
        <v>9.3000000000000007</v>
      </c>
      <c r="K16" s="91">
        <v>9.1999999999999993</v>
      </c>
      <c r="L16" s="92">
        <v>8</v>
      </c>
      <c r="M16" s="92">
        <v>7.9</v>
      </c>
      <c r="N16" s="92">
        <v>7.9</v>
      </c>
      <c r="O16" s="92">
        <v>8.6999999999999993</v>
      </c>
      <c r="P16" s="93">
        <f>15.6*0.58</f>
        <v>9.048</v>
      </c>
      <c r="Q16" s="93">
        <f>12.1*0.58</f>
        <v>7.0179999999999989</v>
      </c>
      <c r="R16" s="94">
        <f>12.008281573499*0.58</f>
        <v>6.9648033126294191</v>
      </c>
    </row>
    <row r="17" spans="1:18" x14ac:dyDescent="0.25">
      <c r="A17" s="84">
        <v>16</v>
      </c>
      <c r="B17" s="84" t="s">
        <v>16</v>
      </c>
      <c r="C17" s="91">
        <v>15.6</v>
      </c>
      <c r="D17" s="91">
        <v>12.7</v>
      </c>
      <c r="E17" s="91">
        <v>12.1</v>
      </c>
      <c r="F17" s="91">
        <v>13.4</v>
      </c>
      <c r="G17" s="91">
        <v>9.3000000000000007</v>
      </c>
      <c r="H17" s="92">
        <v>10.5</v>
      </c>
      <c r="I17" s="91">
        <v>11</v>
      </c>
      <c r="J17" s="91">
        <v>13.1</v>
      </c>
      <c r="K17" s="91">
        <v>12.9</v>
      </c>
      <c r="L17" s="92">
        <v>13.4</v>
      </c>
      <c r="M17" s="92">
        <v>12.9</v>
      </c>
      <c r="N17" s="92">
        <v>10.9</v>
      </c>
      <c r="O17" s="92">
        <v>9.1999999999999993</v>
      </c>
      <c r="P17" s="93">
        <f>15.4*0.58</f>
        <v>8.9320000000000004</v>
      </c>
      <c r="Q17" s="93">
        <f>11.7*0.58</f>
        <v>6.7859999999999987</v>
      </c>
      <c r="R17" s="94">
        <f>20.1873048907388*0.58</f>
        <v>11.708636836628504</v>
      </c>
    </row>
    <row r="18" spans="1:18" x14ac:dyDescent="0.25">
      <c r="A18" s="84">
        <v>17</v>
      </c>
      <c r="B18" s="84" t="s">
        <v>17</v>
      </c>
      <c r="C18" s="91">
        <v>8.5</v>
      </c>
      <c r="D18" s="91">
        <v>5.4</v>
      </c>
      <c r="E18" s="91">
        <v>9.1999999999999993</v>
      </c>
      <c r="F18" s="91">
        <v>8</v>
      </c>
      <c r="G18" s="91">
        <v>9.5</v>
      </c>
      <c r="H18" s="92">
        <v>10</v>
      </c>
      <c r="I18" s="91">
        <v>12</v>
      </c>
      <c r="J18" s="91">
        <v>12.3</v>
      </c>
      <c r="K18" s="91">
        <v>11</v>
      </c>
      <c r="L18" s="92">
        <v>10.3</v>
      </c>
      <c r="M18" s="92">
        <v>8.6999999999999993</v>
      </c>
      <c r="N18" s="92">
        <v>7.1</v>
      </c>
      <c r="O18" s="92">
        <v>8.3000000000000007</v>
      </c>
      <c r="P18" s="93">
        <f>14.2*0.58</f>
        <v>8.2359999999999989</v>
      </c>
      <c r="Q18" s="93">
        <f>10.6*0.58</f>
        <v>6.1479999999999997</v>
      </c>
      <c r="R18" s="94">
        <f>10.7246376811594*0.58</f>
        <v>6.2202898550724521</v>
      </c>
    </row>
    <row r="19" spans="1:18" x14ac:dyDescent="0.25">
      <c r="A19" s="84">
        <v>18</v>
      </c>
      <c r="B19" s="84" t="s">
        <v>18</v>
      </c>
      <c r="C19" s="91">
        <v>17.600000000000001</v>
      </c>
      <c r="D19" s="91">
        <v>13.2</v>
      </c>
      <c r="E19" s="91">
        <v>12.6</v>
      </c>
      <c r="F19" s="91">
        <v>14.9</v>
      </c>
      <c r="G19" s="91">
        <v>14.1</v>
      </c>
      <c r="H19" s="92">
        <v>13.3</v>
      </c>
      <c r="I19" s="91">
        <v>18.600000000000001</v>
      </c>
      <c r="J19" s="91">
        <v>18.600000000000001</v>
      </c>
      <c r="K19" s="91">
        <v>18.3</v>
      </c>
      <c r="L19" s="92">
        <v>18.8</v>
      </c>
      <c r="M19" s="92">
        <v>19.7</v>
      </c>
      <c r="N19" s="92">
        <v>16.100000000000001</v>
      </c>
      <c r="O19" s="92">
        <v>14.3</v>
      </c>
      <c r="P19" s="93">
        <f>33.8*0.58</f>
        <v>19.603999999999996</v>
      </c>
      <c r="Q19" s="93">
        <f>12.1*0.58</f>
        <v>7.0179999999999989</v>
      </c>
      <c r="R19" s="94">
        <f>13.0228974020255*0.58</f>
        <v>7.553280493174789</v>
      </c>
    </row>
    <row r="20" spans="1:18" x14ac:dyDescent="0.25">
      <c r="A20" s="84">
        <v>19</v>
      </c>
      <c r="B20" s="84" t="s">
        <v>19</v>
      </c>
      <c r="C20" s="91">
        <v>5.6</v>
      </c>
      <c r="D20" s="91">
        <v>6.1</v>
      </c>
      <c r="E20" s="91">
        <v>5.8</v>
      </c>
      <c r="F20" s="91">
        <v>6.1</v>
      </c>
      <c r="G20" s="91">
        <v>5.3</v>
      </c>
      <c r="H20" s="92">
        <v>6.6</v>
      </c>
      <c r="I20" s="91">
        <v>9.1999999999999993</v>
      </c>
      <c r="J20" s="91">
        <v>10.9</v>
      </c>
      <c r="K20" s="91">
        <v>8.1</v>
      </c>
      <c r="L20" s="92">
        <v>7.7</v>
      </c>
      <c r="M20" s="92">
        <v>7.2</v>
      </c>
      <c r="N20" s="92">
        <v>6.4</v>
      </c>
      <c r="O20" s="92">
        <v>5.9</v>
      </c>
      <c r="P20" s="93">
        <f>9.2*0.58</f>
        <v>5.3359999999999994</v>
      </c>
      <c r="Q20" s="93">
        <f>7.1*0.58</f>
        <v>4.1179999999999994</v>
      </c>
      <c r="R20" s="94">
        <f>6.96324951644101*0.58</f>
        <v>4.0386847195357856</v>
      </c>
    </row>
    <row r="21" spans="1:18" x14ac:dyDescent="0.25">
      <c r="A21" s="84">
        <v>20</v>
      </c>
      <c r="B21" s="84" t="s">
        <v>20</v>
      </c>
      <c r="C21" s="91">
        <v>7.1</v>
      </c>
      <c r="D21" s="91">
        <v>7.3</v>
      </c>
      <c r="E21" s="91">
        <v>8.1</v>
      </c>
      <c r="F21" s="91">
        <v>9.6999999999999993</v>
      </c>
      <c r="G21" s="91">
        <v>6.3</v>
      </c>
      <c r="H21" s="92">
        <v>7.5</v>
      </c>
      <c r="I21" s="91">
        <v>6.1</v>
      </c>
      <c r="J21" s="91">
        <v>7.6</v>
      </c>
      <c r="K21" s="91">
        <v>8.8000000000000007</v>
      </c>
      <c r="L21" s="92">
        <v>8.9</v>
      </c>
      <c r="M21" s="92">
        <v>5.2</v>
      </c>
      <c r="N21" s="92">
        <v>4.5</v>
      </c>
      <c r="O21" s="92">
        <v>3.5</v>
      </c>
      <c r="P21" s="93">
        <f>10.6*0.58</f>
        <v>6.1479999999999997</v>
      </c>
      <c r="Q21" s="93">
        <f>7.2*0.58</f>
        <v>4.1760000000000002</v>
      </c>
      <c r="R21" s="94">
        <f>8.01832760595647*0.58</f>
        <v>4.6506300114547523</v>
      </c>
    </row>
    <row r="22" spans="1:18" x14ac:dyDescent="0.25">
      <c r="A22" s="84">
        <v>21</v>
      </c>
      <c r="B22" s="84" t="s">
        <v>21</v>
      </c>
      <c r="C22" s="91">
        <v>8.4</v>
      </c>
      <c r="D22" s="91">
        <v>4.9000000000000004</v>
      </c>
      <c r="E22" s="91">
        <v>9.9</v>
      </c>
      <c r="F22" s="91">
        <v>8</v>
      </c>
      <c r="G22" s="91">
        <v>8.8000000000000007</v>
      </c>
      <c r="H22" s="92">
        <v>9</v>
      </c>
      <c r="I22" s="91">
        <v>9.3000000000000007</v>
      </c>
      <c r="J22" s="91">
        <v>8.1999999999999993</v>
      </c>
      <c r="K22" s="91">
        <v>5.4</v>
      </c>
      <c r="L22" s="92">
        <v>5</v>
      </c>
      <c r="M22" s="92">
        <v>5.8</v>
      </c>
      <c r="N22" s="92">
        <v>4.9000000000000004</v>
      </c>
      <c r="O22" s="92">
        <v>4.4000000000000004</v>
      </c>
      <c r="P22" s="93">
        <f>6.7*0.58</f>
        <v>3.8859999999999997</v>
      </c>
      <c r="Q22" s="93">
        <v>4</v>
      </c>
      <c r="R22" s="94">
        <f>4.39461883408072*0.58</f>
        <v>2.5488789237668175</v>
      </c>
    </row>
    <row r="23" spans="1:18" x14ac:dyDescent="0.25">
      <c r="A23" s="84">
        <v>22</v>
      </c>
      <c r="B23" s="84" t="s">
        <v>22</v>
      </c>
      <c r="C23" s="91">
        <v>8.4</v>
      </c>
      <c r="D23" s="91">
        <v>7.6</v>
      </c>
      <c r="E23" s="91">
        <v>8.3000000000000007</v>
      </c>
      <c r="F23" s="91">
        <v>9.8000000000000007</v>
      </c>
      <c r="G23" s="91">
        <v>13.5</v>
      </c>
      <c r="H23" s="92">
        <v>7.4</v>
      </c>
      <c r="I23" s="91">
        <v>9.3000000000000007</v>
      </c>
      <c r="J23" s="91">
        <v>7.3</v>
      </c>
      <c r="K23" s="91">
        <v>7.8</v>
      </c>
      <c r="L23" s="92">
        <v>5.6</v>
      </c>
      <c r="M23" s="92">
        <v>5.5</v>
      </c>
      <c r="N23" s="92">
        <v>6</v>
      </c>
      <c r="O23" s="92">
        <v>5.4</v>
      </c>
      <c r="P23" s="93">
        <f>8.2*0.58</f>
        <v>4.7559999999999993</v>
      </c>
      <c r="Q23" s="93">
        <f>11.6*0.58</f>
        <v>6.7279999999999998</v>
      </c>
      <c r="R23" s="94">
        <f>12.1590909090909*0.58</f>
        <v>7.0522727272727215</v>
      </c>
    </row>
    <row r="24" spans="1:18" x14ac:dyDescent="0.25">
      <c r="A24" s="84">
        <v>23</v>
      </c>
      <c r="B24" s="84" t="s">
        <v>23</v>
      </c>
      <c r="C24" s="91">
        <v>4.5999999999999996</v>
      </c>
      <c r="D24" s="91">
        <v>10.199999999999999</v>
      </c>
      <c r="E24" s="91">
        <v>10.1</v>
      </c>
      <c r="F24" s="91">
        <v>5.0999999999999996</v>
      </c>
      <c r="G24" s="91">
        <v>7.6</v>
      </c>
      <c r="H24" s="92">
        <v>3.2</v>
      </c>
      <c r="I24" s="91">
        <v>3.3</v>
      </c>
      <c r="J24" s="91">
        <v>5.0999999999999996</v>
      </c>
      <c r="K24" s="91">
        <v>5.0999999999999996</v>
      </c>
      <c r="L24" s="92">
        <v>2.4</v>
      </c>
      <c r="M24" s="92">
        <v>4.0999999999999996</v>
      </c>
      <c r="N24" s="92">
        <v>4.8</v>
      </c>
      <c r="O24" s="92">
        <v>4.3</v>
      </c>
      <c r="P24" s="93">
        <f>7.1*0.58</f>
        <v>4.1179999999999994</v>
      </c>
      <c r="Q24" s="93">
        <f>4.4*0.58</f>
        <v>2.552</v>
      </c>
      <c r="R24" s="94">
        <f>5.55555555555556*0.58</f>
        <v>3.2222222222222245</v>
      </c>
    </row>
    <row r="25" spans="1:18" x14ac:dyDescent="0.25">
      <c r="A25" s="84">
        <v>24</v>
      </c>
      <c r="B25" s="84" t="s">
        <v>24</v>
      </c>
      <c r="C25" s="91">
        <v>6.9</v>
      </c>
      <c r="D25" s="91">
        <v>8.1</v>
      </c>
      <c r="E25" s="91">
        <v>6.7</v>
      </c>
      <c r="F25" s="91">
        <v>5.6</v>
      </c>
      <c r="G25" s="91">
        <v>5.5</v>
      </c>
      <c r="H25" s="92">
        <v>9.4</v>
      </c>
      <c r="I25" s="91">
        <v>9.1</v>
      </c>
      <c r="J25" s="91">
        <v>10.1</v>
      </c>
      <c r="K25" s="91">
        <v>10.5</v>
      </c>
      <c r="L25" s="92">
        <v>8.6999999999999993</v>
      </c>
      <c r="M25" s="92">
        <v>10.1</v>
      </c>
      <c r="N25" s="92">
        <v>8.5</v>
      </c>
      <c r="O25" s="92">
        <v>9.3000000000000007</v>
      </c>
      <c r="P25" s="93">
        <f>14.1*0.58</f>
        <v>8.177999999999999</v>
      </c>
      <c r="Q25" s="93">
        <f>8.1*0.58</f>
        <v>4.6979999999999995</v>
      </c>
      <c r="R25" s="94">
        <f>7.88415124698311*0.58</f>
        <v>4.5728077232502029</v>
      </c>
    </row>
    <row r="26" spans="1:18" x14ac:dyDescent="0.25">
      <c r="A26" s="84">
        <v>25</v>
      </c>
      <c r="B26" s="84" t="s">
        <v>25</v>
      </c>
      <c r="C26" s="91">
        <v>13.5</v>
      </c>
      <c r="D26" s="91">
        <v>9.1999999999999993</v>
      </c>
      <c r="E26" s="91">
        <v>8</v>
      </c>
      <c r="F26" s="91">
        <v>7.9</v>
      </c>
      <c r="G26" s="91">
        <v>8.6</v>
      </c>
      <c r="H26" s="92">
        <v>9.6999999999999993</v>
      </c>
      <c r="I26" s="91">
        <v>8.5</v>
      </c>
      <c r="J26" s="91">
        <v>9</v>
      </c>
      <c r="K26" s="91">
        <v>13.5</v>
      </c>
      <c r="L26" s="92">
        <v>10.199999999999999</v>
      </c>
      <c r="M26" s="92">
        <v>9.4</v>
      </c>
      <c r="N26" s="92">
        <v>7.2</v>
      </c>
      <c r="O26" s="92">
        <v>8.1999999999999993</v>
      </c>
      <c r="P26" s="93">
        <f>11.6*0.58</f>
        <v>6.7279999999999998</v>
      </c>
      <c r="Q26" s="93">
        <f>9.6*0.58</f>
        <v>5.5679999999999996</v>
      </c>
      <c r="R26" s="94">
        <f>9.43396226415094*0.58</f>
        <v>5.4716981132075446</v>
      </c>
    </row>
    <row r="27" spans="1:18" x14ac:dyDescent="0.25">
      <c r="A27" s="84">
        <v>26</v>
      </c>
      <c r="B27" s="84" t="s">
        <v>26</v>
      </c>
      <c r="C27" s="91">
        <v>9.9</v>
      </c>
      <c r="D27" s="91">
        <v>8.9</v>
      </c>
      <c r="E27" s="91">
        <v>8.9</v>
      </c>
      <c r="F27" s="91">
        <v>10.3</v>
      </c>
      <c r="G27" s="91">
        <v>7.6</v>
      </c>
      <c r="H27" s="92">
        <v>8.6999999999999993</v>
      </c>
      <c r="I27" s="91">
        <v>7.5</v>
      </c>
      <c r="J27" s="91">
        <v>7.5</v>
      </c>
      <c r="K27" s="91">
        <v>6.6</v>
      </c>
      <c r="L27" s="92">
        <v>7.7</v>
      </c>
      <c r="M27" s="92">
        <v>8.9</v>
      </c>
      <c r="N27" s="92">
        <v>7.3</v>
      </c>
      <c r="O27" s="92">
        <v>8.8000000000000007</v>
      </c>
      <c r="P27" s="93">
        <f>17.6*0.58</f>
        <v>10.208</v>
      </c>
      <c r="Q27" s="93">
        <f>9.8*0.58</f>
        <v>5.6840000000000002</v>
      </c>
      <c r="R27" s="94">
        <f>11.4406779661017*0.58</f>
        <v>6.6355932203389862</v>
      </c>
    </row>
    <row r="28" spans="1:18" x14ac:dyDescent="0.25">
      <c r="A28" s="84">
        <v>27</v>
      </c>
      <c r="B28" s="84" t="s">
        <v>27</v>
      </c>
      <c r="C28" s="91">
        <v>9.5</v>
      </c>
      <c r="D28" s="91">
        <v>8.3000000000000007</v>
      </c>
      <c r="E28" s="91">
        <v>9.8000000000000007</v>
      </c>
      <c r="F28" s="91">
        <v>6.2</v>
      </c>
      <c r="G28" s="91">
        <v>9.6999999999999993</v>
      </c>
      <c r="H28" s="92">
        <v>9.6</v>
      </c>
      <c r="I28" s="91">
        <v>10</v>
      </c>
      <c r="J28" s="91">
        <v>8.1</v>
      </c>
      <c r="K28" s="91">
        <v>7.3</v>
      </c>
      <c r="L28" s="92">
        <v>9.1999999999999993</v>
      </c>
      <c r="M28" s="92">
        <v>7</v>
      </c>
      <c r="N28" s="92">
        <v>7.9</v>
      </c>
      <c r="O28" s="92">
        <v>7.4</v>
      </c>
      <c r="P28" s="93">
        <f>13.4*0.58</f>
        <v>7.7719999999999994</v>
      </c>
      <c r="Q28" s="93">
        <f>5.8*0.58</f>
        <v>3.3639999999999999</v>
      </c>
      <c r="R28" s="94">
        <f>9.59409594095941*0.58</f>
        <v>5.5645756457564568</v>
      </c>
    </row>
    <row r="29" spans="1:18" x14ac:dyDescent="0.25">
      <c r="A29" s="84">
        <v>28</v>
      </c>
      <c r="B29" s="84" t="s">
        <v>28</v>
      </c>
      <c r="C29" s="91">
        <v>12.7</v>
      </c>
      <c r="D29" s="91">
        <v>12.4</v>
      </c>
      <c r="E29" s="91">
        <v>13.1</v>
      </c>
      <c r="F29" s="91">
        <v>12.5</v>
      </c>
      <c r="G29" s="91">
        <v>8.6999999999999993</v>
      </c>
      <c r="H29" s="92">
        <v>13</v>
      </c>
      <c r="I29" s="91">
        <v>18.899999999999999</v>
      </c>
      <c r="J29" s="91">
        <v>18.8</v>
      </c>
      <c r="K29" s="91">
        <v>18</v>
      </c>
      <c r="L29" s="92">
        <v>18.899999999999999</v>
      </c>
      <c r="M29" s="92">
        <v>17.2</v>
      </c>
      <c r="N29" s="92">
        <v>14.8</v>
      </c>
      <c r="O29" s="92">
        <v>16.100000000000001</v>
      </c>
      <c r="P29" s="93">
        <f>28.3*0.58</f>
        <v>16.413999999999998</v>
      </c>
      <c r="Q29" s="93">
        <f>15.4*0.58</f>
        <v>8.9320000000000004</v>
      </c>
      <c r="R29" s="94">
        <f>15.9156976744186*0.58</f>
        <v>9.2311046511627879</v>
      </c>
    </row>
    <row r="30" spans="1:18" x14ac:dyDescent="0.25">
      <c r="A30" s="84">
        <v>29</v>
      </c>
      <c r="B30" s="84" t="s">
        <v>29</v>
      </c>
      <c r="C30" s="91">
        <v>5.6</v>
      </c>
      <c r="D30" s="91">
        <v>8.1999999999999993</v>
      </c>
      <c r="E30" s="91">
        <v>8.8000000000000007</v>
      </c>
      <c r="F30" s="91">
        <v>10.4</v>
      </c>
      <c r="G30" s="91">
        <v>14</v>
      </c>
      <c r="H30" s="92">
        <v>10</v>
      </c>
      <c r="I30" s="91">
        <v>9.6999999999999993</v>
      </c>
      <c r="J30" s="91">
        <v>6.8</v>
      </c>
      <c r="K30" s="91">
        <v>10.4</v>
      </c>
      <c r="L30" s="92">
        <v>8.5</v>
      </c>
      <c r="M30" s="92">
        <v>7.9</v>
      </c>
      <c r="N30" s="92">
        <v>4.2</v>
      </c>
      <c r="O30" s="92">
        <v>6.3</v>
      </c>
      <c r="P30" s="93">
        <f>8.2*0.58</f>
        <v>4.7559999999999993</v>
      </c>
      <c r="Q30" s="93">
        <f>4.4*0.58</f>
        <v>2.552</v>
      </c>
      <c r="R30" s="94">
        <f>8.91089108910891*0.58</f>
        <v>5.1683168316831676</v>
      </c>
    </row>
    <row r="31" spans="1:18" x14ac:dyDescent="0.25">
      <c r="A31" s="84">
        <v>30</v>
      </c>
      <c r="B31" s="84" t="s">
        <v>30</v>
      </c>
      <c r="C31" s="114"/>
      <c r="D31" s="114"/>
      <c r="E31" s="138"/>
      <c r="F31" s="114"/>
      <c r="G31" s="84">
        <v>9.1</v>
      </c>
      <c r="H31" s="139"/>
      <c r="I31" s="91">
        <v>1.1000000000000001</v>
      </c>
      <c r="J31" s="91">
        <v>1.2</v>
      </c>
      <c r="K31" s="91">
        <v>4.8</v>
      </c>
      <c r="L31" s="92">
        <v>2.4</v>
      </c>
      <c r="M31" s="92">
        <v>2.4</v>
      </c>
      <c r="N31" s="92">
        <v>2</v>
      </c>
      <c r="O31" s="92">
        <v>2.5</v>
      </c>
      <c r="P31" s="93">
        <f>5.6*0.58</f>
        <v>3.2479999999999998</v>
      </c>
      <c r="Q31" s="93">
        <f>1.5*0.58</f>
        <v>0.86999999999999988</v>
      </c>
      <c r="R31" s="94">
        <f>2.80701754385965*0.58</f>
        <v>1.6280701754385969</v>
      </c>
    </row>
    <row r="32" spans="1:18" x14ac:dyDescent="0.25">
      <c r="A32" s="84">
        <v>31</v>
      </c>
      <c r="B32" s="84" t="s">
        <v>31</v>
      </c>
      <c r="C32" s="114"/>
      <c r="D32" s="114"/>
      <c r="E32" s="114"/>
      <c r="F32" s="114"/>
      <c r="G32" s="114"/>
      <c r="H32" s="139"/>
      <c r="I32" s="114"/>
      <c r="J32" s="138"/>
      <c r="K32" s="114"/>
      <c r="L32" s="92">
        <v>11.5</v>
      </c>
      <c r="M32" s="92">
        <v>5.0999999999999996</v>
      </c>
      <c r="N32" s="92">
        <v>2.8</v>
      </c>
      <c r="O32" s="92">
        <v>3.8</v>
      </c>
      <c r="P32" s="93">
        <f>7.2*0.58</f>
        <v>4.1760000000000002</v>
      </c>
      <c r="Q32" s="93">
        <f>4.6*0.58</f>
        <v>2.6679999999999997</v>
      </c>
      <c r="R32" s="94">
        <f>4.83135824977211*0.58</f>
        <v>2.8021877848678236</v>
      </c>
    </row>
    <row r="33" spans="1:18" x14ac:dyDescent="0.25">
      <c r="A33" s="84">
        <v>32</v>
      </c>
      <c r="B33" s="84" t="s">
        <v>32</v>
      </c>
      <c r="C33" s="91">
        <v>4.0999999999999996</v>
      </c>
      <c r="D33" s="84">
        <v>5.8</v>
      </c>
      <c r="E33" s="84">
        <v>7.9</v>
      </c>
      <c r="F33" s="84">
        <v>6.8</v>
      </c>
      <c r="G33" s="84">
        <v>5.4</v>
      </c>
      <c r="H33" s="92">
        <v>6.2</v>
      </c>
      <c r="I33" s="91">
        <v>6.1</v>
      </c>
      <c r="J33" s="91">
        <v>7.4</v>
      </c>
      <c r="K33" s="91">
        <v>5.6</v>
      </c>
      <c r="L33" s="92">
        <v>6.2</v>
      </c>
      <c r="M33" s="92">
        <v>6.5</v>
      </c>
      <c r="N33" s="92">
        <v>9.1</v>
      </c>
      <c r="O33" s="92">
        <v>12.2</v>
      </c>
      <c r="P33" s="93">
        <f>8.9*0.58</f>
        <v>5.1619999999999999</v>
      </c>
      <c r="Q33" s="93">
        <f>4.3*0.58</f>
        <v>2.4939999999999998</v>
      </c>
      <c r="R33" s="94">
        <f>5.33980582524272*0.58</f>
        <v>3.0970873786407771</v>
      </c>
    </row>
    <row r="34" spans="1:18" x14ac:dyDescent="0.25">
      <c r="A34" s="84">
        <v>33</v>
      </c>
      <c r="B34" s="84" t="s">
        <v>33</v>
      </c>
      <c r="C34" s="84">
        <v>9</v>
      </c>
      <c r="D34" s="84">
        <v>2.9</v>
      </c>
      <c r="E34" s="91">
        <v>7.1</v>
      </c>
      <c r="F34" s="91">
        <v>6.9</v>
      </c>
      <c r="G34" s="84">
        <v>9.9</v>
      </c>
      <c r="H34" s="92">
        <v>12.8</v>
      </c>
      <c r="I34" s="91">
        <v>5.2</v>
      </c>
      <c r="J34" s="91">
        <v>5.8</v>
      </c>
      <c r="K34" s="91">
        <v>9</v>
      </c>
      <c r="L34" s="92">
        <v>12.4</v>
      </c>
      <c r="M34" s="92">
        <v>12.1</v>
      </c>
      <c r="N34" s="92">
        <v>9.1</v>
      </c>
      <c r="O34" s="92">
        <v>7.7</v>
      </c>
      <c r="P34" s="93">
        <f>10.4*0.58</f>
        <v>6.032</v>
      </c>
      <c r="Q34" s="93">
        <f>7.2*0.58</f>
        <v>4.1760000000000002</v>
      </c>
      <c r="R34" s="94">
        <f>5.2790346907994*0.58</f>
        <v>3.0618401206636521</v>
      </c>
    </row>
    <row r="35" spans="1:18" x14ac:dyDescent="0.25">
      <c r="A35" s="84">
        <v>34</v>
      </c>
      <c r="B35" s="84" t="s">
        <v>34</v>
      </c>
      <c r="C35" s="91">
        <v>14.3</v>
      </c>
      <c r="D35" s="91">
        <v>9.5</v>
      </c>
      <c r="E35" s="91">
        <v>11.3</v>
      </c>
      <c r="F35" s="91">
        <v>9.5</v>
      </c>
      <c r="G35" s="84">
        <v>8.4</v>
      </c>
      <c r="H35" s="92">
        <v>8.4</v>
      </c>
      <c r="I35" s="91">
        <v>7.9</v>
      </c>
      <c r="J35" s="91">
        <v>7.1</v>
      </c>
      <c r="K35" s="91">
        <v>8.1</v>
      </c>
      <c r="L35" s="92">
        <v>6.3</v>
      </c>
      <c r="M35" s="92">
        <v>6.3</v>
      </c>
      <c r="N35" s="92">
        <v>4.9000000000000004</v>
      </c>
      <c r="O35" s="92">
        <v>4.5999999999999996</v>
      </c>
      <c r="P35" s="93">
        <f>8*0.58</f>
        <v>4.6399999999999997</v>
      </c>
      <c r="Q35" s="93">
        <f>4.9*0.58</f>
        <v>2.8420000000000001</v>
      </c>
      <c r="R35" s="94">
        <f>7.66550522648084*0.58</f>
        <v>4.4459930313588867</v>
      </c>
    </row>
    <row r="36" spans="1:18" x14ac:dyDescent="0.25">
      <c r="A36" s="84">
        <v>35</v>
      </c>
      <c r="B36" s="84" t="s">
        <v>35</v>
      </c>
      <c r="C36" s="91">
        <v>11.2</v>
      </c>
      <c r="D36" s="91">
        <v>9.1999999999999993</v>
      </c>
      <c r="E36" s="91">
        <v>11.4</v>
      </c>
      <c r="F36" s="91">
        <v>9.4</v>
      </c>
      <c r="G36" s="84">
        <v>7.8</v>
      </c>
      <c r="H36" s="92">
        <v>7.3</v>
      </c>
      <c r="I36" s="91">
        <v>6.6</v>
      </c>
      <c r="J36" s="91">
        <v>8.6999999999999993</v>
      </c>
      <c r="K36" s="91">
        <v>7.7</v>
      </c>
      <c r="L36" s="92">
        <v>9.6</v>
      </c>
      <c r="M36" s="92">
        <v>9.9</v>
      </c>
      <c r="N36" s="92">
        <v>8.4</v>
      </c>
      <c r="O36" s="92">
        <v>8.1999999999999993</v>
      </c>
      <c r="P36" s="93">
        <f>13.2*0.58</f>
        <v>7.6559999999999988</v>
      </c>
      <c r="Q36" s="93">
        <f>17.6*0.58</f>
        <v>10.208</v>
      </c>
      <c r="R36" s="94">
        <f>13.8225255972696*0.58</f>
        <v>8.0170648464163676</v>
      </c>
    </row>
    <row r="37" spans="1:18" x14ac:dyDescent="0.25">
      <c r="A37" s="84">
        <v>36</v>
      </c>
      <c r="B37" s="84" t="s">
        <v>36</v>
      </c>
      <c r="C37" s="114"/>
      <c r="D37" s="114"/>
      <c r="E37" s="114"/>
      <c r="F37" s="114"/>
      <c r="G37" s="114"/>
      <c r="H37" s="139"/>
      <c r="I37" s="114"/>
      <c r="J37" s="114"/>
      <c r="K37" s="114"/>
      <c r="L37" s="92">
        <v>4.8</v>
      </c>
      <c r="M37" s="139"/>
      <c r="N37" s="92">
        <v>3.3</v>
      </c>
      <c r="O37" s="92">
        <v>3.2</v>
      </c>
      <c r="P37" s="93">
        <f>12.6*0.58</f>
        <v>7.3079999999999989</v>
      </c>
      <c r="Q37" s="93">
        <f>6*0.58</f>
        <v>3.4799999999999995</v>
      </c>
      <c r="R37" s="94">
        <f>17.5572519083969*0.58</f>
        <v>10.183206106870202</v>
      </c>
    </row>
    <row r="38" spans="1:18" x14ac:dyDescent="0.25">
      <c r="A38" s="84">
        <v>37</v>
      </c>
      <c r="B38" s="84" t="s">
        <v>37</v>
      </c>
      <c r="C38" s="84">
        <v>9.1999999999999993</v>
      </c>
      <c r="D38" s="84">
        <v>10.1</v>
      </c>
      <c r="E38" s="91">
        <v>10.7</v>
      </c>
      <c r="F38" s="91">
        <v>8.3000000000000007</v>
      </c>
      <c r="G38" s="91">
        <v>7.9</v>
      </c>
      <c r="H38" s="92">
        <v>6.7</v>
      </c>
      <c r="I38" s="84">
        <v>2.9</v>
      </c>
      <c r="J38" s="84">
        <v>6.5</v>
      </c>
      <c r="K38" s="91">
        <v>10.3</v>
      </c>
      <c r="L38" s="92">
        <v>12.2</v>
      </c>
      <c r="M38" s="92">
        <v>7.3</v>
      </c>
      <c r="N38" s="92">
        <v>2.5</v>
      </c>
      <c r="O38" s="92">
        <v>2.8</v>
      </c>
      <c r="P38" s="93">
        <f>2.2*0.58</f>
        <v>1.276</v>
      </c>
      <c r="Q38" s="93">
        <f>0.5*0.58</f>
        <v>0.28999999999999998</v>
      </c>
      <c r="R38" s="94">
        <f>2.98930144745123*0.58</f>
        <v>1.7337948395217133</v>
      </c>
    </row>
    <row r="39" spans="1:18" x14ac:dyDescent="0.25">
      <c r="A39" s="84">
        <v>38</v>
      </c>
      <c r="B39" s="84" t="s">
        <v>38</v>
      </c>
      <c r="C39" s="114"/>
      <c r="D39" s="114"/>
      <c r="E39" s="114"/>
      <c r="F39" s="114"/>
      <c r="G39" s="114"/>
      <c r="H39" s="139"/>
      <c r="I39" s="91">
        <v>5.9</v>
      </c>
      <c r="J39" s="138"/>
      <c r="K39" s="138"/>
      <c r="L39" s="92">
        <v>20</v>
      </c>
      <c r="M39" s="92">
        <v>5.6</v>
      </c>
      <c r="N39" s="92"/>
      <c r="O39" s="92">
        <v>4.8</v>
      </c>
      <c r="P39" s="93">
        <f>10.5*0.58</f>
        <v>6.09</v>
      </c>
      <c r="Q39" s="93">
        <f>0.8*0.58</f>
        <v>0.46399999999999997</v>
      </c>
      <c r="R39" s="94">
        <f>1.46443514644351*0.58</f>
        <v>0.84937238493723566</v>
      </c>
    </row>
    <row r="40" spans="1:18" x14ac:dyDescent="0.25">
      <c r="A40" s="84">
        <v>39</v>
      </c>
      <c r="B40" s="84" t="s">
        <v>42</v>
      </c>
      <c r="C40" s="84">
        <v>6.8</v>
      </c>
      <c r="D40" s="84">
        <v>5.2</v>
      </c>
      <c r="E40" s="91">
        <v>3.2</v>
      </c>
      <c r="F40" s="84">
        <v>4.0999999999999996</v>
      </c>
      <c r="G40" s="84">
        <v>6.2</v>
      </c>
      <c r="H40" s="92">
        <v>8.3000000000000007</v>
      </c>
      <c r="I40" s="91">
        <v>9.9</v>
      </c>
      <c r="J40" s="91">
        <v>9.4</v>
      </c>
      <c r="K40" s="91">
        <v>9.3000000000000007</v>
      </c>
      <c r="L40" s="92">
        <v>6.7</v>
      </c>
      <c r="M40" s="92">
        <v>2.5</v>
      </c>
      <c r="N40" s="92">
        <v>2.4</v>
      </c>
      <c r="O40" s="92">
        <v>3.8</v>
      </c>
      <c r="P40" s="93">
        <f>10.3*0.58</f>
        <v>5.9740000000000002</v>
      </c>
      <c r="Q40" s="93">
        <f>3.9*0.58</f>
        <v>2.262</v>
      </c>
      <c r="R40" s="94">
        <f>7.45762711864407*0.58</f>
        <v>4.3254237288135604</v>
      </c>
    </row>
    <row r="41" spans="1:18" x14ac:dyDescent="0.25">
      <c r="A41" s="84">
        <v>40</v>
      </c>
      <c r="B41" s="84" t="s">
        <v>39</v>
      </c>
      <c r="C41" s="84">
        <v>10.8</v>
      </c>
      <c r="D41" s="84">
        <v>7.3</v>
      </c>
      <c r="E41" s="84">
        <v>8.6</v>
      </c>
      <c r="F41" s="84">
        <v>5.3</v>
      </c>
      <c r="G41" s="84">
        <v>5.6</v>
      </c>
      <c r="H41" s="92">
        <v>4.3</v>
      </c>
      <c r="I41" s="91">
        <v>4.3</v>
      </c>
      <c r="J41" s="91">
        <v>2.8</v>
      </c>
      <c r="K41" s="91">
        <v>2.7</v>
      </c>
      <c r="L41" s="92">
        <v>3.6</v>
      </c>
      <c r="M41" s="92">
        <v>3.1</v>
      </c>
      <c r="N41" s="92">
        <v>0.8</v>
      </c>
      <c r="O41" s="92">
        <v>1.8</v>
      </c>
      <c r="P41" s="93">
        <f>6.5*0.58</f>
        <v>3.7699999999999996</v>
      </c>
      <c r="Q41" s="93">
        <f>5.7*0.58</f>
        <v>3.306</v>
      </c>
      <c r="R41" s="94">
        <f>5.64784053156146*0.58</f>
        <v>3.2757475083056469</v>
      </c>
    </row>
    <row r="42" spans="1:18" x14ac:dyDescent="0.25">
      <c r="A42" s="84">
        <v>41</v>
      </c>
      <c r="B42" s="84" t="s">
        <v>43</v>
      </c>
      <c r="C42" s="84">
        <v>2.1</v>
      </c>
      <c r="D42" s="91">
        <v>2</v>
      </c>
      <c r="E42" s="84">
        <v>4.4000000000000004</v>
      </c>
      <c r="F42" s="84">
        <v>3.3</v>
      </c>
      <c r="G42" s="84">
        <v>5.5</v>
      </c>
      <c r="H42" s="92">
        <v>7.7</v>
      </c>
      <c r="I42" s="91">
        <v>5.4</v>
      </c>
      <c r="J42" s="91">
        <v>4.5</v>
      </c>
      <c r="K42" s="91">
        <v>5.3</v>
      </c>
      <c r="L42" s="92">
        <v>6.6</v>
      </c>
      <c r="M42" s="92">
        <v>3.8</v>
      </c>
      <c r="N42" s="92">
        <v>3.8</v>
      </c>
      <c r="O42" s="92">
        <v>4</v>
      </c>
      <c r="P42" s="93">
        <f>9.6*0.58</f>
        <v>5.5679999999999996</v>
      </c>
      <c r="Q42" s="93">
        <f>1.6*0.58</f>
        <v>0.92799999999999994</v>
      </c>
      <c r="R42" s="94">
        <f>2.87769784172662*0.58</f>
        <v>1.6690647482014394</v>
      </c>
    </row>
    <row r="43" spans="1:18" x14ac:dyDescent="0.25">
      <c r="A43" s="84">
        <v>42</v>
      </c>
      <c r="B43" s="84" t="s">
        <v>40</v>
      </c>
      <c r="C43" s="114"/>
      <c r="D43" s="114"/>
      <c r="E43" s="114"/>
      <c r="F43" s="114"/>
      <c r="G43" s="114"/>
      <c r="H43" s="92">
        <v>0.8</v>
      </c>
      <c r="I43" s="91">
        <v>0.8</v>
      </c>
      <c r="J43" s="138"/>
      <c r="K43" s="138"/>
      <c r="L43" s="92">
        <v>0.5</v>
      </c>
      <c r="M43" s="92">
        <v>1.6</v>
      </c>
      <c r="N43" s="92">
        <v>0.3</v>
      </c>
      <c r="O43" s="92">
        <v>0.2</v>
      </c>
      <c r="P43" s="93">
        <f>0.2*0.58</f>
        <v>0.11599999999999999</v>
      </c>
      <c r="Q43" s="93">
        <f>0.2*0.58</f>
        <v>0.11599999999999999</v>
      </c>
      <c r="R43" s="94">
        <f>1.76470588235294*0.58</f>
        <v>1.0235294117647051</v>
      </c>
    </row>
    <row r="44" spans="1:18" x14ac:dyDescent="0.25">
      <c r="A44" s="84">
        <v>43</v>
      </c>
      <c r="B44" s="84" t="s">
        <v>41</v>
      </c>
      <c r="C44" s="84">
        <v>10.5</v>
      </c>
      <c r="D44" s="91">
        <v>7.9</v>
      </c>
      <c r="E44" s="84">
        <v>6.9</v>
      </c>
      <c r="F44" s="84">
        <v>7.2</v>
      </c>
      <c r="G44" s="91">
        <v>7.3</v>
      </c>
      <c r="H44" s="92">
        <v>7.2</v>
      </c>
      <c r="I44" s="91">
        <v>5.8</v>
      </c>
      <c r="J44" s="91">
        <v>8.8000000000000007</v>
      </c>
      <c r="K44" s="91">
        <v>8.1</v>
      </c>
      <c r="L44" s="92">
        <v>8.3000000000000007</v>
      </c>
      <c r="M44" s="92">
        <v>6.8</v>
      </c>
      <c r="N44" s="92">
        <v>4.9000000000000004</v>
      </c>
      <c r="O44" s="92">
        <v>5.2</v>
      </c>
      <c r="P44" s="93">
        <f>7.9*0.58</f>
        <v>4.5819999999999999</v>
      </c>
      <c r="Q44" s="93">
        <f>5.1*0.58</f>
        <v>2.9579999999999997</v>
      </c>
      <c r="R44" s="94">
        <f>5.26735833998404*0.58</f>
        <v>3.0550678371907427</v>
      </c>
    </row>
    <row r="45" spans="1:18" x14ac:dyDescent="0.25">
      <c r="A45" s="84">
        <v>44</v>
      </c>
      <c r="B45" s="84" t="s">
        <v>44</v>
      </c>
      <c r="C45" s="84">
        <v>8</v>
      </c>
      <c r="D45" s="84">
        <v>7.5</v>
      </c>
      <c r="E45" s="91">
        <v>11.7</v>
      </c>
      <c r="F45" s="84">
        <v>12.6</v>
      </c>
      <c r="G45" s="84">
        <v>13.4</v>
      </c>
      <c r="H45" s="92">
        <v>11.1</v>
      </c>
      <c r="I45" s="91">
        <v>13.5</v>
      </c>
      <c r="J45" s="91">
        <v>13.1</v>
      </c>
      <c r="K45" s="91">
        <v>12.3</v>
      </c>
      <c r="L45" s="92">
        <v>10.4</v>
      </c>
      <c r="M45" s="92">
        <v>9.1</v>
      </c>
      <c r="N45" s="92">
        <v>7.3</v>
      </c>
      <c r="O45" s="92">
        <v>7.4</v>
      </c>
      <c r="P45" s="93">
        <f>12.4*0.58</f>
        <v>7.1919999999999993</v>
      </c>
      <c r="Q45" s="93">
        <f>10.3*0.58</f>
        <v>5.9740000000000002</v>
      </c>
      <c r="R45" s="94">
        <f>25.0526315789474*0.58</f>
        <v>14.530526315789491</v>
      </c>
    </row>
    <row r="46" spans="1:18" x14ac:dyDescent="0.25">
      <c r="A46" s="84">
        <v>45</v>
      </c>
      <c r="B46" s="84" t="s">
        <v>45</v>
      </c>
      <c r="C46" s="91">
        <v>4</v>
      </c>
      <c r="D46" s="91">
        <v>3.6</v>
      </c>
      <c r="E46" s="91">
        <v>5.6</v>
      </c>
      <c r="F46" s="91">
        <v>7.5</v>
      </c>
      <c r="G46" s="91">
        <v>6.9</v>
      </c>
      <c r="H46" s="92">
        <v>7.9</v>
      </c>
      <c r="I46" s="91">
        <v>8.6</v>
      </c>
      <c r="J46" s="91">
        <v>10.6</v>
      </c>
      <c r="K46" s="91">
        <v>8.8000000000000007</v>
      </c>
      <c r="L46" s="92">
        <v>7.1</v>
      </c>
      <c r="M46" s="92">
        <v>8.3000000000000007</v>
      </c>
      <c r="N46" s="92">
        <v>5.9</v>
      </c>
      <c r="O46" s="92">
        <v>7.1</v>
      </c>
      <c r="P46" s="93">
        <f>8.8*0.58</f>
        <v>5.1040000000000001</v>
      </c>
      <c r="Q46" s="93">
        <f>11.3*0.58</f>
        <v>6.5540000000000003</v>
      </c>
      <c r="R46" s="94">
        <f>9.53545232273839*0.58</f>
        <v>5.5305623471882654</v>
      </c>
    </row>
    <row r="47" spans="1:18" x14ac:dyDescent="0.25">
      <c r="A47" s="84">
        <v>46</v>
      </c>
      <c r="B47" s="84" t="s">
        <v>46</v>
      </c>
      <c r="C47" s="91">
        <v>6.2</v>
      </c>
      <c r="D47" s="91">
        <v>8.1999999999999993</v>
      </c>
      <c r="E47" s="91">
        <v>9.6</v>
      </c>
      <c r="F47" s="91">
        <v>8.8000000000000007</v>
      </c>
      <c r="G47" s="91">
        <v>10.6</v>
      </c>
      <c r="H47" s="92">
        <v>9.4</v>
      </c>
      <c r="I47" s="91">
        <v>12.4</v>
      </c>
      <c r="J47" s="91">
        <v>13.1</v>
      </c>
      <c r="K47" s="91">
        <v>16.899999999999999</v>
      </c>
      <c r="L47" s="92">
        <v>18.3</v>
      </c>
      <c r="M47" s="92">
        <v>16.600000000000001</v>
      </c>
      <c r="N47" s="92">
        <v>13.4</v>
      </c>
      <c r="O47" s="92">
        <v>12.5</v>
      </c>
      <c r="P47" s="93">
        <f>16.4*0.58</f>
        <v>9.5119999999999987</v>
      </c>
      <c r="Q47" s="93">
        <f>21.2*0.58</f>
        <v>12.295999999999999</v>
      </c>
      <c r="R47" s="94">
        <f>20.4283360790774*0.58</f>
        <v>11.848434925864892</v>
      </c>
    </row>
    <row r="48" spans="1:18" x14ac:dyDescent="0.25">
      <c r="A48" s="84">
        <v>47</v>
      </c>
      <c r="B48" s="84" t="s">
        <v>47</v>
      </c>
      <c r="C48" s="91">
        <v>12.7</v>
      </c>
      <c r="D48" s="91">
        <v>11.3</v>
      </c>
      <c r="E48" s="91">
        <v>14.1</v>
      </c>
      <c r="F48" s="91">
        <v>14.3</v>
      </c>
      <c r="G48" s="91">
        <v>14.5</v>
      </c>
      <c r="H48" s="92">
        <v>14.9</v>
      </c>
      <c r="I48" s="91">
        <v>18.100000000000001</v>
      </c>
      <c r="J48" s="91">
        <v>19.100000000000001</v>
      </c>
      <c r="K48" s="91">
        <v>21</v>
      </c>
      <c r="L48" s="92">
        <v>20.5</v>
      </c>
      <c r="M48" s="92">
        <v>20.5</v>
      </c>
      <c r="N48" s="92">
        <v>21.3</v>
      </c>
      <c r="O48" s="92">
        <v>22.2</v>
      </c>
      <c r="P48" s="93">
        <f>21.5*0.58</f>
        <v>12.469999999999999</v>
      </c>
      <c r="Q48" s="93">
        <f>17.4*0.58</f>
        <v>10.091999999999999</v>
      </c>
      <c r="R48" s="94">
        <f>24.869234427009*0.58</f>
        <v>14.42415596766522</v>
      </c>
    </row>
    <row r="49" spans="1:18" x14ac:dyDescent="0.25">
      <c r="A49" s="84">
        <v>48</v>
      </c>
      <c r="B49" s="84" t="s">
        <v>48</v>
      </c>
      <c r="C49" s="91">
        <v>8.3000000000000007</v>
      </c>
      <c r="D49" s="91">
        <v>11.5</v>
      </c>
      <c r="E49" s="91">
        <v>12.9</v>
      </c>
      <c r="F49" s="91">
        <v>11.4</v>
      </c>
      <c r="G49" s="91">
        <v>11.9</v>
      </c>
      <c r="H49" s="92">
        <v>11.6</v>
      </c>
      <c r="I49" s="91">
        <v>15.1</v>
      </c>
      <c r="J49" s="91">
        <v>13</v>
      </c>
      <c r="K49" s="91">
        <v>10.3</v>
      </c>
      <c r="L49" s="92">
        <v>10.5</v>
      </c>
      <c r="M49" s="92">
        <v>10.199999999999999</v>
      </c>
      <c r="N49" s="92">
        <v>7.6</v>
      </c>
      <c r="O49" s="92">
        <v>6.7</v>
      </c>
      <c r="P49" s="93">
        <f>8.5*0.58</f>
        <v>4.93</v>
      </c>
      <c r="Q49" s="93">
        <f>10.6*0.58</f>
        <v>6.1479999999999997</v>
      </c>
      <c r="R49" s="94">
        <f>12.5643666323378*0.58</f>
        <v>7.2873326467559236</v>
      </c>
    </row>
    <row r="50" spans="1:18" x14ac:dyDescent="0.25">
      <c r="A50" s="84">
        <v>49</v>
      </c>
      <c r="B50" s="84" t="s">
        <v>49</v>
      </c>
      <c r="C50" s="91">
        <v>13.6</v>
      </c>
      <c r="D50" s="91">
        <v>8.3000000000000007</v>
      </c>
      <c r="E50" s="91">
        <v>17.600000000000001</v>
      </c>
      <c r="F50" s="91">
        <v>13.4</v>
      </c>
      <c r="G50" s="91">
        <v>14.1</v>
      </c>
      <c r="H50" s="92">
        <v>15.7</v>
      </c>
      <c r="I50" s="91">
        <v>15.2</v>
      </c>
      <c r="J50" s="91">
        <v>20.9</v>
      </c>
      <c r="K50" s="91">
        <v>18.8</v>
      </c>
      <c r="L50" s="92">
        <v>23.7</v>
      </c>
      <c r="M50" s="92">
        <v>24</v>
      </c>
      <c r="N50" s="92">
        <v>24.5</v>
      </c>
      <c r="O50" s="92">
        <v>24.7</v>
      </c>
      <c r="P50" s="93">
        <f>30.4*0.58</f>
        <v>17.631999999999998</v>
      </c>
      <c r="Q50" s="93">
        <f>15*0.58</f>
        <v>8.6999999999999993</v>
      </c>
      <c r="R50" s="94">
        <f>14.5917001338688*0.58</f>
        <v>8.4631860776439041</v>
      </c>
    </row>
    <row r="51" spans="1:18" x14ac:dyDescent="0.25">
      <c r="A51" s="84">
        <v>50</v>
      </c>
      <c r="B51" s="84" t="s">
        <v>50</v>
      </c>
      <c r="C51" s="91">
        <v>33.200000000000003</v>
      </c>
      <c r="D51" s="91">
        <v>24.9</v>
      </c>
      <c r="E51" s="91">
        <v>23.2</v>
      </c>
      <c r="F51" s="91">
        <v>26.4</v>
      </c>
      <c r="G51" s="91">
        <v>23.7</v>
      </c>
      <c r="H51" s="92">
        <v>21.3</v>
      </c>
      <c r="I51" s="91">
        <v>13.6</v>
      </c>
      <c r="J51" s="91">
        <v>14.1</v>
      </c>
      <c r="K51" s="91">
        <v>11.4</v>
      </c>
      <c r="L51" s="92">
        <v>11.1</v>
      </c>
      <c r="M51" s="92">
        <v>10.5</v>
      </c>
      <c r="N51" s="92">
        <v>7.9</v>
      </c>
      <c r="O51" s="92">
        <v>6.4</v>
      </c>
      <c r="P51" s="93">
        <f>10.6*0.58</f>
        <v>6.1479999999999997</v>
      </c>
      <c r="Q51" s="93">
        <f>8.7*0.58</f>
        <v>5.0459999999999994</v>
      </c>
      <c r="R51" s="94">
        <f>10.807669959326*0.58</f>
        <v>6.2684485764090798</v>
      </c>
    </row>
    <row r="52" spans="1:18" x14ac:dyDescent="0.25">
      <c r="A52" s="84">
        <v>51</v>
      </c>
      <c r="B52" s="84" t="s">
        <v>51</v>
      </c>
      <c r="C52" s="91">
        <v>3.5</v>
      </c>
      <c r="D52" s="91">
        <v>4.4000000000000004</v>
      </c>
      <c r="E52" s="91">
        <v>8</v>
      </c>
      <c r="F52" s="91">
        <v>9.1999999999999993</v>
      </c>
      <c r="G52" s="91">
        <v>7.5</v>
      </c>
      <c r="H52" s="92">
        <v>7.4</v>
      </c>
      <c r="I52" s="91">
        <v>8.5</v>
      </c>
      <c r="J52" s="91">
        <v>8.6999999999999993</v>
      </c>
      <c r="K52" s="91">
        <v>9.1</v>
      </c>
      <c r="L52" s="92">
        <v>9.4</v>
      </c>
      <c r="M52" s="92">
        <v>9.8000000000000007</v>
      </c>
      <c r="N52" s="92">
        <v>9.6</v>
      </c>
      <c r="O52" s="92">
        <v>9.5</v>
      </c>
      <c r="P52" s="93">
        <f>12.3*0.58</f>
        <v>7.1340000000000003</v>
      </c>
      <c r="Q52" s="93">
        <f>14.6*0.58</f>
        <v>8.468</v>
      </c>
      <c r="R52" s="94">
        <f>13.9120095124851*0.58</f>
        <v>8.0689655172413577</v>
      </c>
    </row>
    <row r="53" spans="1:18" x14ac:dyDescent="0.25">
      <c r="A53" s="84">
        <v>52</v>
      </c>
      <c r="B53" s="84" t="s">
        <v>52</v>
      </c>
      <c r="C53" s="91">
        <v>14.7</v>
      </c>
      <c r="D53" s="91">
        <v>12.7</v>
      </c>
      <c r="E53" s="91">
        <v>13.5</v>
      </c>
      <c r="F53" s="91">
        <v>13.2</v>
      </c>
      <c r="G53" s="91">
        <v>18.399999999999999</v>
      </c>
      <c r="H53" s="92">
        <v>17.7</v>
      </c>
      <c r="I53" s="91">
        <v>17.7</v>
      </c>
      <c r="J53" s="91">
        <v>14.7</v>
      </c>
      <c r="K53" s="91">
        <v>15.4</v>
      </c>
      <c r="L53" s="92">
        <v>14.3</v>
      </c>
      <c r="M53" s="92">
        <v>13.5</v>
      </c>
      <c r="N53" s="92">
        <v>12.8</v>
      </c>
      <c r="O53" s="92">
        <v>11.1</v>
      </c>
      <c r="P53" s="93">
        <f>18.1*0.58</f>
        <v>10.497999999999999</v>
      </c>
      <c r="Q53" s="93">
        <f>13.7*0.58</f>
        <v>7.9459999999999988</v>
      </c>
      <c r="R53" s="94">
        <f>14.0028971511347*0.58</f>
        <v>8.1216803476581259</v>
      </c>
    </row>
    <row r="54" spans="1:18" x14ac:dyDescent="0.25">
      <c r="A54" s="84">
        <v>53</v>
      </c>
      <c r="B54" s="84" t="s">
        <v>53</v>
      </c>
      <c r="C54" s="91">
        <v>6.9</v>
      </c>
      <c r="D54" s="91">
        <v>11.4</v>
      </c>
      <c r="E54" s="91">
        <v>14.9</v>
      </c>
      <c r="F54" s="91">
        <v>17</v>
      </c>
      <c r="G54" s="91">
        <v>15.2</v>
      </c>
      <c r="H54" s="92">
        <v>14.4</v>
      </c>
      <c r="I54" s="91">
        <v>15.2</v>
      </c>
      <c r="J54" s="91">
        <v>12.7</v>
      </c>
      <c r="K54" s="91">
        <v>12.5</v>
      </c>
      <c r="L54" s="92">
        <v>12.4</v>
      </c>
      <c r="M54" s="92">
        <v>10.8</v>
      </c>
      <c r="N54" s="92">
        <v>7.1</v>
      </c>
      <c r="O54" s="92">
        <v>6.4</v>
      </c>
      <c r="P54" s="93">
        <f>5.4*0.58</f>
        <v>3.1320000000000001</v>
      </c>
      <c r="Q54" s="93">
        <f>5.6*0.58</f>
        <v>3.2479999999999998</v>
      </c>
      <c r="R54" s="94">
        <f>7.45341614906832*0.58</f>
        <v>4.3229813664596257</v>
      </c>
    </row>
    <row r="55" spans="1:18" x14ac:dyDescent="0.25">
      <c r="A55" s="84">
        <v>54</v>
      </c>
      <c r="B55" s="84" t="s">
        <v>54</v>
      </c>
      <c r="C55" s="91">
        <v>8.4</v>
      </c>
      <c r="D55" s="91">
        <v>7.3</v>
      </c>
      <c r="E55" s="91">
        <v>8.6</v>
      </c>
      <c r="F55" s="91">
        <v>9.3000000000000007</v>
      </c>
      <c r="G55" s="91">
        <v>8.1999999999999993</v>
      </c>
      <c r="H55" s="92">
        <v>9.1999999999999993</v>
      </c>
      <c r="I55" s="91">
        <v>11</v>
      </c>
      <c r="J55" s="91">
        <v>11.4</v>
      </c>
      <c r="K55" s="91">
        <v>15.6</v>
      </c>
      <c r="L55" s="92">
        <v>17.100000000000001</v>
      </c>
      <c r="M55" s="92">
        <v>14.7</v>
      </c>
      <c r="N55" s="92">
        <v>20.100000000000001</v>
      </c>
      <c r="O55" s="92">
        <v>20.7</v>
      </c>
      <c r="P55" s="93">
        <f>20.9*0.58</f>
        <v>12.121999999999998</v>
      </c>
      <c r="Q55" s="93">
        <f>13.1*0.58</f>
        <v>7.597999999999999</v>
      </c>
      <c r="R55" s="94">
        <f>17.5332527206771*0.58</f>
        <v>10.169286577992718</v>
      </c>
    </row>
    <row r="56" spans="1:18" x14ac:dyDescent="0.25">
      <c r="A56" s="84">
        <v>55</v>
      </c>
      <c r="B56" s="84" t="s">
        <v>55</v>
      </c>
      <c r="C56" s="91">
        <v>15.1</v>
      </c>
      <c r="D56" s="91">
        <v>12.7</v>
      </c>
      <c r="E56" s="91">
        <v>17.8</v>
      </c>
      <c r="F56" s="91">
        <v>13.8</v>
      </c>
      <c r="G56" s="91">
        <v>12.3</v>
      </c>
      <c r="H56" s="92">
        <v>12.1</v>
      </c>
      <c r="I56" s="91">
        <v>9.8000000000000007</v>
      </c>
      <c r="J56" s="91">
        <v>6.3</v>
      </c>
      <c r="K56" s="91">
        <v>5.4</v>
      </c>
      <c r="L56" s="92">
        <v>5.8</v>
      </c>
      <c r="M56" s="92">
        <v>5</v>
      </c>
      <c r="N56" s="92">
        <v>3.9</v>
      </c>
      <c r="O56" s="92">
        <v>4.3</v>
      </c>
      <c r="P56" s="93">
        <f>8.3*0.58</f>
        <v>4.8140000000000001</v>
      </c>
      <c r="Q56" s="93">
        <f>10.2*0.58</f>
        <v>5.9159999999999995</v>
      </c>
      <c r="R56" s="94">
        <f>14.8597739640017*0.58</f>
        <v>8.6186688991209852</v>
      </c>
    </row>
    <row r="57" spans="1:18" x14ac:dyDescent="0.25">
      <c r="A57" s="84">
        <v>56</v>
      </c>
      <c r="B57" s="84" t="s">
        <v>56</v>
      </c>
      <c r="C57" s="91">
        <v>9.4</v>
      </c>
      <c r="D57" s="91">
        <v>7.7</v>
      </c>
      <c r="E57" s="91">
        <v>8.5</v>
      </c>
      <c r="F57" s="91">
        <v>7.7</v>
      </c>
      <c r="G57" s="91">
        <v>7.3</v>
      </c>
      <c r="H57" s="92">
        <v>6.4</v>
      </c>
      <c r="I57" s="91">
        <v>5.5</v>
      </c>
      <c r="J57" s="91">
        <v>7</v>
      </c>
      <c r="K57" s="91">
        <v>6.4</v>
      </c>
      <c r="L57" s="92">
        <v>6.8</v>
      </c>
      <c r="M57" s="92">
        <v>6.3</v>
      </c>
      <c r="N57" s="92">
        <v>4.8</v>
      </c>
      <c r="O57" s="92">
        <v>5</v>
      </c>
      <c r="P57" s="93">
        <f>11.2*0.58</f>
        <v>6.4959999999999996</v>
      </c>
      <c r="Q57" s="93">
        <f>6.1*0.58</f>
        <v>3.5379999999999994</v>
      </c>
      <c r="R57" s="94">
        <f>7.13375796178344*0.58</f>
        <v>4.1375796178343949</v>
      </c>
    </row>
    <row r="58" spans="1:18" x14ac:dyDescent="0.25">
      <c r="A58" s="84">
        <v>57</v>
      </c>
      <c r="B58" s="84" t="s">
        <v>57</v>
      </c>
      <c r="C58" s="91">
        <v>6.3</v>
      </c>
      <c r="D58" s="91">
        <v>6.2</v>
      </c>
      <c r="E58" s="91">
        <v>8.1999999999999993</v>
      </c>
      <c r="F58" s="91">
        <v>8.6999999999999993</v>
      </c>
      <c r="G58" s="91">
        <v>7.5</v>
      </c>
      <c r="H58" s="92">
        <v>7.6</v>
      </c>
      <c r="I58" s="91">
        <v>8</v>
      </c>
      <c r="J58" s="91">
        <v>6.3</v>
      </c>
      <c r="K58" s="91">
        <v>7.1</v>
      </c>
      <c r="L58" s="92">
        <v>5.0999999999999996</v>
      </c>
      <c r="M58" s="92">
        <v>5.2</v>
      </c>
      <c r="N58" s="92">
        <v>3.6</v>
      </c>
      <c r="O58" s="92">
        <v>3.4</v>
      </c>
      <c r="P58" s="93">
        <f>12.3*0.58</f>
        <v>7.1340000000000003</v>
      </c>
      <c r="Q58" s="93">
        <f>14.6*0.58</f>
        <v>8.468</v>
      </c>
      <c r="R58" s="94">
        <f>15.1270207852194*0.58</f>
        <v>8.7736720554272516</v>
      </c>
    </row>
    <row r="59" spans="1:18" x14ac:dyDescent="0.25">
      <c r="A59" s="84">
        <v>58</v>
      </c>
      <c r="B59" s="84" t="s">
        <v>58</v>
      </c>
      <c r="C59" s="91">
        <v>10.4</v>
      </c>
      <c r="D59" s="91">
        <v>9.1999999999999993</v>
      </c>
      <c r="E59" s="91">
        <v>13.6</v>
      </c>
      <c r="F59" s="91">
        <v>11.1</v>
      </c>
      <c r="G59" s="91">
        <v>10.9</v>
      </c>
      <c r="H59" s="92">
        <v>12.4</v>
      </c>
      <c r="I59" s="91">
        <v>13.1</v>
      </c>
      <c r="J59" s="91">
        <v>9.1999999999999993</v>
      </c>
      <c r="K59" s="91">
        <v>8.3000000000000007</v>
      </c>
      <c r="L59" s="92">
        <v>5.5</v>
      </c>
      <c r="M59" s="92">
        <v>4.2</v>
      </c>
      <c r="N59" s="92">
        <v>4.5999999999999996</v>
      </c>
      <c r="O59" s="92">
        <v>4.5999999999999996</v>
      </c>
      <c r="P59" s="93">
        <f>10.7*0.58</f>
        <v>6.2059999999999995</v>
      </c>
      <c r="Q59" s="93">
        <f>9.8*0.58</f>
        <v>5.6840000000000002</v>
      </c>
      <c r="R59" s="94">
        <f>14.1242937853107*0.58</f>
        <v>8.1920903954802053</v>
      </c>
    </row>
    <row r="60" spans="1:18" x14ac:dyDescent="0.25">
      <c r="A60" s="84">
        <v>59</v>
      </c>
      <c r="B60" s="84" t="s">
        <v>59</v>
      </c>
      <c r="C60" s="91">
        <v>18.3</v>
      </c>
      <c r="D60" s="91">
        <v>12.2</v>
      </c>
      <c r="E60" s="91">
        <v>14.3</v>
      </c>
      <c r="F60" s="91">
        <v>13.3</v>
      </c>
      <c r="G60" s="91">
        <v>12.9</v>
      </c>
      <c r="H60" s="92">
        <v>15</v>
      </c>
      <c r="I60" s="91">
        <v>13.6</v>
      </c>
      <c r="J60" s="91">
        <v>13.3</v>
      </c>
      <c r="K60" s="91">
        <v>11.5</v>
      </c>
      <c r="L60" s="92">
        <v>11</v>
      </c>
      <c r="M60" s="92">
        <v>8.5</v>
      </c>
      <c r="N60" s="92">
        <v>9.4</v>
      </c>
      <c r="O60" s="92">
        <v>9.6</v>
      </c>
      <c r="P60" s="93">
        <f>16.7*0.58</f>
        <v>9.6859999999999982</v>
      </c>
      <c r="Q60" s="93">
        <f>11.6*0.58</f>
        <v>6.7279999999999998</v>
      </c>
      <c r="R60" s="94">
        <f>11.1837577426015*0.58</f>
        <v>6.4865794907088699</v>
      </c>
    </row>
    <row r="61" spans="1:18" x14ac:dyDescent="0.25">
      <c r="A61" s="84">
        <v>60</v>
      </c>
      <c r="B61" s="84" t="s">
        <v>60</v>
      </c>
      <c r="C61" s="91">
        <v>5.8</v>
      </c>
      <c r="D61" s="91">
        <v>6.1</v>
      </c>
      <c r="E61" s="91">
        <v>6.6</v>
      </c>
      <c r="F61" s="91">
        <v>6.5</v>
      </c>
      <c r="G61" s="91">
        <v>7.5</v>
      </c>
      <c r="H61" s="92">
        <v>9.8000000000000007</v>
      </c>
      <c r="I61" s="84">
        <v>9.8000000000000007</v>
      </c>
      <c r="J61" s="91">
        <v>8.1999999999999993</v>
      </c>
      <c r="K61" s="84">
        <v>8.1</v>
      </c>
      <c r="L61" s="92">
        <v>8.4</v>
      </c>
      <c r="M61" s="92">
        <v>8</v>
      </c>
      <c r="N61" s="92">
        <v>9.1999999999999993</v>
      </c>
      <c r="O61" s="92">
        <v>7.9</v>
      </c>
      <c r="P61" s="93">
        <f>12.7*0.58</f>
        <v>7.3659999999999988</v>
      </c>
      <c r="Q61" s="93">
        <f>6.9*0.58</f>
        <v>4.0019999999999998</v>
      </c>
      <c r="R61" s="94">
        <f>8.52311161217587*0.58</f>
        <v>4.9434047350620034</v>
      </c>
    </row>
    <row r="62" spans="1:18" x14ac:dyDescent="0.25">
      <c r="A62" s="84">
        <v>61</v>
      </c>
      <c r="B62" s="84" t="s">
        <v>61</v>
      </c>
      <c r="C62" s="91">
        <v>13.9</v>
      </c>
      <c r="D62" s="84">
        <v>11.9</v>
      </c>
      <c r="E62" s="84">
        <v>14.1</v>
      </c>
      <c r="F62" s="84">
        <v>10.9</v>
      </c>
      <c r="G62" s="84">
        <v>11.3</v>
      </c>
      <c r="H62" s="95">
        <v>9.9</v>
      </c>
      <c r="I62" s="84">
        <v>10.9</v>
      </c>
      <c r="J62" s="84">
        <v>11.5</v>
      </c>
      <c r="K62" s="84">
        <v>9.8000000000000007</v>
      </c>
      <c r="L62" s="95">
        <v>8.5</v>
      </c>
      <c r="M62" s="95">
        <v>9.1999999999999993</v>
      </c>
      <c r="N62" s="95">
        <v>7</v>
      </c>
      <c r="O62" s="95">
        <v>8.6</v>
      </c>
      <c r="P62" s="96">
        <f>16.6*0.58</f>
        <v>9.6280000000000001</v>
      </c>
      <c r="Q62" s="96">
        <f>10.5*0.58</f>
        <v>6.09</v>
      </c>
      <c r="R62" s="94">
        <f>11.3958560523446*0.58</f>
        <v>6.6095965103598679</v>
      </c>
    </row>
    <row r="63" spans="1:18" x14ac:dyDescent="0.25">
      <c r="A63" s="84">
        <v>62</v>
      </c>
      <c r="B63" s="84" t="s">
        <v>62</v>
      </c>
      <c r="C63" s="84">
        <v>16</v>
      </c>
      <c r="D63" s="91">
        <v>5.5</v>
      </c>
      <c r="E63" s="91">
        <v>1.5</v>
      </c>
      <c r="F63" s="91">
        <v>2.4</v>
      </c>
      <c r="G63" s="91">
        <v>5.5</v>
      </c>
      <c r="H63" s="95">
        <v>6.5</v>
      </c>
      <c r="I63" s="91">
        <v>22.1</v>
      </c>
      <c r="J63" s="91">
        <v>18.5</v>
      </c>
      <c r="K63" s="91">
        <v>19.399999999999999</v>
      </c>
      <c r="L63" s="95">
        <v>10.7</v>
      </c>
      <c r="M63" s="95">
        <v>10.9</v>
      </c>
      <c r="N63" s="95">
        <v>6.2</v>
      </c>
      <c r="O63" s="95">
        <v>6.8</v>
      </c>
      <c r="P63" s="96">
        <f>6.6*0.58</f>
        <v>3.8279999999999994</v>
      </c>
      <c r="Q63" s="96">
        <f>5.3*0.58</f>
        <v>3.0739999999999998</v>
      </c>
      <c r="R63" s="94">
        <f>3.8135593220339*0.58</f>
        <v>2.2118644067796618</v>
      </c>
    </row>
    <row r="64" spans="1:18" x14ac:dyDescent="0.25">
      <c r="A64" s="84">
        <v>63</v>
      </c>
      <c r="B64" s="84" t="s">
        <v>63</v>
      </c>
      <c r="C64" s="84">
        <v>6.7</v>
      </c>
      <c r="D64" s="91">
        <v>7</v>
      </c>
      <c r="E64" s="84">
        <v>7.2</v>
      </c>
      <c r="F64" s="91">
        <v>7.5</v>
      </c>
      <c r="G64" s="91">
        <v>6</v>
      </c>
      <c r="H64" s="95">
        <v>11</v>
      </c>
      <c r="I64" s="91">
        <v>11.8</v>
      </c>
      <c r="J64" s="91">
        <v>10.199999999999999</v>
      </c>
      <c r="K64" s="91">
        <v>6.7</v>
      </c>
      <c r="L64" s="95">
        <v>8.5</v>
      </c>
      <c r="M64" s="92">
        <v>4.8</v>
      </c>
      <c r="N64" s="95">
        <v>6.4</v>
      </c>
      <c r="O64" s="95">
        <v>4.7</v>
      </c>
      <c r="P64" s="96">
        <f>6.8*0.58</f>
        <v>3.9439999999999995</v>
      </c>
      <c r="Q64" s="96">
        <f>5.2*0.58</f>
        <v>3.016</v>
      </c>
      <c r="R64" s="94">
        <f>5.82329317269076*0.58</f>
        <v>3.3775100401606406</v>
      </c>
    </row>
    <row r="65" spans="1:18" x14ac:dyDescent="0.25">
      <c r="A65" s="84">
        <v>64</v>
      </c>
      <c r="B65" s="84" t="s">
        <v>64</v>
      </c>
      <c r="C65" s="114"/>
      <c r="D65" s="91">
        <v>1.8</v>
      </c>
      <c r="E65" s="114"/>
      <c r="F65" s="114"/>
      <c r="G65" s="91">
        <v>12.5</v>
      </c>
      <c r="H65" s="95">
        <v>13</v>
      </c>
      <c r="I65" s="91">
        <v>6.8</v>
      </c>
      <c r="J65" s="91">
        <v>4.5</v>
      </c>
      <c r="K65" s="91">
        <v>3.3</v>
      </c>
      <c r="L65" s="95">
        <v>1.8</v>
      </c>
      <c r="M65" s="95">
        <v>4.9000000000000004</v>
      </c>
      <c r="N65" s="95">
        <v>2.4</v>
      </c>
      <c r="O65" s="95">
        <v>1.8</v>
      </c>
      <c r="P65" s="96">
        <f>2*0.58</f>
        <v>1.1599999999999999</v>
      </c>
      <c r="Q65" s="96">
        <f>5.6*0.58</f>
        <v>3.2479999999999998</v>
      </c>
      <c r="R65" s="94">
        <f>9.09090909090909*0.58</f>
        <v>5.2727272727272716</v>
      </c>
    </row>
    <row r="66" spans="1:18" x14ac:dyDescent="0.25">
      <c r="A66" s="84">
        <v>65</v>
      </c>
      <c r="B66" s="84" t="s">
        <v>65</v>
      </c>
      <c r="C66" s="91">
        <v>11.7</v>
      </c>
      <c r="D66" s="91">
        <v>12.2</v>
      </c>
      <c r="E66" s="91">
        <v>9.6</v>
      </c>
      <c r="F66" s="91">
        <v>7.5</v>
      </c>
      <c r="G66" s="91">
        <v>5.3</v>
      </c>
      <c r="H66" s="92">
        <v>5.4</v>
      </c>
      <c r="I66" s="91">
        <v>5.6</v>
      </c>
      <c r="J66" s="91">
        <v>6.8</v>
      </c>
      <c r="K66" s="91">
        <v>9.1</v>
      </c>
      <c r="L66" s="95">
        <v>8.1</v>
      </c>
      <c r="M66" s="95">
        <v>3</v>
      </c>
      <c r="N66" s="92">
        <v>2.1</v>
      </c>
      <c r="O66" s="92">
        <v>4</v>
      </c>
      <c r="P66" s="96">
        <f>7.4*0.58</f>
        <v>4.2919999999999998</v>
      </c>
      <c r="Q66" s="93">
        <f>3.4*0.58</f>
        <v>1.9719999999999998</v>
      </c>
      <c r="R66" s="94">
        <f>3.79746835443038*0.58</f>
        <v>2.2025316455696204</v>
      </c>
    </row>
    <row r="67" spans="1:18" x14ac:dyDescent="0.25">
      <c r="A67" s="84">
        <v>66</v>
      </c>
      <c r="B67" s="84" t="s">
        <v>66</v>
      </c>
      <c r="C67" s="91">
        <v>10.1</v>
      </c>
      <c r="D67" s="91">
        <v>8</v>
      </c>
      <c r="E67" s="91">
        <v>8.9</v>
      </c>
      <c r="F67" s="91">
        <v>7.2</v>
      </c>
      <c r="G67" s="91">
        <v>7.6</v>
      </c>
      <c r="H67" s="92">
        <v>8.1999999999999993</v>
      </c>
      <c r="I67" s="91">
        <v>11</v>
      </c>
      <c r="J67" s="91">
        <v>10.5</v>
      </c>
      <c r="K67" s="91">
        <v>11.3</v>
      </c>
      <c r="L67" s="95">
        <v>11.4</v>
      </c>
      <c r="M67" s="95">
        <v>12</v>
      </c>
      <c r="N67" s="92">
        <v>12.4</v>
      </c>
      <c r="O67" s="92">
        <v>12.6</v>
      </c>
      <c r="P67" s="96">
        <f>15.4*0.58</f>
        <v>8.9320000000000004</v>
      </c>
      <c r="Q67" s="93">
        <f>12.9*0.58</f>
        <v>7.4819999999999993</v>
      </c>
      <c r="R67" s="94">
        <f>19.453125*0.58</f>
        <v>11.282812499999999</v>
      </c>
    </row>
    <row r="68" spans="1:18" x14ac:dyDescent="0.25">
      <c r="A68" s="84">
        <v>67</v>
      </c>
      <c r="B68" s="84" t="s">
        <v>73</v>
      </c>
      <c r="C68" s="95">
        <v>5.9</v>
      </c>
      <c r="D68" s="95">
        <v>8.5</v>
      </c>
      <c r="E68" s="95">
        <v>6</v>
      </c>
      <c r="F68" s="91">
        <v>5.5</v>
      </c>
      <c r="G68" s="91">
        <v>4.4000000000000004</v>
      </c>
      <c r="H68" s="95">
        <v>6.7</v>
      </c>
      <c r="I68" s="91">
        <v>4</v>
      </c>
      <c r="J68" s="91">
        <v>2.2999999999999998</v>
      </c>
      <c r="K68" s="91">
        <v>2.2000000000000002</v>
      </c>
      <c r="L68" s="95">
        <v>5.3</v>
      </c>
      <c r="M68" s="95">
        <v>6.1</v>
      </c>
      <c r="N68" s="95">
        <v>4</v>
      </c>
      <c r="O68" s="95">
        <v>2.9</v>
      </c>
      <c r="P68" s="96">
        <f>5.6*0.58</f>
        <v>3.2479999999999998</v>
      </c>
      <c r="Q68" s="96">
        <f>3.8*0.58</f>
        <v>2.2039999999999997</v>
      </c>
      <c r="R68" s="94">
        <f>4.07830342577488*0.58</f>
        <v>2.3654159869494302</v>
      </c>
    </row>
    <row r="69" spans="1:18" x14ac:dyDescent="0.25">
      <c r="A69" s="84">
        <v>68</v>
      </c>
      <c r="B69" s="84" t="s">
        <v>67</v>
      </c>
      <c r="C69" s="84">
        <v>6.7</v>
      </c>
      <c r="D69" s="84">
        <v>6.2</v>
      </c>
      <c r="E69" s="91">
        <v>12.3</v>
      </c>
      <c r="F69" s="91">
        <v>14</v>
      </c>
      <c r="G69" s="91">
        <v>12.2</v>
      </c>
      <c r="H69" s="92">
        <v>10</v>
      </c>
      <c r="I69" s="91">
        <v>10.199999999999999</v>
      </c>
      <c r="J69" s="91">
        <v>9.5</v>
      </c>
      <c r="K69" s="91">
        <v>11.2</v>
      </c>
      <c r="L69" s="92">
        <v>9.3000000000000007</v>
      </c>
      <c r="M69" s="92">
        <v>8.8000000000000007</v>
      </c>
      <c r="N69" s="95">
        <v>7.1</v>
      </c>
      <c r="O69" s="92">
        <v>7.1</v>
      </c>
      <c r="P69" s="93">
        <f>11.1*0.58</f>
        <v>6.4379999999999997</v>
      </c>
      <c r="Q69" s="96">
        <f>6.9*0.58</f>
        <v>4.0019999999999998</v>
      </c>
      <c r="R69" s="94">
        <f>6.71905697445972*0.58</f>
        <v>3.8970530451866376</v>
      </c>
    </row>
    <row r="70" spans="1:18" x14ac:dyDescent="0.25">
      <c r="A70" s="84">
        <v>69</v>
      </c>
      <c r="B70" s="84" t="s">
        <v>68</v>
      </c>
      <c r="C70" s="91">
        <v>10.199999999999999</v>
      </c>
      <c r="D70" s="91">
        <v>7.9</v>
      </c>
      <c r="E70" s="91">
        <v>11.2</v>
      </c>
      <c r="F70" s="91">
        <v>9</v>
      </c>
      <c r="G70" s="91">
        <v>7.5</v>
      </c>
      <c r="H70" s="92">
        <v>8.6999999999999993</v>
      </c>
      <c r="I70" s="91">
        <v>6.5</v>
      </c>
      <c r="J70" s="91">
        <v>6.9</v>
      </c>
      <c r="K70" s="91">
        <v>8.6999999999999993</v>
      </c>
      <c r="L70" s="92">
        <v>6.4</v>
      </c>
      <c r="M70" s="92">
        <v>7.9</v>
      </c>
      <c r="N70" s="92">
        <v>4.8</v>
      </c>
      <c r="O70" s="92">
        <v>5.3</v>
      </c>
      <c r="P70" s="93">
        <f>8.7*0.58</f>
        <v>5.0459999999999994</v>
      </c>
      <c r="Q70" s="93">
        <f>5.4*0.58</f>
        <v>3.1320000000000001</v>
      </c>
      <c r="R70" s="94">
        <v>7.093096896770108</v>
      </c>
    </row>
    <row r="71" spans="1:18" x14ac:dyDescent="0.25">
      <c r="A71" s="84">
        <v>70</v>
      </c>
      <c r="B71" s="84" t="s">
        <v>69</v>
      </c>
      <c r="C71" s="91">
        <v>6.3</v>
      </c>
      <c r="D71" s="91">
        <v>6.3</v>
      </c>
      <c r="E71" s="91">
        <v>6.7</v>
      </c>
      <c r="F71" s="91">
        <v>6</v>
      </c>
      <c r="G71" s="91">
        <v>4.8</v>
      </c>
      <c r="H71" s="92">
        <v>5.9</v>
      </c>
      <c r="I71" s="91">
        <v>6.4</v>
      </c>
      <c r="J71" s="91">
        <v>6.1</v>
      </c>
      <c r="K71" s="91">
        <v>4.5999999999999996</v>
      </c>
      <c r="L71" s="92">
        <v>7</v>
      </c>
      <c r="M71" s="92">
        <v>3.9</v>
      </c>
      <c r="N71" s="92">
        <v>3.2</v>
      </c>
      <c r="O71" s="92">
        <v>6.2</v>
      </c>
      <c r="P71" s="93">
        <f>6.3*0.58</f>
        <v>3.6539999999999995</v>
      </c>
      <c r="Q71" s="93">
        <f>4.4*0.58</f>
        <v>2.552</v>
      </c>
      <c r="R71" s="94">
        <f>6.30461922596754*0.58</f>
        <v>3.6566791510611734</v>
      </c>
    </row>
    <row r="72" spans="1:18" x14ac:dyDescent="0.25">
      <c r="A72" s="84">
        <v>71</v>
      </c>
      <c r="B72" s="84" t="s">
        <v>70</v>
      </c>
      <c r="C72" s="91">
        <v>5.9</v>
      </c>
      <c r="D72" s="91">
        <v>4.0999999999999996</v>
      </c>
      <c r="E72" s="91">
        <v>4.9000000000000004</v>
      </c>
      <c r="F72" s="91">
        <v>5.4</v>
      </c>
      <c r="G72" s="91">
        <v>5.6</v>
      </c>
      <c r="H72" s="92">
        <v>5.5</v>
      </c>
      <c r="I72" s="91">
        <v>8.1999999999999993</v>
      </c>
      <c r="J72" s="91">
        <v>8.6</v>
      </c>
      <c r="K72" s="91">
        <v>9.9</v>
      </c>
      <c r="L72" s="92">
        <v>9.6999999999999993</v>
      </c>
      <c r="M72" s="92">
        <v>9.4</v>
      </c>
      <c r="N72" s="92">
        <v>7.6</v>
      </c>
      <c r="O72" s="92">
        <v>7.5</v>
      </c>
      <c r="P72" s="93">
        <f>10.2*0.58</f>
        <v>5.9159999999999995</v>
      </c>
      <c r="Q72" s="93">
        <f>7.9*0.58</f>
        <v>4.5819999999999999</v>
      </c>
      <c r="R72" s="94">
        <f>7.97491039426523*0.58</f>
        <v>4.6254480286738326</v>
      </c>
    </row>
    <row r="73" spans="1:18" x14ac:dyDescent="0.25">
      <c r="A73" s="84">
        <v>72</v>
      </c>
      <c r="B73" s="84" t="s">
        <v>71</v>
      </c>
      <c r="C73" s="91">
        <v>5.3</v>
      </c>
      <c r="D73" s="91">
        <v>6</v>
      </c>
      <c r="E73" s="91">
        <v>6.3</v>
      </c>
      <c r="F73" s="91">
        <v>5.8</v>
      </c>
      <c r="G73" s="91">
        <v>6</v>
      </c>
      <c r="H73" s="92">
        <v>7.3</v>
      </c>
      <c r="I73" s="91">
        <v>7.1</v>
      </c>
      <c r="J73" s="91">
        <v>8.1999999999999993</v>
      </c>
      <c r="K73" s="91">
        <v>8.3000000000000007</v>
      </c>
      <c r="L73" s="92">
        <v>8.1999999999999993</v>
      </c>
      <c r="M73" s="92">
        <v>6.4</v>
      </c>
      <c r="N73" s="92">
        <v>7.6</v>
      </c>
      <c r="O73" s="92">
        <v>7.5</v>
      </c>
      <c r="P73" s="93">
        <f>9.5*0.58</f>
        <v>5.51</v>
      </c>
      <c r="Q73" s="93">
        <f>7.5*0.58</f>
        <v>4.3499999999999996</v>
      </c>
      <c r="R73" s="94">
        <f>10.5102817974105*0.58</f>
        <v>6.0959634424980891</v>
      </c>
    </row>
    <row r="74" spans="1:18" x14ac:dyDescent="0.25">
      <c r="A74" s="84">
        <v>73</v>
      </c>
      <c r="B74" s="84" t="s">
        <v>72</v>
      </c>
      <c r="C74" s="91">
        <v>17.100000000000001</v>
      </c>
      <c r="D74" s="91">
        <v>15.6</v>
      </c>
      <c r="E74" s="91">
        <v>16.899999999999999</v>
      </c>
      <c r="F74" s="91">
        <v>16</v>
      </c>
      <c r="G74" s="91">
        <v>15.3</v>
      </c>
      <c r="H74" s="92">
        <v>18.399999999999999</v>
      </c>
      <c r="I74" s="91">
        <v>15.7</v>
      </c>
      <c r="J74" s="91">
        <v>11.4</v>
      </c>
      <c r="K74" s="91">
        <v>14.6</v>
      </c>
      <c r="L74" s="92">
        <v>13.7</v>
      </c>
      <c r="M74" s="92">
        <v>12.8</v>
      </c>
      <c r="N74" s="92">
        <v>12.2</v>
      </c>
      <c r="O74" s="92">
        <v>14</v>
      </c>
      <c r="P74" s="93">
        <f>17.9*0.58</f>
        <v>10.381999999999998</v>
      </c>
      <c r="Q74" s="93">
        <f>14.8*0.58</f>
        <v>8.5839999999999996</v>
      </c>
      <c r="R74" s="94">
        <f>24.5593419506463*0.58</f>
        <v>14.244418331374852</v>
      </c>
    </row>
    <row r="75" spans="1:18" x14ac:dyDescent="0.25">
      <c r="A75" s="84">
        <v>74</v>
      </c>
      <c r="B75" s="84" t="s">
        <v>74</v>
      </c>
      <c r="C75" s="91">
        <v>5.0999999999999996</v>
      </c>
      <c r="D75" s="84">
        <v>6.4</v>
      </c>
      <c r="E75" s="84">
        <v>5.7</v>
      </c>
      <c r="F75" s="84">
        <v>4.7</v>
      </c>
      <c r="G75" s="84">
        <v>4.5999999999999996</v>
      </c>
      <c r="H75" s="95">
        <v>7.4</v>
      </c>
      <c r="I75" s="91">
        <v>8.1</v>
      </c>
      <c r="J75" s="91">
        <v>6.7</v>
      </c>
      <c r="K75" s="84">
        <v>7.9</v>
      </c>
      <c r="L75" s="95">
        <v>8.5</v>
      </c>
      <c r="M75" s="95">
        <v>7</v>
      </c>
      <c r="N75" s="95">
        <v>7.6</v>
      </c>
      <c r="O75" s="95">
        <v>7.9</v>
      </c>
      <c r="P75" s="96">
        <f>8.6*0.58</f>
        <v>4.9879999999999995</v>
      </c>
      <c r="Q75" s="96">
        <f>3.9*0.58</f>
        <v>2.262</v>
      </c>
      <c r="R75" s="94">
        <f>8.6082059533387*0.58</f>
        <v>4.9927594529364461</v>
      </c>
    </row>
    <row r="76" spans="1:18" x14ac:dyDescent="0.25">
      <c r="A76" s="84">
        <v>75</v>
      </c>
      <c r="B76" s="84" t="s">
        <v>75</v>
      </c>
      <c r="C76" s="84">
        <v>7.1</v>
      </c>
      <c r="D76" s="84">
        <v>5.5</v>
      </c>
      <c r="E76" s="91">
        <v>5.4</v>
      </c>
      <c r="F76" s="91">
        <v>8.3000000000000007</v>
      </c>
      <c r="G76" s="91">
        <v>8.5</v>
      </c>
      <c r="H76" s="95">
        <v>9.6</v>
      </c>
      <c r="I76" s="91">
        <v>21.8</v>
      </c>
      <c r="J76" s="91">
        <v>23.5</v>
      </c>
      <c r="K76" s="91">
        <v>14.3</v>
      </c>
      <c r="L76" s="92">
        <v>12.3</v>
      </c>
      <c r="M76" s="95">
        <v>11.8</v>
      </c>
      <c r="N76" s="92">
        <v>12.7</v>
      </c>
      <c r="O76" s="92">
        <v>11.9</v>
      </c>
      <c r="P76" s="96">
        <v>15.5</v>
      </c>
      <c r="Q76" s="96">
        <f>13.1*0.58</f>
        <v>7.597999999999999</v>
      </c>
      <c r="R76" s="94">
        <f>12.7659574468085*0.58</f>
        <v>7.4042553191489295</v>
      </c>
    </row>
    <row r="77" spans="1:18" x14ac:dyDescent="0.25">
      <c r="A77" s="84">
        <v>76</v>
      </c>
      <c r="B77" s="84" t="s">
        <v>76</v>
      </c>
      <c r="C77" s="84">
        <v>4.4000000000000004</v>
      </c>
      <c r="D77" s="84">
        <v>5.5</v>
      </c>
      <c r="E77" s="91">
        <v>3.5</v>
      </c>
      <c r="F77" s="91">
        <v>6</v>
      </c>
      <c r="G77" s="91">
        <v>9.4</v>
      </c>
      <c r="H77" s="92">
        <v>7.9</v>
      </c>
      <c r="I77" s="91">
        <v>11.5</v>
      </c>
      <c r="J77" s="91">
        <v>11.7</v>
      </c>
      <c r="K77" s="91">
        <v>9.4</v>
      </c>
      <c r="L77" s="92">
        <v>9.3000000000000007</v>
      </c>
      <c r="M77" s="92">
        <v>6.1</v>
      </c>
      <c r="N77" s="92">
        <v>4.2</v>
      </c>
      <c r="O77" s="92">
        <v>4.5</v>
      </c>
      <c r="P77" s="93">
        <f>9.7*0.58</f>
        <v>5.6259999999999994</v>
      </c>
      <c r="Q77" s="93">
        <f>5.7*0.58</f>
        <v>3.306</v>
      </c>
      <c r="R77" s="94">
        <f>7.14285714285714*0.58</f>
        <v>4.1428571428571406</v>
      </c>
    </row>
    <row r="78" spans="1:18" x14ac:dyDescent="0.25">
      <c r="A78" s="84">
        <v>77</v>
      </c>
      <c r="B78" s="84" t="s">
        <v>77</v>
      </c>
      <c r="C78" s="84">
        <v>17</v>
      </c>
      <c r="D78" s="91">
        <v>4.7</v>
      </c>
      <c r="E78" s="91">
        <v>10.1</v>
      </c>
      <c r="F78" s="91">
        <v>11</v>
      </c>
      <c r="G78" s="91">
        <v>11.1</v>
      </c>
      <c r="H78" s="92">
        <v>11.1</v>
      </c>
      <c r="I78" s="91">
        <v>15.5</v>
      </c>
      <c r="J78" s="91">
        <v>13.6</v>
      </c>
      <c r="K78" s="91">
        <v>11.6</v>
      </c>
      <c r="L78" s="92">
        <v>10.5</v>
      </c>
      <c r="M78" s="92">
        <v>9.6999999999999993</v>
      </c>
      <c r="N78" s="92">
        <v>8.5</v>
      </c>
      <c r="O78" s="92">
        <v>7.9</v>
      </c>
      <c r="P78" s="93">
        <f>13.3*0.58</f>
        <v>7.7139999999999995</v>
      </c>
      <c r="Q78" s="93">
        <f>8.1*0.58</f>
        <v>4.6979999999999995</v>
      </c>
      <c r="R78" s="94">
        <f>5.88235294117647*0.58</f>
        <v>3.4117647058823524</v>
      </c>
    </row>
    <row r="79" spans="1:18" x14ac:dyDescent="0.25">
      <c r="A79" s="84">
        <v>78</v>
      </c>
      <c r="B79" s="84" t="s">
        <v>78</v>
      </c>
      <c r="C79" s="84">
        <v>1.3</v>
      </c>
      <c r="D79" s="91">
        <v>5.5</v>
      </c>
      <c r="E79" s="91">
        <v>7.5</v>
      </c>
      <c r="F79" s="91">
        <v>6.5</v>
      </c>
      <c r="G79" s="91">
        <v>6.2</v>
      </c>
      <c r="H79" s="92">
        <v>5.9</v>
      </c>
      <c r="I79" s="91">
        <v>7.1</v>
      </c>
      <c r="J79" s="91">
        <v>7.8</v>
      </c>
      <c r="K79" s="91">
        <v>6.4</v>
      </c>
      <c r="L79" s="92">
        <v>6.1</v>
      </c>
      <c r="M79" s="92">
        <v>5.4</v>
      </c>
      <c r="N79" s="92">
        <v>6.1</v>
      </c>
      <c r="O79" s="92">
        <v>6</v>
      </c>
      <c r="P79" s="93">
        <f>6.3*0.58</f>
        <v>3.6539999999999995</v>
      </c>
      <c r="Q79" s="93">
        <f>5.1*0.58</f>
        <v>2.9579999999999997</v>
      </c>
      <c r="R79" s="94">
        <f>6.6577896138482*0.58</f>
        <v>3.8615179760319558</v>
      </c>
    </row>
    <row r="80" spans="1:18" x14ac:dyDescent="0.25">
      <c r="A80" s="84">
        <v>79</v>
      </c>
      <c r="B80" s="84" t="s">
        <v>79</v>
      </c>
      <c r="C80" s="91">
        <v>6.2</v>
      </c>
      <c r="D80" s="91">
        <v>6.8</v>
      </c>
      <c r="E80" s="91">
        <v>11.4</v>
      </c>
      <c r="F80" s="91">
        <v>26.9</v>
      </c>
      <c r="G80" s="91">
        <v>33.299999999999997</v>
      </c>
      <c r="H80" s="92">
        <v>34.299999999999997</v>
      </c>
      <c r="I80" s="91">
        <v>33.6</v>
      </c>
      <c r="J80" s="91">
        <v>24.6</v>
      </c>
      <c r="K80" s="91">
        <v>24.6</v>
      </c>
      <c r="L80" s="92">
        <v>15.1</v>
      </c>
      <c r="M80" s="92">
        <v>14.3</v>
      </c>
      <c r="N80" s="92">
        <v>12.2</v>
      </c>
      <c r="O80" s="92">
        <v>6.6</v>
      </c>
      <c r="P80" s="93">
        <f>10.3*0.58</f>
        <v>5.9740000000000002</v>
      </c>
      <c r="Q80" s="93">
        <f>13.3*0.58</f>
        <v>7.7139999999999995</v>
      </c>
      <c r="R80" s="94">
        <f>9.42760942760943*0.58</f>
        <v>5.4680134680134698</v>
      </c>
    </row>
    <row r="81" spans="1:18" x14ac:dyDescent="0.25">
      <c r="A81" s="84">
        <v>80</v>
      </c>
      <c r="B81" s="84" t="s">
        <v>80</v>
      </c>
      <c r="C81" s="91">
        <v>6.2</v>
      </c>
      <c r="D81" s="91">
        <v>3.9</v>
      </c>
      <c r="E81" s="91">
        <v>4.4000000000000004</v>
      </c>
      <c r="F81" s="91">
        <v>3.2</v>
      </c>
      <c r="G81" s="91">
        <v>3</v>
      </c>
      <c r="H81" s="92">
        <v>3.1</v>
      </c>
      <c r="I81" s="91">
        <v>4.3</v>
      </c>
      <c r="J81" s="91">
        <v>3.7</v>
      </c>
      <c r="K81" s="91">
        <v>3.4</v>
      </c>
      <c r="L81" s="92">
        <v>4.0999999999999996</v>
      </c>
      <c r="M81" s="92">
        <v>2.6</v>
      </c>
      <c r="N81" s="92">
        <v>3.3</v>
      </c>
      <c r="O81" s="92">
        <v>3.9</v>
      </c>
      <c r="P81" s="93">
        <f>6*0.58</f>
        <v>3.4799999999999995</v>
      </c>
      <c r="Q81" s="93">
        <f>5*0.58</f>
        <v>2.9</v>
      </c>
      <c r="R81" s="94">
        <f>4.80905233380481*0.58</f>
        <v>2.7892503536067896</v>
      </c>
    </row>
    <row r="82" spans="1:18" x14ac:dyDescent="0.25">
      <c r="A82" s="84">
        <v>81</v>
      </c>
      <c r="B82" s="84" t="s">
        <v>81</v>
      </c>
      <c r="C82" s="91">
        <v>3.9</v>
      </c>
      <c r="D82" s="91">
        <v>1.6</v>
      </c>
      <c r="E82" s="91">
        <v>4.8</v>
      </c>
      <c r="F82" s="91">
        <v>4.5999999999999996</v>
      </c>
      <c r="G82" s="91">
        <v>6.2</v>
      </c>
      <c r="H82" s="92">
        <v>10.5</v>
      </c>
      <c r="I82" s="91">
        <v>5</v>
      </c>
      <c r="J82" s="91">
        <v>9</v>
      </c>
      <c r="K82" s="91">
        <v>6.3</v>
      </c>
      <c r="L82" s="92">
        <v>6.3</v>
      </c>
      <c r="M82" s="92">
        <v>5.3</v>
      </c>
      <c r="N82" s="92">
        <v>6.5</v>
      </c>
      <c r="O82" s="92">
        <v>6.7</v>
      </c>
      <c r="P82" s="93">
        <f>7.2*0.58</f>
        <v>4.1760000000000002</v>
      </c>
      <c r="Q82" s="93">
        <f>4.3*0.58</f>
        <v>2.4939999999999998</v>
      </c>
      <c r="R82" s="94">
        <f>5.5*0.58</f>
        <v>3.19</v>
      </c>
    </row>
    <row r="83" spans="1:18" x14ac:dyDescent="0.25">
      <c r="A83" s="84">
        <v>82</v>
      </c>
      <c r="B83" s="84" t="s">
        <v>82</v>
      </c>
      <c r="C83" s="138"/>
      <c r="D83" s="138"/>
      <c r="E83" s="114"/>
      <c r="F83" s="138"/>
      <c r="G83" s="91">
        <v>11.1</v>
      </c>
      <c r="H83" s="92">
        <v>12.5</v>
      </c>
      <c r="I83" s="91">
        <v>12.5</v>
      </c>
      <c r="J83" s="91">
        <v>17.899999999999999</v>
      </c>
      <c r="K83" s="91">
        <v>25</v>
      </c>
      <c r="L83" s="92">
        <v>29.2</v>
      </c>
      <c r="M83" s="92">
        <v>17.8</v>
      </c>
      <c r="N83" s="92">
        <v>7.2</v>
      </c>
      <c r="O83" s="92">
        <v>10.7</v>
      </c>
      <c r="P83" s="93">
        <f>12.5*0.58</f>
        <v>7.2499999999999991</v>
      </c>
      <c r="Q83" s="93">
        <f>7.8*0.58</f>
        <v>4.524</v>
      </c>
      <c r="R83" s="94">
        <f>6.66666666666667*0.58</f>
        <v>3.866666666666668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83"/>
  <sheetViews>
    <sheetView zoomScale="90" zoomScaleNormal="90" workbookViewId="0">
      <selection activeCell="C1" sqref="C1"/>
    </sheetView>
  </sheetViews>
  <sheetFormatPr defaultRowHeight="15.75" x14ac:dyDescent="0.25"/>
  <cols>
    <col min="1" max="1" width="9.140625" style="80"/>
    <col min="2" max="2" width="37.140625" style="80" customWidth="1"/>
    <col min="3" max="3" width="9.5703125" style="80" customWidth="1"/>
    <col min="4" max="4" width="9.28515625" style="80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0.5150477655587653</v>
      </c>
      <c r="C2" s="187">
        <v>43831</v>
      </c>
      <c r="D2" s="80">
        <v>40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0.3355255763831001</v>
      </c>
      <c r="C3" s="187">
        <v>43831</v>
      </c>
      <c r="D3" s="80">
        <v>40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0.3887335276396362</v>
      </c>
      <c r="C4" s="187">
        <v>43831</v>
      </c>
      <c r="D4" s="80">
        <v>40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0.47243506877841174</v>
      </c>
      <c r="C5" s="187">
        <v>43831</v>
      </c>
      <c r="D5" s="80">
        <v>40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0.4781262305719694</v>
      </c>
      <c r="C6" s="187">
        <v>43831</v>
      </c>
      <c r="D6" s="80">
        <v>40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0.3728690719606354</v>
      </c>
      <c r="C7" s="187">
        <v>43831</v>
      </c>
      <c r="D7" s="80">
        <v>40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0.11678603334988695</v>
      </c>
      <c r="C8" s="187">
        <v>43831</v>
      </c>
      <c r="D8" s="80">
        <v>40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0.2094225079987603</v>
      </c>
      <c r="C9" s="187">
        <v>43831</v>
      </c>
      <c r="D9" s="80">
        <v>40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0.35395602450407304</v>
      </c>
      <c r="C10" s="187">
        <v>43831</v>
      </c>
      <c r="D10" s="80">
        <v>40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0.33169542864952728</v>
      </c>
      <c r="C11" s="187">
        <v>43831</v>
      </c>
      <c r="D11" s="80">
        <v>40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0.41712223443927421</v>
      </c>
      <c r="C12" s="187">
        <v>43831</v>
      </c>
      <c r="D12" s="80">
        <v>40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0.33567736946458315</v>
      </c>
      <c r="C13" s="187">
        <v>43831</v>
      </c>
      <c r="D13" s="80">
        <v>40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0.18466691842137042</v>
      </c>
      <c r="C14" s="187">
        <v>43831</v>
      </c>
      <c r="D14" s="80">
        <v>40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0.38329713134561261</v>
      </c>
      <c r="C15" s="187">
        <v>43831</v>
      </c>
      <c r="D15" s="80">
        <v>40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0.36964422383675194</v>
      </c>
      <c r="C16" s="187">
        <v>43831</v>
      </c>
      <c r="D16" s="80">
        <v>40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0.55322168481691125</v>
      </c>
      <c r="C17" s="187">
        <v>43831</v>
      </c>
      <c r="D17" s="80">
        <v>40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0.32813420056493831</v>
      </c>
      <c r="C18" s="187">
        <v>43831</v>
      </c>
      <c r="D18" s="80">
        <v>40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0.39944587573198764</v>
      </c>
      <c r="C19" s="187">
        <v>43831</v>
      </c>
      <c r="D19" s="80">
        <v>40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0.17973538386461049</v>
      </c>
      <c r="C20" s="187">
        <v>43831</v>
      </c>
      <c r="D20" s="80">
        <v>40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0.22527415223558916</v>
      </c>
      <c r="C21" s="187">
        <v>43831</v>
      </c>
      <c r="D21" s="80">
        <v>40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6.5912986242652821E-2</v>
      </c>
      <c r="C22" s="187">
        <v>43831</v>
      </c>
      <c r="D22" s="80">
        <v>40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0.37423526088501691</v>
      </c>
      <c r="C23" s="187">
        <v>43831</v>
      </c>
      <c r="D23" s="80">
        <v>40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0.1163506942399983</v>
      </c>
      <c r="C24" s="187">
        <v>43831</v>
      </c>
      <c r="D24" s="80">
        <v>40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0.21963193510607473</v>
      </c>
      <c r="C25" s="187">
        <v>43831</v>
      </c>
      <c r="D25" s="80">
        <v>40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0.28173560280808285</v>
      </c>
      <c r="C26" s="187">
        <v>43831</v>
      </c>
      <c r="D26" s="80">
        <v>40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0.35183617601553457</v>
      </c>
      <c r="C27" s="187">
        <v>43831</v>
      </c>
      <c r="D27" s="80">
        <v>40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0.28775597137130493</v>
      </c>
      <c r="C28" s="187">
        <v>43831</v>
      </c>
      <c r="D28" s="80">
        <v>40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0.47195003330400659</v>
      </c>
      <c r="C29" s="187">
        <v>43831</v>
      </c>
      <c r="D29" s="80">
        <v>40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0.26154554467842894</v>
      </c>
      <c r="C30" s="187">
        <v>43831</v>
      </c>
      <c r="D30" s="80">
        <v>40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1.4157973797000206E-2</v>
      </c>
      <c r="C31" s="187">
        <v>43831</v>
      </c>
      <c r="D31" s="80">
        <v>40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8.4281499464186782E-2</v>
      </c>
      <c r="C32" s="187">
        <v>43831</v>
      </c>
      <c r="D32" s="80">
        <v>40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0.10666508187441774</v>
      </c>
      <c r="C33" s="187">
        <v>43831</v>
      </c>
      <c r="D33" s="80">
        <v>40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0.10395205240210419</v>
      </c>
      <c r="C34" s="187">
        <v>43831</v>
      </c>
      <c r="D34" s="80">
        <v>40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0.21033833252025702</v>
      </c>
      <c r="C35" s="187">
        <v>43831</v>
      </c>
      <c r="D35" s="80">
        <v>40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0.42122433947500709</v>
      </c>
      <c r="C36" s="187">
        <v>43831</v>
      </c>
      <c r="D36" s="80">
        <v>40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0.50627424694066481</v>
      </c>
      <c r="C37" s="187">
        <v>43831</v>
      </c>
      <c r="D37" s="80">
        <v>40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1.835484701657164E-2</v>
      </c>
      <c r="C38" s="187">
        <v>43831</v>
      </c>
      <c r="D38" s="80">
        <v>40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2.8566283742600425E-4</v>
      </c>
      <c r="C39" s="187">
        <v>43831</v>
      </c>
      <c r="D39" s="80">
        <v>40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0.20139332526104747</v>
      </c>
      <c r="C40" s="187">
        <v>43831</v>
      </c>
      <c r="D40" s="80">
        <v>40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0.12051308158401169</v>
      </c>
      <c r="C41" s="187">
        <v>43831</v>
      </c>
      <c r="D41" s="80">
        <v>40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1.5718645235688621E-2</v>
      </c>
      <c r="C42" s="187">
        <v>43831</v>
      </c>
      <c r="D42" s="80">
        <v>40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1.1452553815848063E-3</v>
      </c>
      <c r="C43" s="187">
        <v>43831</v>
      </c>
      <c r="D43" s="80">
        <v>40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0.10343169584158239</v>
      </c>
      <c r="C44" s="187">
        <v>43831</v>
      </c>
      <c r="D44" s="80">
        <v>40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0.62062498504540675</v>
      </c>
      <c r="C45" s="187">
        <v>43831</v>
      </c>
      <c r="D45" s="80">
        <v>40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0.28555995911830451</v>
      </c>
      <c r="C46" s="187">
        <v>43831</v>
      </c>
      <c r="D46" s="80">
        <v>40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0.55709940261313862</v>
      </c>
      <c r="C47" s="187">
        <v>43831</v>
      </c>
      <c r="D47" s="80">
        <v>40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0.61844557032575376</v>
      </c>
      <c r="C48" s="187">
        <v>43831</v>
      </c>
      <c r="D48" s="80">
        <v>40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0.38628988179341694</v>
      </c>
      <c r="C49" s="187">
        <v>43831</v>
      </c>
      <c r="D49" s="80">
        <v>40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0.44086592990190143</v>
      </c>
      <c r="C50" s="187">
        <v>43831</v>
      </c>
      <c r="D50" s="80">
        <v>40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0.33095545050424557</v>
      </c>
      <c r="C51" s="187">
        <v>43831</v>
      </c>
      <c r="D51" s="80">
        <v>40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0.42357335985035999</v>
      </c>
      <c r="C52" s="187">
        <v>43831</v>
      </c>
      <c r="D52" s="80">
        <v>40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0.42594164753921787</v>
      </c>
      <c r="C53" s="187">
        <v>43831</v>
      </c>
      <c r="D53" s="80">
        <v>40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0.20121107337707719</v>
      </c>
      <c r="C54" s="187">
        <v>43831</v>
      </c>
      <c r="D54" s="80">
        <v>40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0.50580277210947389</v>
      </c>
      <c r="C55" s="187">
        <v>43831</v>
      </c>
      <c r="D55" s="80">
        <v>40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0.44742817840880927</v>
      </c>
      <c r="C56" s="187">
        <v>43831</v>
      </c>
      <c r="D56" s="80">
        <v>40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0.18726174068892729</v>
      </c>
      <c r="C57" s="187">
        <v>43831</v>
      </c>
      <c r="D57" s="80">
        <v>40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0.45383078331542809</v>
      </c>
      <c r="C58" s="187">
        <v>43831</v>
      </c>
      <c r="D58" s="80">
        <v>40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0.42907755615240867</v>
      </c>
      <c r="C59" s="187">
        <v>43831</v>
      </c>
      <c r="D59" s="80">
        <v>40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0.34349367468167891</v>
      </c>
      <c r="C60" s="187">
        <v>43831</v>
      </c>
      <c r="D60" s="80">
        <v>40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0.24606352436810031</v>
      </c>
      <c r="C61" s="187">
        <v>43831</v>
      </c>
      <c r="D61" s="80">
        <v>40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0.3503936030701883</v>
      </c>
      <c r="C62" s="187">
        <v>43831</v>
      </c>
      <c r="D62" s="80">
        <v>40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4.355334099593218E-2</v>
      </c>
      <c r="C63" s="187">
        <v>43831</v>
      </c>
      <c r="D63" s="80">
        <v>40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0.12844645698535886</v>
      </c>
      <c r="C64" s="187">
        <v>43831</v>
      </c>
      <c r="D64" s="80">
        <v>40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0.26858455984405383</v>
      </c>
      <c r="C65" s="187">
        <v>43831</v>
      </c>
      <c r="D65" s="80">
        <v>40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4.2978832844356704E-2</v>
      </c>
      <c r="C66" s="187">
        <v>43831</v>
      </c>
      <c r="D66" s="80">
        <v>40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0.54099837433497144</v>
      </c>
      <c r="C67" s="187">
        <v>43831</v>
      </c>
      <c r="D67" s="80">
        <v>40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5.33789150690007E-2</v>
      </c>
      <c r="C68" s="187">
        <v>43831</v>
      </c>
      <c r="D68" s="80">
        <v>40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0.16886689818185602</v>
      </c>
      <c r="C69" s="187">
        <v>43831</v>
      </c>
      <c r="D69" s="80">
        <v>40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0.37635826819710333</v>
      </c>
      <c r="C70" s="187">
        <v>43831</v>
      </c>
      <c r="D70" s="80">
        <v>40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0.15023347886231864</v>
      </c>
      <c r="C71" s="187">
        <v>43831</v>
      </c>
      <c r="D71" s="80">
        <v>40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0.22345361170963121</v>
      </c>
      <c r="C72" s="187">
        <v>43831</v>
      </c>
      <c r="D72" s="80">
        <v>40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0.32076090409205005</v>
      </c>
      <c r="C73" s="187">
        <v>43831</v>
      </c>
      <c r="D73" s="80">
        <v>40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0.61470692027411944</v>
      </c>
      <c r="C74" s="187">
        <v>43831</v>
      </c>
      <c r="D74" s="80">
        <v>40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0.24949790057946908</v>
      </c>
      <c r="C75" s="187">
        <v>43831</v>
      </c>
      <c r="D75" s="80">
        <v>40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0.39213580643425988</v>
      </c>
      <c r="C76" s="187">
        <v>43831</v>
      </c>
      <c r="D76" s="80">
        <v>40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0.18766179779329176</v>
      </c>
      <c r="C77" s="187">
        <v>43831</v>
      </c>
      <c r="D77" s="80">
        <v>40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0.13112053191537931</v>
      </c>
      <c r="C78" s="187">
        <v>43831</v>
      </c>
      <c r="D78" s="80">
        <v>40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0.16612542869735017</v>
      </c>
      <c r="C79" s="187">
        <v>43831</v>
      </c>
      <c r="D79" s="80">
        <v>40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0.28149520759593444</v>
      </c>
      <c r="C80" s="187">
        <v>43831</v>
      </c>
      <c r="D80" s="80">
        <v>40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8.3320037691214002E-2</v>
      </c>
      <c r="C81" s="187">
        <v>43831</v>
      </c>
      <c r="D81" s="80">
        <v>40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0.11384980785589069</v>
      </c>
      <c r="C82" s="187">
        <v>43831</v>
      </c>
      <c r="D82" s="80">
        <v>40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0.1665229704045661</v>
      </c>
      <c r="C83" s="187">
        <v>43831</v>
      </c>
      <c r="D83" s="80">
        <v>40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59999389629810485"/>
  </sheetPr>
  <dimension ref="A1:R84"/>
  <sheetViews>
    <sheetView topLeftCell="F1" zoomScale="90" zoomScaleNormal="90" workbookViewId="0">
      <selection activeCell="N17" sqref="N17"/>
    </sheetView>
  </sheetViews>
  <sheetFormatPr defaultRowHeight="15.75" x14ac:dyDescent="0.25"/>
  <cols>
    <col min="1" max="1" width="9.140625" style="80"/>
    <col min="2" max="2" width="35.5703125" style="80" customWidth="1"/>
    <col min="3" max="3" width="9.28515625" style="97" bestFit="1" customWidth="1"/>
    <col min="4" max="5" width="9.28515625" style="80" bestFit="1" customWidth="1"/>
    <col min="6" max="7" width="9.5703125" style="80" bestFit="1" customWidth="1"/>
    <col min="8" max="16384" width="9.140625" style="80"/>
  </cols>
  <sheetData>
    <row r="1" spans="1:18" x14ac:dyDescent="0.25">
      <c r="A1" s="84" t="s">
        <v>0</v>
      </c>
      <c r="B1" s="84" t="s">
        <v>83</v>
      </c>
      <c r="C1" s="98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99">
        <v>0.76809283938022055</v>
      </c>
      <c r="D2" s="99">
        <v>0.37713569903072119</v>
      </c>
      <c r="E2" s="99">
        <v>0.30170086647914979</v>
      </c>
      <c r="F2" s="99">
        <v>0.3466101549692403</v>
      </c>
      <c r="G2" s="99">
        <v>0.40497547088795044</v>
      </c>
      <c r="H2" s="100">
        <v>0.85097221116822808</v>
      </c>
      <c r="I2" s="100">
        <v>0.51293394861676822</v>
      </c>
      <c r="J2" s="100">
        <v>0.29928080856588829</v>
      </c>
      <c r="K2" s="100">
        <v>0.23</v>
      </c>
      <c r="L2" s="100">
        <v>0.8</v>
      </c>
      <c r="M2" s="100">
        <v>0.41</v>
      </c>
      <c r="N2" s="100">
        <v>2.62</v>
      </c>
      <c r="O2" s="100">
        <v>2.7244655072797506</v>
      </c>
      <c r="P2" s="100">
        <v>2.21</v>
      </c>
      <c r="Q2" s="100">
        <v>2.8</v>
      </c>
      <c r="R2" s="100">
        <v>1.9180639898579332</v>
      </c>
    </row>
    <row r="3" spans="1:18" x14ac:dyDescent="0.25">
      <c r="A3" s="84">
        <v>2</v>
      </c>
      <c r="B3" s="84" t="s">
        <v>2</v>
      </c>
      <c r="C3" s="99">
        <v>0.9791267969202011</v>
      </c>
      <c r="D3" s="99">
        <v>1.0751048417842166</v>
      </c>
      <c r="E3" s="99">
        <v>1.2208841239535908</v>
      </c>
      <c r="F3" s="99">
        <v>0.87446267002764289</v>
      </c>
      <c r="G3" s="99">
        <v>0.60633022170361728</v>
      </c>
      <c r="H3" s="100">
        <v>0.97954359203999941</v>
      </c>
      <c r="I3" s="100">
        <v>1.4135627205507597</v>
      </c>
      <c r="J3" s="100">
        <v>2.2096525750479765</v>
      </c>
      <c r="K3" s="100">
        <v>1.67</v>
      </c>
      <c r="L3" s="100">
        <v>1</v>
      </c>
      <c r="M3" s="100">
        <v>0.95</v>
      </c>
      <c r="N3" s="100">
        <v>1.74</v>
      </c>
      <c r="O3" s="100">
        <v>0.87942674427910306</v>
      </c>
      <c r="P3" s="100">
        <v>1.1499999999999999</v>
      </c>
      <c r="Q3" s="100">
        <v>0.8</v>
      </c>
      <c r="R3" s="100">
        <v>1.1398111996133815</v>
      </c>
    </row>
    <row r="4" spans="1:18" x14ac:dyDescent="0.25">
      <c r="A4" s="84">
        <v>3</v>
      </c>
      <c r="B4" s="84" t="s">
        <v>3</v>
      </c>
      <c r="C4" s="99">
        <v>0.71048800556997282</v>
      </c>
      <c r="D4" s="99">
        <v>1.1542521892630924</v>
      </c>
      <c r="E4" s="99">
        <v>1.1628314705237781</v>
      </c>
      <c r="F4" s="99">
        <v>1.0918334992852017</v>
      </c>
      <c r="G4" s="99">
        <v>1.9587704497102194</v>
      </c>
      <c r="H4" s="100">
        <v>1.2286414761867164</v>
      </c>
      <c r="I4" s="100">
        <v>1.4423014034743842</v>
      </c>
      <c r="J4" s="100">
        <v>1.5405800483515188</v>
      </c>
      <c r="K4" s="100">
        <v>1.79</v>
      </c>
      <c r="L4" s="100">
        <v>2.2000000000000002</v>
      </c>
      <c r="M4" s="100">
        <v>3.53</v>
      </c>
      <c r="N4" s="100">
        <v>1.83</v>
      </c>
      <c r="O4" s="100">
        <v>1.4521863616923922</v>
      </c>
      <c r="P4" s="100">
        <v>1.52</v>
      </c>
      <c r="Q4" s="100">
        <v>2.7</v>
      </c>
      <c r="R4" s="100">
        <v>2.1414629916876202</v>
      </c>
    </row>
    <row r="5" spans="1:18" x14ac:dyDescent="0.25">
      <c r="A5" s="84">
        <v>4</v>
      </c>
      <c r="B5" s="84" t="s">
        <v>4</v>
      </c>
      <c r="C5" s="99">
        <v>1.8443194026358058</v>
      </c>
      <c r="D5" s="99">
        <v>1.8691197434069853</v>
      </c>
      <c r="E5" s="99">
        <v>1.8482459508911426</v>
      </c>
      <c r="F5" s="99">
        <v>3.6908816631506998</v>
      </c>
      <c r="G5" s="99">
        <v>2.7526955169916207</v>
      </c>
      <c r="H5" s="100">
        <v>1.6791426875193367</v>
      </c>
      <c r="I5" s="100">
        <v>3.6625065567156621</v>
      </c>
      <c r="J5" s="100">
        <v>2.2940488074152841</v>
      </c>
      <c r="K5" s="100">
        <v>2.58</v>
      </c>
      <c r="L5" s="100">
        <v>2</v>
      </c>
      <c r="M5" s="100">
        <v>2.46</v>
      </c>
      <c r="N5" s="100">
        <v>1.68</v>
      </c>
      <c r="O5" s="100">
        <v>2.5543549336914335</v>
      </c>
      <c r="P5" s="100">
        <v>2.08</v>
      </c>
      <c r="Q5" s="100">
        <v>2.8</v>
      </c>
      <c r="R5" s="100">
        <v>3.5058441233350579</v>
      </c>
    </row>
    <row r="6" spans="1:18" x14ac:dyDescent="0.25">
      <c r="A6" s="84">
        <v>5</v>
      </c>
      <c r="B6" s="84" t="s">
        <v>5</v>
      </c>
      <c r="C6" s="99">
        <v>1.2602963302986254</v>
      </c>
      <c r="D6" s="99">
        <v>0.27842659004940157</v>
      </c>
      <c r="E6" s="99">
        <v>1.7098675022991245</v>
      </c>
      <c r="F6" s="99">
        <v>0.89011019746042408</v>
      </c>
      <c r="G6" s="99">
        <v>5.9803402979811331</v>
      </c>
      <c r="H6" s="100">
        <v>3.5691808032098642</v>
      </c>
      <c r="I6" s="100">
        <v>0.99650837606516141</v>
      </c>
      <c r="J6" s="100">
        <v>0.88377655599276483</v>
      </c>
      <c r="K6" s="100">
        <v>0.42</v>
      </c>
      <c r="L6" s="100">
        <v>0.3</v>
      </c>
      <c r="M6" s="100">
        <v>0.31</v>
      </c>
      <c r="N6" s="100">
        <v>0.33</v>
      </c>
      <c r="O6" s="100">
        <v>0.21976384357571305</v>
      </c>
      <c r="P6" s="100">
        <v>0.13</v>
      </c>
      <c r="Q6" s="100">
        <v>0.1</v>
      </c>
      <c r="R6" s="100">
        <v>0.74060009414050798</v>
      </c>
    </row>
    <row r="7" spans="1:18" x14ac:dyDescent="0.25">
      <c r="A7" s="84">
        <v>6</v>
      </c>
      <c r="B7" s="84" t="s">
        <v>6</v>
      </c>
      <c r="C7" s="99">
        <v>1.4862679390981279</v>
      </c>
      <c r="D7" s="99">
        <v>0.98247273750015973</v>
      </c>
      <c r="E7" s="99">
        <v>1.2277461033838901</v>
      </c>
      <c r="F7" s="99">
        <v>1.1346420635212946</v>
      </c>
      <c r="G7" s="99">
        <v>0.79874343090337918</v>
      </c>
      <c r="H7" s="100">
        <v>2.069873469322788</v>
      </c>
      <c r="I7" s="100">
        <v>2.4938897640192792</v>
      </c>
      <c r="J7" s="100">
        <v>1.5868846351411985</v>
      </c>
      <c r="K7" s="100">
        <v>3.53</v>
      </c>
      <c r="L7" s="100">
        <v>2.7</v>
      </c>
      <c r="M7" s="100">
        <v>2.4700000000000002</v>
      </c>
      <c r="N7" s="100">
        <v>1.81</v>
      </c>
      <c r="O7" s="100">
        <v>1.7204514383315168</v>
      </c>
      <c r="P7" s="100">
        <v>1.33</v>
      </c>
      <c r="Q7" s="100">
        <v>0.5</v>
      </c>
      <c r="R7" s="100">
        <v>0.70365189643043979</v>
      </c>
    </row>
    <row r="8" spans="1:18" x14ac:dyDescent="0.25">
      <c r="A8" s="84">
        <v>7</v>
      </c>
      <c r="B8" s="84" t="s">
        <v>7</v>
      </c>
      <c r="C8" s="99">
        <v>1.5685409585095618</v>
      </c>
      <c r="D8" s="99">
        <v>0.84267205382920674</v>
      </c>
      <c r="E8" s="99">
        <v>0.34537891012450223</v>
      </c>
      <c r="F8" s="99">
        <v>0.50260355029585801</v>
      </c>
      <c r="G8" s="99">
        <v>0.79276949243073813</v>
      </c>
      <c r="H8" s="100">
        <v>1.2027039134797726</v>
      </c>
      <c r="I8" s="100">
        <v>0.4812909145075524</v>
      </c>
      <c r="J8" s="100">
        <v>0.65538679989575999</v>
      </c>
      <c r="K8" s="100">
        <v>0.43</v>
      </c>
      <c r="L8" s="100">
        <v>0.4</v>
      </c>
      <c r="M8" s="100">
        <v>1.4</v>
      </c>
      <c r="N8" s="100">
        <v>0.84</v>
      </c>
      <c r="O8" s="100">
        <v>0.37818151920609189</v>
      </c>
      <c r="P8" s="100">
        <v>0.44</v>
      </c>
      <c r="Q8" s="100">
        <v>0.4</v>
      </c>
      <c r="R8" s="100">
        <v>0.25922669895658146</v>
      </c>
    </row>
    <row r="9" spans="1:18" x14ac:dyDescent="0.25">
      <c r="A9" s="84">
        <v>8</v>
      </c>
      <c r="B9" s="84" t="s">
        <v>8</v>
      </c>
      <c r="C9" s="99">
        <v>1.354465774723828</v>
      </c>
      <c r="D9" s="99">
        <v>1.6632593296570928</v>
      </c>
      <c r="E9" s="99">
        <v>0.56674572551240754</v>
      </c>
      <c r="F9" s="99">
        <v>0.53660154757011302</v>
      </c>
      <c r="G9" s="99">
        <v>0.55833756316335736</v>
      </c>
      <c r="H9" s="100">
        <v>0.27345349372865679</v>
      </c>
      <c r="I9" s="100">
        <v>0.9887128212961831</v>
      </c>
      <c r="J9" s="100">
        <v>1.3914876888896892</v>
      </c>
      <c r="K9" s="100">
        <v>0.83</v>
      </c>
      <c r="L9" s="100">
        <v>2.2000000000000002</v>
      </c>
      <c r="M9" s="100">
        <v>0.42</v>
      </c>
      <c r="N9" s="100">
        <v>0.68</v>
      </c>
      <c r="O9" s="100">
        <v>0.57041883403914251</v>
      </c>
      <c r="P9" s="100">
        <v>0.72</v>
      </c>
      <c r="Q9" s="100">
        <v>0.7</v>
      </c>
      <c r="R9" s="100">
        <v>0.33035683849363234</v>
      </c>
    </row>
    <row r="10" spans="1:18" x14ac:dyDescent="0.25">
      <c r="A10" s="84">
        <v>9</v>
      </c>
      <c r="B10" s="84" t="s">
        <v>9</v>
      </c>
      <c r="C10" s="99">
        <v>0.46609466652592846</v>
      </c>
      <c r="D10" s="99">
        <v>0.463302616122507</v>
      </c>
      <c r="E10" s="99">
        <v>0.63696721797379818</v>
      </c>
      <c r="F10" s="99">
        <v>0.54809744217252776</v>
      </c>
      <c r="G10" s="99">
        <v>10.278197507805642</v>
      </c>
      <c r="H10" s="100">
        <v>8.1738654412072336</v>
      </c>
      <c r="I10" s="100">
        <v>9.0768370031334165</v>
      </c>
      <c r="J10" s="100">
        <v>2.9642728751351264</v>
      </c>
      <c r="K10" s="100">
        <v>2.4</v>
      </c>
      <c r="L10" s="100">
        <v>2.5</v>
      </c>
      <c r="M10" s="100">
        <v>1.84</v>
      </c>
      <c r="N10" s="100">
        <v>2.5</v>
      </c>
      <c r="O10" s="100">
        <v>2.254719181687252</v>
      </c>
      <c r="P10" s="100">
        <v>1.23</v>
      </c>
      <c r="Q10" s="100">
        <v>3.8</v>
      </c>
      <c r="R10" s="100">
        <v>4.8888639343409546</v>
      </c>
    </row>
    <row r="11" spans="1:18" x14ac:dyDescent="0.25">
      <c r="A11" s="84">
        <v>10</v>
      </c>
      <c r="B11" s="84" t="s">
        <v>10</v>
      </c>
      <c r="C11" s="99">
        <v>1.2187144827229415</v>
      </c>
      <c r="D11" s="99">
        <v>1.0113766476196679</v>
      </c>
      <c r="E11" s="99">
        <v>1.3418162823319502</v>
      </c>
      <c r="F11" s="99">
        <v>0.93769881370555508</v>
      </c>
      <c r="G11" s="99">
        <v>0.92995692297631982</v>
      </c>
      <c r="H11" s="100">
        <v>1.0884416307031552</v>
      </c>
      <c r="I11" s="100">
        <v>0.87489126213291024</v>
      </c>
      <c r="J11" s="100">
        <v>3.0479209385612398</v>
      </c>
      <c r="K11" s="100">
        <v>4.3499999999999996</v>
      </c>
      <c r="L11" s="100">
        <v>5.2</v>
      </c>
      <c r="M11" s="100">
        <v>6.26</v>
      </c>
      <c r="N11" s="100">
        <v>5.62</v>
      </c>
      <c r="O11" s="100">
        <v>5.2023205289447709</v>
      </c>
      <c r="P11" s="100">
        <v>5.0599999999999996</v>
      </c>
      <c r="Q11" s="100">
        <v>2.6</v>
      </c>
      <c r="R11" s="100">
        <v>4.3184806663139508</v>
      </c>
    </row>
    <row r="12" spans="1:18" x14ac:dyDescent="0.25">
      <c r="A12" s="84">
        <v>11</v>
      </c>
      <c r="B12" s="84" t="s">
        <v>11</v>
      </c>
      <c r="C12" s="99">
        <v>0.68530752768214387</v>
      </c>
      <c r="D12" s="99">
        <v>4.4279144573166143</v>
      </c>
      <c r="E12" s="99">
        <v>2.0524612200859615</v>
      </c>
      <c r="F12" s="99">
        <v>2.2193028551410054</v>
      </c>
      <c r="G12" s="99">
        <v>1.6391122995968355</v>
      </c>
      <c r="H12" s="100">
        <v>0.97583112337676825</v>
      </c>
      <c r="I12" s="100">
        <v>0.87434862518900869</v>
      </c>
      <c r="J12" s="100">
        <v>0.45770373604645898</v>
      </c>
      <c r="K12" s="100">
        <v>0.53</v>
      </c>
      <c r="L12" s="100">
        <v>0.8</v>
      </c>
      <c r="M12" s="100">
        <v>0.46</v>
      </c>
      <c r="N12" s="100">
        <v>0.94</v>
      </c>
      <c r="O12" s="100">
        <v>0.91125755657417395</v>
      </c>
      <c r="P12" s="100">
        <v>2</v>
      </c>
      <c r="Q12" s="100">
        <v>0.1</v>
      </c>
      <c r="R12" s="100">
        <v>0.48858778759198146</v>
      </c>
    </row>
    <row r="13" spans="1:18" x14ac:dyDescent="0.25">
      <c r="A13" s="84">
        <v>12</v>
      </c>
      <c r="B13" s="84" t="s">
        <v>12</v>
      </c>
      <c r="C13" s="99">
        <v>0.91446930774347868</v>
      </c>
      <c r="D13" s="99">
        <v>1.2859092299367103</v>
      </c>
      <c r="E13" s="99">
        <v>0.99190130184680592</v>
      </c>
      <c r="F13" s="99">
        <v>1.7125732838875467</v>
      </c>
      <c r="G13" s="99">
        <v>0.97114828364471895</v>
      </c>
      <c r="H13" s="100">
        <v>1.9906632445737007</v>
      </c>
      <c r="I13" s="100">
        <v>2.0391836807650976</v>
      </c>
      <c r="J13" s="100">
        <v>3.2908558008900912</v>
      </c>
      <c r="K13" s="100">
        <v>3.47</v>
      </c>
      <c r="L13" s="100">
        <v>4.7</v>
      </c>
      <c r="M13" s="100">
        <v>2.5299999999999998</v>
      </c>
      <c r="N13" s="100">
        <v>2.29</v>
      </c>
      <c r="O13" s="100">
        <v>1.9221864932440644</v>
      </c>
      <c r="P13" s="100">
        <v>1.1499999999999999</v>
      </c>
      <c r="Q13" s="100">
        <v>1.6</v>
      </c>
      <c r="R13" s="100">
        <v>0.9617808719763915</v>
      </c>
    </row>
    <row r="14" spans="1:18" x14ac:dyDescent="0.25">
      <c r="A14" s="84">
        <v>13</v>
      </c>
      <c r="B14" s="84" t="s">
        <v>13</v>
      </c>
      <c r="C14" s="99">
        <v>0.57525527118419306</v>
      </c>
      <c r="D14" s="99">
        <v>0.5229718782548316</v>
      </c>
      <c r="E14" s="99">
        <v>0.64963524696519703</v>
      </c>
      <c r="F14" s="99">
        <v>0.85415657788539145</v>
      </c>
      <c r="G14" s="99">
        <v>0.8989570376040571</v>
      </c>
      <c r="H14" s="100">
        <v>1.2846773493337924</v>
      </c>
      <c r="I14" s="100">
        <v>1.2410132417708517</v>
      </c>
      <c r="J14" s="100">
        <v>0.87324768332618552</v>
      </c>
      <c r="K14" s="100">
        <v>0.8</v>
      </c>
      <c r="L14" s="100">
        <v>1</v>
      </c>
      <c r="M14" s="100">
        <v>1.27</v>
      </c>
      <c r="N14" s="100">
        <v>1.37</v>
      </c>
      <c r="O14" s="100">
        <v>1.8640126012472582</v>
      </c>
      <c r="P14" s="100">
        <v>1.18</v>
      </c>
      <c r="Q14" s="100">
        <v>1.3</v>
      </c>
      <c r="R14" s="100">
        <v>1.0568183855052522</v>
      </c>
    </row>
    <row r="15" spans="1:18" x14ac:dyDescent="0.25">
      <c r="A15" s="84">
        <v>14</v>
      </c>
      <c r="B15" s="84" t="s">
        <v>14</v>
      </c>
      <c r="C15" s="99">
        <v>0.4447954211044966</v>
      </c>
      <c r="D15" s="99">
        <v>1.5663530779896528</v>
      </c>
      <c r="E15" s="99">
        <v>1.6108841171868209</v>
      </c>
      <c r="F15" s="99">
        <v>2.2064192934463875</v>
      </c>
      <c r="G15" s="99">
        <v>1.7127013467124375</v>
      </c>
      <c r="H15" s="100">
        <v>1.4833627513726835</v>
      </c>
      <c r="I15" s="100">
        <v>1.7130730869062596</v>
      </c>
      <c r="J15" s="100">
        <v>3.5318255174393318</v>
      </c>
      <c r="K15" s="100">
        <v>2.1</v>
      </c>
      <c r="L15" s="100">
        <v>2.4</v>
      </c>
      <c r="M15" s="100">
        <v>2.92</v>
      </c>
      <c r="N15" s="100">
        <v>3.66</v>
      </c>
      <c r="O15" s="100">
        <v>3.550758727740229</v>
      </c>
      <c r="P15" s="100">
        <v>2.93</v>
      </c>
      <c r="Q15" s="100">
        <v>3.5</v>
      </c>
      <c r="R15" s="100">
        <v>1.107474773215253</v>
      </c>
    </row>
    <row r="16" spans="1:18" x14ac:dyDescent="0.25">
      <c r="A16" s="84">
        <v>15</v>
      </c>
      <c r="B16" s="84" t="s">
        <v>15</v>
      </c>
      <c r="C16" s="99">
        <v>0.74415661844330616</v>
      </c>
      <c r="D16" s="99">
        <v>0.72997233670185735</v>
      </c>
      <c r="E16" s="99">
        <v>0.65398919374079012</v>
      </c>
      <c r="F16" s="99">
        <v>0.68915226702111954</v>
      </c>
      <c r="G16" s="99">
        <v>0.97432292145757504</v>
      </c>
      <c r="H16" s="100">
        <v>0.95909168799330602</v>
      </c>
      <c r="I16" s="100">
        <v>1.8339376522163764</v>
      </c>
      <c r="J16" s="100">
        <v>1.7546478338502265</v>
      </c>
      <c r="K16" s="100">
        <v>2.57</v>
      </c>
      <c r="L16" s="100">
        <v>1.2</v>
      </c>
      <c r="M16" s="100">
        <v>1.32</v>
      </c>
      <c r="N16" s="100">
        <v>3.6</v>
      </c>
      <c r="O16" s="100">
        <v>4.5312746333304208</v>
      </c>
      <c r="P16" s="100">
        <v>0.56000000000000005</v>
      </c>
      <c r="Q16" s="100">
        <v>1.1000000000000001</v>
      </c>
      <c r="R16" s="100">
        <v>1.4617207373936374</v>
      </c>
    </row>
    <row r="17" spans="1:18" x14ac:dyDescent="0.25">
      <c r="A17" s="84">
        <v>16</v>
      </c>
      <c r="B17" s="84" t="s">
        <v>16</v>
      </c>
      <c r="C17" s="99">
        <v>0.77858595608259495</v>
      </c>
      <c r="D17" s="99">
        <v>2.2880566753895843</v>
      </c>
      <c r="E17" s="99">
        <v>0.42913442613797625</v>
      </c>
      <c r="F17" s="99">
        <v>1.8208593715699044</v>
      </c>
      <c r="G17" s="99">
        <v>2.9296221464422523</v>
      </c>
      <c r="H17" s="100">
        <v>2.1255760146332539</v>
      </c>
      <c r="I17" s="100">
        <v>1.3212123350684624</v>
      </c>
      <c r="J17" s="100">
        <v>2.4711191828831081</v>
      </c>
      <c r="K17" s="100">
        <v>2.58</v>
      </c>
      <c r="L17" s="100">
        <v>2.2999999999999998</v>
      </c>
      <c r="M17" s="100">
        <v>2.27</v>
      </c>
      <c r="N17" s="100">
        <v>2.95</v>
      </c>
      <c r="O17" s="100">
        <v>2.5343279439014008</v>
      </c>
      <c r="P17" s="100">
        <v>2.72</v>
      </c>
      <c r="Q17" s="100">
        <v>6.9</v>
      </c>
      <c r="R17" s="100">
        <v>2.7482047614408569</v>
      </c>
    </row>
    <row r="18" spans="1:18" x14ac:dyDescent="0.25">
      <c r="A18" s="84">
        <v>17</v>
      </c>
      <c r="B18" s="84" t="s">
        <v>17</v>
      </c>
      <c r="C18" s="99">
        <v>0.81345918293825215</v>
      </c>
      <c r="D18" s="99">
        <v>2.0751162221678494</v>
      </c>
      <c r="E18" s="99">
        <v>2.8492538918443642</v>
      </c>
      <c r="F18" s="99">
        <v>2.6056922115548486</v>
      </c>
      <c r="G18" s="99">
        <v>3.7503585491147096</v>
      </c>
      <c r="H18" s="100">
        <v>6.3398118734780144</v>
      </c>
      <c r="I18" s="100">
        <v>6.7067627157711609</v>
      </c>
      <c r="J18" s="100">
        <v>6.645947984352782</v>
      </c>
      <c r="K18" s="100">
        <v>5.38</v>
      </c>
      <c r="L18" s="100">
        <v>6.3</v>
      </c>
      <c r="M18" s="100">
        <v>4.5</v>
      </c>
      <c r="N18" s="100">
        <v>1.79</v>
      </c>
      <c r="O18" s="100">
        <v>1.5115382154991306</v>
      </c>
      <c r="P18" s="100">
        <v>1.23</v>
      </c>
      <c r="Q18" s="100">
        <v>1.3</v>
      </c>
      <c r="R18" s="100">
        <v>1.556321147330554</v>
      </c>
    </row>
    <row r="19" spans="1:18" x14ac:dyDescent="0.25">
      <c r="A19" s="84">
        <v>18</v>
      </c>
      <c r="B19" s="84" t="s">
        <v>18</v>
      </c>
      <c r="C19" s="99">
        <v>0.94422026285029692</v>
      </c>
      <c r="D19" s="99">
        <v>1.093262460662062</v>
      </c>
      <c r="E19" s="99">
        <v>0.46199267623425821</v>
      </c>
      <c r="F19" s="99">
        <v>0.66344763628953662</v>
      </c>
      <c r="G19" s="99">
        <v>1.0557897900825373</v>
      </c>
      <c r="H19" s="100">
        <v>0.77828091209175398</v>
      </c>
      <c r="I19" s="100">
        <v>4.3470009887777721</v>
      </c>
      <c r="J19" s="100">
        <v>4.7456216302249601</v>
      </c>
      <c r="K19" s="100">
        <v>3</v>
      </c>
      <c r="L19" s="100">
        <v>3.5</v>
      </c>
      <c r="M19" s="100">
        <v>3.82</v>
      </c>
      <c r="N19" s="100">
        <v>4.25</v>
      </c>
      <c r="O19" s="100">
        <v>2.6062187956990237</v>
      </c>
      <c r="P19" s="100">
        <v>2.65</v>
      </c>
      <c r="Q19" s="100">
        <v>3.6</v>
      </c>
      <c r="R19" s="100">
        <v>2.9999911843548723</v>
      </c>
    </row>
    <row r="20" spans="1:18" x14ac:dyDescent="0.25">
      <c r="A20" s="84">
        <v>19</v>
      </c>
      <c r="B20" s="84" t="s">
        <v>19</v>
      </c>
      <c r="C20" s="99">
        <v>0.28067745180494397</v>
      </c>
      <c r="D20" s="99">
        <v>0.95279010185590185</v>
      </c>
      <c r="E20" s="99">
        <v>1.5777219931584356</v>
      </c>
      <c r="F20" s="99">
        <v>3.7091604989509119</v>
      </c>
      <c r="G20" s="99">
        <v>1.8655091519519014</v>
      </c>
      <c r="H20" s="100">
        <v>2.5765435634933045</v>
      </c>
      <c r="I20" s="100">
        <v>0.89769995475960906</v>
      </c>
      <c r="J20" s="100">
        <v>0.40576053859624328</v>
      </c>
      <c r="K20" s="100">
        <v>0.16</v>
      </c>
      <c r="L20" s="100">
        <v>0.1</v>
      </c>
      <c r="M20" s="100">
        <v>0.11</v>
      </c>
      <c r="N20" s="100">
        <v>0.47</v>
      </c>
      <c r="O20" s="100">
        <v>0.37977543279451709</v>
      </c>
      <c r="P20" s="100">
        <v>0.48</v>
      </c>
      <c r="Q20" s="100">
        <v>1.8</v>
      </c>
      <c r="R20" s="100">
        <v>1.8751918488405024</v>
      </c>
    </row>
    <row r="21" spans="1:18" x14ac:dyDescent="0.25">
      <c r="A21" s="84">
        <v>20</v>
      </c>
      <c r="B21" s="84" t="s">
        <v>20</v>
      </c>
      <c r="C21" s="99">
        <v>0.84921978952461585</v>
      </c>
      <c r="D21" s="99">
        <v>0.24957424983318557</v>
      </c>
      <c r="E21" s="99">
        <v>0.46627134198610309</v>
      </c>
      <c r="F21" s="99">
        <v>0.31641668378878157</v>
      </c>
      <c r="G21" s="99">
        <v>0.25529723366686291</v>
      </c>
      <c r="H21" s="100">
        <v>0.37262098668214855</v>
      </c>
      <c r="I21" s="100">
        <v>4.1749141001883805</v>
      </c>
      <c r="J21" s="100">
        <v>0.65243308997764171</v>
      </c>
      <c r="K21" s="100">
        <v>0.35</v>
      </c>
      <c r="L21" s="100">
        <v>0.4</v>
      </c>
      <c r="M21" s="100">
        <v>0.17</v>
      </c>
      <c r="N21" s="100">
        <v>0.24</v>
      </c>
      <c r="O21" s="100">
        <v>0.4302966188272927</v>
      </c>
      <c r="P21" s="100">
        <v>1.23</v>
      </c>
      <c r="Q21" s="100">
        <v>0.9</v>
      </c>
      <c r="R21" s="100">
        <v>0.6224782184540385</v>
      </c>
    </row>
    <row r="22" spans="1:18" x14ac:dyDescent="0.25">
      <c r="A22" s="84">
        <v>21</v>
      </c>
      <c r="B22" s="84" t="s">
        <v>21</v>
      </c>
      <c r="C22" s="99">
        <v>0.91169626454378427</v>
      </c>
      <c r="D22" s="99">
        <v>0.22376132125732554</v>
      </c>
      <c r="E22" s="99">
        <v>0.55248051241766871</v>
      </c>
      <c r="F22" s="99">
        <v>0.74223668174172297</v>
      </c>
      <c r="G22" s="99">
        <v>0.5045108018960659</v>
      </c>
      <c r="H22" s="100">
        <v>0.21642116580381632</v>
      </c>
      <c r="I22" s="100">
        <v>1.088909015202002</v>
      </c>
      <c r="J22" s="100">
        <v>4.1404609451704095</v>
      </c>
      <c r="K22" s="101">
        <v>1.7</v>
      </c>
      <c r="L22" s="100">
        <v>0.9</v>
      </c>
      <c r="M22" s="100">
        <v>0.34</v>
      </c>
      <c r="N22" s="100">
        <v>0.26</v>
      </c>
      <c r="O22" s="100">
        <v>0.29238974954746327</v>
      </c>
      <c r="P22" s="100">
        <v>0.62</v>
      </c>
      <c r="Q22" s="100">
        <v>0.3</v>
      </c>
      <c r="R22" s="100">
        <v>0.27692960970125341</v>
      </c>
    </row>
    <row r="23" spans="1:18" x14ac:dyDescent="0.25">
      <c r="A23" s="84">
        <v>22</v>
      </c>
      <c r="B23" s="84" t="s">
        <v>22</v>
      </c>
      <c r="C23" s="99">
        <v>0.78402020254614568</v>
      </c>
      <c r="D23" s="99">
        <v>0.57887519278358124</v>
      </c>
      <c r="E23" s="99">
        <v>1.3453808845237107</v>
      </c>
      <c r="F23" s="99">
        <v>0.6655606715521778</v>
      </c>
      <c r="G23" s="99">
        <v>1.479420637852481</v>
      </c>
      <c r="H23" s="100">
        <v>0.71143456252488479</v>
      </c>
      <c r="I23" s="100">
        <v>2.3108169143064794</v>
      </c>
      <c r="J23" s="100">
        <v>0.38217047305849683</v>
      </c>
      <c r="K23" s="100">
        <v>0.62</v>
      </c>
      <c r="L23" s="100">
        <v>0.6</v>
      </c>
      <c r="M23" s="100">
        <v>0.11</v>
      </c>
      <c r="N23" s="100">
        <v>0.15</v>
      </c>
      <c r="O23" s="100">
        <v>0.19501509949622581</v>
      </c>
      <c r="P23" s="100">
        <v>0.14000000000000001</v>
      </c>
      <c r="Q23" s="100">
        <v>0.2</v>
      </c>
      <c r="R23" s="100">
        <v>0.28715186744571891</v>
      </c>
    </row>
    <row r="24" spans="1:18" x14ac:dyDescent="0.25">
      <c r="A24" s="84">
        <v>23</v>
      </c>
      <c r="B24" s="84" t="s">
        <v>23</v>
      </c>
      <c r="C24" s="99">
        <v>0.21600254552574896</v>
      </c>
      <c r="D24" s="99">
        <v>1.8831740393678094</v>
      </c>
      <c r="E24" s="99">
        <v>0.21864308647823569</v>
      </c>
      <c r="F24" s="99">
        <v>0.34608746329545198</v>
      </c>
      <c r="G24" s="99">
        <v>0.2001066517282428</v>
      </c>
      <c r="H24" s="100">
        <v>9.8848102351368775E-2</v>
      </c>
      <c r="I24" s="100">
        <v>6.3454538502801097E-2</v>
      </c>
      <c r="J24" s="100">
        <v>0.15428801635823303</v>
      </c>
      <c r="K24" s="100">
        <v>0.12</v>
      </c>
      <c r="L24" s="100">
        <v>0.1</v>
      </c>
      <c r="M24" s="100">
        <v>0.3</v>
      </c>
      <c r="N24" s="100">
        <v>0.91</v>
      </c>
      <c r="O24" s="100">
        <v>0.31575755464096594</v>
      </c>
      <c r="P24" s="100">
        <v>0.12</v>
      </c>
      <c r="Q24" s="100">
        <v>0.8</v>
      </c>
      <c r="R24" s="100">
        <v>0.16655455376267231</v>
      </c>
    </row>
    <row r="25" spans="1:18" x14ac:dyDescent="0.25">
      <c r="A25" s="84">
        <v>24</v>
      </c>
      <c r="B25" s="84" t="s">
        <v>24</v>
      </c>
      <c r="C25" s="99">
        <v>0.61672210462654975</v>
      </c>
      <c r="D25" s="99">
        <v>0.82975714130290246</v>
      </c>
      <c r="E25" s="99">
        <v>1.3207239745278281</v>
      </c>
      <c r="F25" s="99">
        <v>0.55210826541263802</v>
      </c>
      <c r="G25" s="99">
        <v>2.0544130795759354</v>
      </c>
      <c r="H25" s="100">
        <v>1.395578516814413</v>
      </c>
      <c r="I25" s="100">
        <v>1.905778176354928</v>
      </c>
      <c r="J25" s="100">
        <v>2.885610985326367</v>
      </c>
      <c r="K25" s="100">
        <v>16.7</v>
      </c>
      <c r="L25" s="100">
        <v>1.3</v>
      </c>
      <c r="M25" s="100">
        <v>1.77</v>
      </c>
      <c r="N25" s="100">
        <v>0.79</v>
      </c>
      <c r="O25" s="100">
        <v>4.090530893337891</v>
      </c>
      <c r="P25" s="100">
        <v>1.1599999999999999</v>
      </c>
      <c r="Q25" s="100">
        <v>2.4</v>
      </c>
      <c r="R25" s="100">
        <v>1.6312729333256852</v>
      </c>
    </row>
    <row r="26" spans="1:18" x14ac:dyDescent="0.25">
      <c r="A26" s="84">
        <v>25</v>
      </c>
      <c r="B26" s="84" t="s">
        <v>25</v>
      </c>
      <c r="C26" s="99">
        <v>1.4035380507343123</v>
      </c>
      <c r="D26" s="99">
        <v>1.7320176093120432</v>
      </c>
      <c r="E26" s="99">
        <v>2.5997862293408209</v>
      </c>
      <c r="F26" s="99">
        <v>3.1200707338638374</v>
      </c>
      <c r="G26" s="99">
        <v>2.500295325005168</v>
      </c>
      <c r="H26" s="100">
        <v>1.4764662355967741</v>
      </c>
      <c r="I26" s="100">
        <v>0.42785525564251253</v>
      </c>
      <c r="J26" s="100">
        <v>0.3805272183000511</v>
      </c>
      <c r="K26" s="100">
        <v>0.79</v>
      </c>
      <c r="L26" s="100">
        <v>1</v>
      </c>
      <c r="M26" s="100">
        <v>0.48</v>
      </c>
      <c r="N26" s="100">
        <v>0.47</v>
      </c>
      <c r="O26" s="100">
        <v>0.44666846625227341</v>
      </c>
      <c r="P26" s="100">
        <v>2.34</v>
      </c>
      <c r="Q26" s="100">
        <v>0.3</v>
      </c>
      <c r="R26" s="100">
        <v>0.32435565179385378</v>
      </c>
    </row>
    <row r="27" spans="1:18" x14ac:dyDescent="0.25">
      <c r="A27" s="84">
        <v>26</v>
      </c>
      <c r="B27" s="84" t="s">
        <v>26</v>
      </c>
      <c r="C27" s="99">
        <v>2.1528817054108882</v>
      </c>
      <c r="D27" s="99">
        <v>3.6542879019908119</v>
      </c>
      <c r="E27" s="99">
        <v>1.8452722778457467</v>
      </c>
      <c r="F27" s="99">
        <v>1.9763361357153582</v>
      </c>
      <c r="G27" s="99">
        <v>1.0346993421560093</v>
      </c>
      <c r="H27" s="100">
        <v>1.1530337021381984</v>
      </c>
      <c r="I27" s="100">
        <v>0.73215246534930356</v>
      </c>
      <c r="J27" s="100">
        <v>4.6777040274975441</v>
      </c>
      <c r="K27" s="100">
        <v>2.11</v>
      </c>
      <c r="L27" s="100">
        <v>1.8</v>
      </c>
      <c r="M27" s="100">
        <v>1.08</v>
      </c>
      <c r="N27" s="100">
        <v>1.26</v>
      </c>
      <c r="O27" s="100">
        <v>0.76338648865556191</v>
      </c>
      <c r="P27" s="100">
        <v>1.41</v>
      </c>
      <c r="Q27" s="100">
        <v>0.6</v>
      </c>
      <c r="R27" s="100">
        <v>1.0453457456651862</v>
      </c>
    </row>
    <row r="28" spans="1:18" x14ac:dyDescent="0.25">
      <c r="A28" s="84">
        <v>27</v>
      </c>
      <c r="B28" s="84" t="s">
        <v>27</v>
      </c>
      <c r="C28" s="99">
        <v>0.2788612321320571</v>
      </c>
      <c r="D28" s="99">
        <v>0.46127420362273575</v>
      </c>
      <c r="E28" s="99">
        <v>0.46790758947085948</v>
      </c>
      <c r="F28" s="99">
        <v>0.49218419940853397</v>
      </c>
      <c r="G28" s="99">
        <v>0.4060889596048351</v>
      </c>
      <c r="H28" s="100">
        <v>0.39283903069596604</v>
      </c>
      <c r="I28" s="100">
        <v>0.4784228226725723</v>
      </c>
      <c r="J28" s="100">
        <v>0.94147112744627637</v>
      </c>
      <c r="K28" s="100">
        <v>0.61</v>
      </c>
      <c r="L28" s="100">
        <v>0.4</v>
      </c>
      <c r="M28" s="100">
        <v>0.31</v>
      </c>
      <c r="N28" s="100">
        <v>0.81</v>
      </c>
      <c r="O28" s="100">
        <v>0.48766996809080687</v>
      </c>
      <c r="P28" s="100">
        <v>0.62</v>
      </c>
      <c r="Q28" s="100">
        <v>0.1</v>
      </c>
      <c r="R28" s="100">
        <v>0.3780460153453698</v>
      </c>
    </row>
    <row r="29" spans="1:18" x14ac:dyDescent="0.25">
      <c r="A29" s="84">
        <v>28</v>
      </c>
      <c r="B29" s="84" t="s">
        <v>28</v>
      </c>
      <c r="C29" s="99">
        <v>1.8582925033637125</v>
      </c>
      <c r="D29" s="99">
        <v>2.1927670856009498</v>
      </c>
      <c r="E29" s="99">
        <v>1.8941881299338696</v>
      </c>
      <c r="F29" s="99">
        <v>1.4747682443187886</v>
      </c>
      <c r="G29" s="99">
        <v>1.4785396447853418</v>
      </c>
      <c r="H29" s="100">
        <v>1.8868428625500755</v>
      </c>
      <c r="I29" s="100">
        <v>2.6020810759535733</v>
      </c>
      <c r="J29" s="100">
        <v>2.6843109836567418</v>
      </c>
      <c r="K29" s="100">
        <v>3.64</v>
      </c>
      <c r="L29" s="100">
        <v>4.4000000000000004</v>
      </c>
      <c r="M29" s="100">
        <v>2.36</v>
      </c>
      <c r="N29" s="100">
        <v>3.13</v>
      </c>
      <c r="O29" s="100">
        <v>2.761314755619892</v>
      </c>
      <c r="P29" s="100">
        <v>2.48</v>
      </c>
      <c r="Q29" s="100">
        <v>2.8</v>
      </c>
      <c r="R29" s="100">
        <v>3.0382609116293424</v>
      </c>
    </row>
    <row r="30" spans="1:18" x14ac:dyDescent="0.25">
      <c r="A30" s="84">
        <v>29</v>
      </c>
      <c r="B30" s="84" t="s">
        <v>29</v>
      </c>
      <c r="C30" s="99">
        <v>0.65389051521984221</v>
      </c>
      <c r="D30" s="99">
        <v>1.0092477298150653</v>
      </c>
      <c r="E30" s="99">
        <v>0.54186835828084479</v>
      </c>
      <c r="F30" s="99">
        <v>1.3742865348282143</v>
      </c>
      <c r="G30" s="99">
        <v>0.5790126316432106</v>
      </c>
      <c r="H30" s="100">
        <v>1.298837731927176</v>
      </c>
      <c r="I30" s="100">
        <v>0.60948058710804043</v>
      </c>
      <c r="J30" s="100">
        <v>2.8549458298312791</v>
      </c>
      <c r="K30" s="100">
        <v>0.6</v>
      </c>
      <c r="L30" s="100">
        <v>0.5</v>
      </c>
      <c r="M30" s="100">
        <v>0.21</v>
      </c>
      <c r="N30" s="100">
        <v>0.33</v>
      </c>
      <c r="O30" s="100">
        <v>0.36134924121524259</v>
      </c>
      <c r="P30" s="100">
        <v>0.62</v>
      </c>
      <c r="Q30" s="100">
        <v>0</v>
      </c>
      <c r="R30" s="100">
        <v>0.27800088456801825</v>
      </c>
    </row>
    <row r="31" spans="1:18" x14ac:dyDescent="0.25">
      <c r="A31" s="84">
        <v>30</v>
      </c>
      <c r="B31" s="84" t="s">
        <v>30</v>
      </c>
      <c r="C31" s="99">
        <v>1.0000000000000001E-5</v>
      </c>
      <c r="D31" s="99">
        <v>1.0000000000000001E-5</v>
      </c>
      <c r="E31" s="99">
        <v>1.0000000000000001E-5</v>
      </c>
      <c r="F31" s="99">
        <v>1.0000000000000001E-5</v>
      </c>
      <c r="G31" s="99">
        <v>1.0000000000000001E-5</v>
      </c>
      <c r="H31" s="141"/>
      <c r="I31" s="100">
        <v>0.15482973432125233</v>
      </c>
      <c r="J31" s="100">
        <v>1.216297045478598</v>
      </c>
      <c r="K31" s="100">
        <v>0.17</v>
      </c>
      <c r="L31" s="100">
        <v>0.4</v>
      </c>
      <c r="M31" s="100">
        <v>0.12</v>
      </c>
      <c r="N31" s="100">
        <v>0.64</v>
      </c>
      <c r="O31" s="100">
        <v>0.10935686141393117</v>
      </c>
      <c r="P31" s="100">
        <v>0.32</v>
      </c>
      <c r="Q31" s="100">
        <v>0.18887623844502024</v>
      </c>
      <c r="R31" s="100">
        <v>0.26600654933819295</v>
      </c>
    </row>
    <row r="32" spans="1:18" x14ac:dyDescent="0.25">
      <c r="A32" s="84">
        <v>31</v>
      </c>
      <c r="B32" s="84" t="s">
        <v>31</v>
      </c>
      <c r="C32" s="140"/>
      <c r="D32" s="140"/>
      <c r="E32" s="140"/>
      <c r="F32" s="140"/>
      <c r="G32" s="140"/>
      <c r="H32" s="141"/>
      <c r="I32" s="141"/>
      <c r="J32" s="141"/>
      <c r="K32" s="141"/>
      <c r="L32" s="100">
        <v>1.2</v>
      </c>
      <c r="M32" s="100">
        <v>0.91</v>
      </c>
      <c r="N32" s="100">
        <v>0.63</v>
      </c>
      <c r="O32" s="100">
        <v>0.61951885260077921</v>
      </c>
      <c r="P32" s="100">
        <v>0.45</v>
      </c>
      <c r="Q32" s="100">
        <v>0.38891025974355786</v>
      </c>
      <c r="R32" s="100">
        <v>3.2823971653378123</v>
      </c>
    </row>
    <row r="33" spans="1:18" x14ac:dyDescent="0.25">
      <c r="A33" s="84">
        <v>32</v>
      </c>
      <c r="B33" s="84" t="s">
        <v>32</v>
      </c>
      <c r="C33" s="99">
        <v>0.44922598013116133</v>
      </c>
      <c r="D33" s="99">
        <v>0.64763696196746878</v>
      </c>
      <c r="E33" s="99">
        <v>0.41026980136634905</v>
      </c>
      <c r="F33" s="99">
        <v>0.31054617931479706</v>
      </c>
      <c r="G33" s="99">
        <v>0.18993471287750002</v>
      </c>
      <c r="H33" s="100">
        <v>0.36428655485491723</v>
      </c>
      <c r="I33" s="100">
        <v>0.81181891228259107</v>
      </c>
      <c r="J33" s="100">
        <v>2.5225089507299381</v>
      </c>
      <c r="K33" s="100">
        <v>2.63</v>
      </c>
      <c r="L33" s="100">
        <v>0.8</v>
      </c>
      <c r="M33" s="100">
        <v>0.71</v>
      </c>
      <c r="N33" s="100">
        <v>1.05</v>
      </c>
      <c r="O33" s="100">
        <v>3.9574202731664907</v>
      </c>
      <c r="P33" s="100">
        <v>1.1599999999999999</v>
      </c>
      <c r="Q33" s="100">
        <v>0.68116940874807652</v>
      </c>
      <c r="R33" s="100">
        <v>2.535028709568393</v>
      </c>
    </row>
    <row r="34" spans="1:18" x14ac:dyDescent="0.25">
      <c r="A34" s="84">
        <v>33</v>
      </c>
      <c r="B34" s="84" t="s">
        <v>33</v>
      </c>
      <c r="C34" s="99">
        <v>0.11045233543484105</v>
      </c>
      <c r="D34" s="99">
        <v>5.6183241144713174E-2</v>
      </c>
      <c r="E34" s="99">
        <v>0.76555952855685383</v>
      </c>
      <c r="F34" s="99">
        <v>0.65992165366268363</v>
      </c>
      <c r="G34" s="99">
        <v>0.43386528242468514</v>
      </c>
      <c r="H34" s="100">
        <v>2.4322038853979686</v>
      </c>
      <c r="I34" s="100">
        <v>1.2667128884138501</v>
      </c>
      <c r="J34" s="100">
        <v>0.88898548844674607</v>
      </c>
      <c r="K34" s="100">
        <v>0.66</v>
      </c>
      <c r="L34" s="100">
        <v>2</v>
      </c>
      <c r="M34" s="100">
        <v>1.05</v>
      </c>
      <c r="N34" s="100">
        <v>1.72</v>
      </c>
      <c r="O34" s="100">
        <v>0.34596481104475979</v>
      </c>
      <c r="P34" s="100">
        <v>0.41</v>
      </c>
      <c r="Q34" s="100">
        <v>0.54716703445256309</v>
      </c>
      <c r="R34" s="100">
        <v>0.62999012148576172</v>
      </c>
    </row>
    <row r="35" spans="1:18" x14ac:dyDescent="0.25">
      <c r="A35" s="84">
        <v>34</v>
      </c>
      <c r="B35" s="84" t="s">
        <v>34</v>
      </c>
      <c r="C35" s="99">
        <v>2.235109678331948</v>
      </c>
      <c r="D35" s="99">
        <v>2.0120571955846325</v>
      </c>
      <c r="E35" s="99">
        <v>2.0635323304563737</v>
      </c>
      <c r="F35" s="99">
        <v>1.8329554317190693</v>
      </c>
      <c r="G35" s="99">
        <v>1.553997693624056</v>
      </c>
      <c r="H35" s="100">
        <v>0.73745722370762024</v>
      </c>
      <c r="I35" s="100">
        <v>1.0009120205920172</v>
      </c>
      <c r="J35" s="100">
        <v>1.2263550228821565</v>
      </c>
      <c r="K35" s="100">
        <v>1.21</v>
      </c>
      <c r="L35" s="100">
        <v>6.3</v>
      </c>
      <c r="M35" s="100">
        <v>4.4800000000000004</v>
      </c>
      <c r="N35" s="100">
        <v>2.4</v>
      </c>
      <c r="O35" s="100">
        <v>0.71801772198486147</v>
      </c>
      <c r="P35" s="100">
        <v>0.75</v>
      </c>
      <c r="Q35" s="100">
        <v>0.98644938344974387</v>
      </c>
      <c r="R35" s="100">
        <v>0.50241807928002546</v>
      </c>
    </row>
    <row r="36" spans="1:18" x14ac:dyDescent="0.25">
      <c r="A36" s="84">
        <v>35</v>
      </c>
      <c r="B36" s="84" t="s">
        <v>35</v>
      </c>
      <c r="C36" s="99">
        <v>0.90409302191738239</v>
      </c>
      <c r="D36" s="99">
        <v>0.56361139046336739</v>
      </c>
      <c r="E36" s="99">
        <v>1.3613892190168935</v>
      </c>
      <c r="F36" s="99">
        <v>1.0369250024356782</v>
      </c>
      <c r="G36" s="99">
        <v>0.64325796354362286</v>
      </c>
      <c r="H36" s="100">
        <v>0.95798014662975028</v>
      </c>
      <c r="I36" s="100">
        <v>0.94376112758277064</v>
      </c>
      <c r="J36" s="100">
        <v>3.2359090567409701</v>
      </c>
      <c r="K36" s="100">
        <v>3.22</v>
      </c>
      <c r="L36" s="100">
        <v>3.1</v>
      </c>
      <c r="M36" s="100">
        <v>4.16</v>
      </c>
      <c r="N36" s="100">
        <v>3.76</v>
      </c>
      <c r="O36" s="100">
        <v>2.8667008772993752</v>
      </c>
      <c r="P36" s="100">
        <v>1.75</v>
      </c>
      <c r="Q36" s="100">
        <v>2.8753166080134167</v>
      </c>
      <c r="R36" s="100">
        <v>4.1920589559010493</v>
      </c>
    </row>
    <row r="37" spans="1:18" x14ac:dyDescent="0.25">
      <c r="A37" s="84">
        <v>36</v>
      </c>
      <c r="B37" s="84" t="s">
        <v>36</v>
      </c>
      <c r="C37" s="140"/>
      <c r="D37" s="140"/>
      <c r="E37" s="140"/>
      <c r="F37" s="140"/>
      <c r="G37" s="140"/>
      <c r="H37" s="141"/>
      <c r="I37" s="141"/>
      <c r="J37" s="141"/>
      <c r="K37" s="141"/>
      <c r="L37" s="100">
        <v>1.0000000000000001E-5</v>
      </c>
      <c r="M37" s="141"/>
      <c r="N37" s="100">
        <v>0.67</v>
      </c>
      <c r="O37" s="100">
        <v>0.3154092541369069</v>
      </c>
      <c r="P37" s="100">
        <v>0.48</v>
      </c>
      <c r="Q37" s="100">
        <v>3.5315654549947144</v>
      </c>
      <c r="R37" s="100">
        <v>2.6432782260586571</v>
      </c>
    </row>
    <row r="38" spans="1:18" x14ac:dyDescent="0.25">
      <c r="A38" s="84">
        <v>37</v>
      </c>
      <c r="B38" s="84" t="s">
        <v>37</v>
      </c>
      <c r="C38" s="99">
        <v>0.32942210336224975</v>
      </c>
      <c r="D38" s="99">
        <v>0.34977817898227792</v>
      </c>
      <c r="E38" s="99">
        <v>0.34619779861024941</v>
      </c>
      <c r="F38" s="99">
        <v>0.28583981160788868</v>
      </c>
      <c r="G38" s="99">
        <v>0.15330923023130716</v>
      </c>
      <c r="H38" s="100">
        <v>0.19906811969337943</v>
      </c>
      <c r="I38" s="100">
        <v>0.10296244330348003</v>
      </c>
      <c r="J38" s="100">
        <v>8.2745027803000665E-2</v>
      </c>
      <c r="K38" s="100">
        <v>0.51</v>
      </c>
      <c r="L38" s="100">
        <v>2.7</v>
      </c>
      <c r="M38" s="100">
        <v>0.22</v>
      </c>
      <c r="N38" s="100">
        <v>0.11</v>
      </c>
      <c r="O38" s="100">
        <v>3.7152742827296532E-2</v>
      </c>
      <c r="P38" s="100">
        <v>0.2</v>
      </c>
      <c r="Q38" s="100">
        <v>0.24962499336122351</v>
      </c>
      <c r="R38" s="100">
        <v>0.40583544872970273</v>
      </c>
    </row>
    <row r="39" spans="1:18" x14ac:dyDescent="0.25">
      <c r="A39" s="84">
        <v>38</v>
      </c>
      <c r="B39" s="84" t="s">
        <v>38</v>
      </c>
      <c r="C39" s="99">
        <v>1.0000000000000001E-5</v>
      </c>
      <c r="D39" s="99">
        <v>1.0000000000000001E-5</v>
      </c>
      <c r="E39" s="99">
        <v>1.0000000000000001E-5</v>
      </c>
      <c r="F39" s="99">
        <v>1.0000000000000001E-5</v>
      </c>
      <c r="G39" s="99">
        <v>1.0000000000000001E-5</v>
      </c>
      <c r="H39" s="141"/>
      <c r="I39" s="141"/>
      <c r="J39" s="141"/>
      <c r="K39" s="141"/>
      <c r="L39" s="100">
        <v>2</v>
      </c>
      <c r="M39" s="100">
        <v>0.02</v>
      </c>
      <c r="N39" s="165"/>
      <c r="O39" s="100">
        <v>1.6163573279014895E-2</v>
      </c>
      <c r="P39" s="141"/>
      <c r="Q39" s="100">
        <v>0</v>
      </c>
      <c r="R39" s="100">
        <v>0.74743124374741898</v>
      </c>
    </row>
    <row r="40" spans="1:18" x14ac:dyDescent="0.25">
      <c r="A40" s="84">
        <v>39</v>
      </c>
      <c r="B40" s="84" t="s">
        <v>42</v>
      </c>
      <c r="C40" s="99">
        <v>0.1993630414673046</v>
      </c>
      <c r="D40" s="99">
        <v>0.29466195293651326</v>
      </c>
      <c r="E40" s="99">
        <v>0.75481261055733195</v>
      </c>
      <c r="F40" s="99">
        <v>0.699368958230283</v>
      </c>
      <c r="G40" s="99">
        <v>0.69214520339254915</v>
      </c>
      <c r="H40" s="100">
        <v>0.77466429664750103</v>
      </c>
      <c r="I40" s="100">
        <v>1.1193244984471069</v>
      </c>
      <c r="J40" s="100">
        <v>1.333721994314145</v>
      </c>
      <c r="K40" s="100">
        <v>2.33</v>
      </c>
      <c r="L40" s="100">
        <v>0.7</v>
      </c>
      <c r="M40" s="100">
        <v>0.02</v>
      </c>
      <c r="N40" s="100">
        <v>0.26</v>
      </c>
      <c r="O40" s="100">
        <v>0.85390979904097863</v>
      </c>
      <c r="P40" s="100">
        <v>0.96</v>
      </c>
      <c r="Q40" s="100">
        <v>0.49081229258240522</v>
      </c>
      <c r="R40" s="100">
        <v>0.57727489552848088</v>
      </c>
    </row>
    <row r="41" spans="1:18" x14ac:dyDescent="0.25">
      <c r="A41" s="84">
        <v>40</v>
      </c>
      <c r="B41" s="84" t="s">
        <v>39</v>
      </c>
      <c r="C41" s="99">
        <v>0.27753403964757706</v>
      </c>
      <c r="D41" s="99">
        <v>0.11814224442110791</v>
      </c>
      <c r="E41" s="99">
        <v>2.4713308397508924</v>
      </c>
      <c r="F41" s="99">
        <v>10.937102959119306</v>
      </c>
      <c r="G41" s="99">
        <v>4.1658316285039829</v>
      </c>
      <c r="H41" s="100">
        <v>0.56343936710327069</v>
      </c>
      <c r="I41" s="100">
        <v>0.71459052262657674</v>
      </c>
      <c r="J41" s="100">
        <v>0.59549191634395604</v>
      </c>
      <c r="K41" s="100">
        <v>0.38</v>
      </c>
      <c r="L41" s="100">
        <v>0.2</v>
      </c>
      <c r="M41" s="100">
        <v>0.73</v>
      </c>
      <c r="N41" s="100">
        <v>0.02</v>
      </c>
      <c r="O41" s="100">
        <v>5.1912787101549583E-2</v>
      </c>
      <c r="P41" s="100">
        <v>0.02</v>
      </c>
      <c r="Q41" s="100">
        <v>8.3188057123078807E-2</v>
      </c>
      <c r="R41" s="100">
        <v>0.11127898008425044</v>
      </c>
    </row>
    <row r="42" spans="1:18" x14ac:dyDescent="0.25">
      <c r="A42" s="84">
        <v>41</v>
      </c>
      <c r="B42" s="84" t="s">
        <v>43</v>
      </c>
      <c r="C42" s="99">
        <v>5.9024430513324989E-2</v>
      </c>
      <c r="D42" s="99">
        <v>8.7326938163795137E-2</v>
      </c>
      <c r="E42" s="99">
        <v>0.11194850048253233</v>
      </c>
      <c r="F42" s="99">
        <v>2.6157298704489302</v>
      </c>
      <c r="G42" s="99">
        <v>0.55652273913043482</v>
      </c>
      <c r="H42" s="100">
        <v>0.45264342970076316</v>
      </c>
      <c r="I42" s="100">
        <v>0.55346587443749795</v>
      </c>
      <c r="J42" s="100">
        <v>0.49115053016830906</v>
      </c>
      <c r="K42" s="100">
        <v>0.62</v>
      </c>
      <c r="L42" s="100">
        <v>0.8</v>
      </c>
      <c r="M42" s="100">
        <v>0.1</v>
      </c>
      <c r="N42" s="100">
        <v>0.08</v>
      </c>
      <c r="O42" s="100">
        <v>0.17726581712684414</v>
      </c>
      <c r="P42" s="100">
        <v>0.14000000000000001</v>
      </c>
      <c r="Q42" s="100">
        <v>5.1988726374784487E-2</v>
      </c>
      <c r="R42" s="100">
        <v>0.36806361663401349</v>
      </c>
    </row>
    <row r="43" spans="1:18" x14ac:dyDescent="0.25">
      <c r="A43" s="84">
        <v>42</v>
      </c>
      <c r="B43" s="84" t="s">
        <v>40</v>
      </c>
      <c r="C43" s="140"/>
      <c r="D43" s="140"/>
      <c r="E43" s="99">
        <v>1.0000000000000001E-5</v>
      </c>
      <c r="F43" s="99">
        <v>1.0000000000000001E-5</v>
      </c>
      <c r="G43" s="99">
        <v>1.0000000000000001E-5</v>
      </c>
      <c r="H43" s="141"/>
      <c r="I43" s="141"/>
      <c r="J43" s="141"/>
      <c r="K43" s="141"/>
      <c r="L43" s="100">
        <v>1.7</v>
      </c>
      <c r="M43" s="100">
        <v>0.17</v>
      </c>
      <c r="N43" s="100">
        <v>0.12</v>
      </c>
      <c r="O43" s="100">
        <v>0.38274792323651063</v>
      </c>
      <c r="P43" s="100">
        <v>0.04</v>
      </c>
      <c r="Q43" s="100">
        <v>0</v>
      </c>
      <c r="R43" s="100">
        <v>0.19443959063440844</v>
      </c>
    </row>
    <row r="44" spans="1:18" x14ac:dyDescent="0.25">
      <c r="A44" s="84">
        <v>43</v>
      </c>
      <c r="B44" s="84" t="s">
        <v>41</v>
      </c>
      <c r="C44" s="99">
        <v>1.8279859010891548</v>
      </c>
      <c r="D44" s="99">
        <v>2.3594797710804345</v>
      </c>
      <c r="E44" s="99">
        <v>1.2201128479145384</v>
      </c>
      <c r="F44" s="99">
        <v>1.474336212751429</v>
      </c>
      <c r="G44" s="99">
        <v>1.1906617604282022</v>
      </c>
      <c r="H44" s="100">
        <v>2.7472925732001672</v>
      </c>
      <c r="I44" s="100">
        <v>0.62355087793679498</v>
      </c>
      <c r="J44" s="100">
        <v>0.99548188951199368</v>
      </c>
      <c r="K44" s="100">
        <v>1.93</v>
      </c>
      <c r="L44" s="100">
        <v>3.5</v>
      </c>
      <c r="M44" s="100">
        <v>1.85</v>
      </c>
      <c r="N44" s="100">
        <v>1.96</v>
      </c>
      <c r="O44" s="100">
        <v>2.110176132806004</v>
      </c>
      <c r="P44" s="100">
        <v>1.4</v>
      </c>
      <c r="Q44" s="100">
        <v>0.92603415560146474</v>
      </c>
      <c r="R44" s="100">
        <v>0.76530039826541163</v>
      </c>
    </row>
    <row r="45" spans="1:18" x14ac:dyDescent="0.25">
      <c r="A45" s="84">
        <v>44</v>
      </c>
      <c r="B45" s="84" t="s">
        <v>44</v>
      </c>
      <c r="C45" s="99">
        <v>0.4484231669220623</v>
      </c>
      <c r="D45" s="99">
        <v>1.0614819659482226</v>
      </c>
      <c r="E45" s="99">
        <v>0.99225899311486243</v>
      </c>
      <c r="F45" s="99">
        <v>1.1518972385049782</v>
      </c>
      <c r="G45" s="99">
        <v>1.9102731223118696</v>
      </c>
      <c r="H45" s="100">
        <v>0.85024540588408004</v>
      </c>
      <c r="I45" s="100">
        <v>1.3115291482536364</v>
      </c>
      <c r="J45" s="100">
        <v>1.2291099209378364</v>
      </c>
      <c r="K45" s="100">
        <v>1.52</v>
      </c>
      <c r="L45" s="100">
        <v>2.2000000000000002</v>
      </c>
      <c r="M45" s="100">
        <v>1.95</v>
      </c>
      <c r="N45" s="100">
        <v>2</v>
      </c>
      <c r="O45" s="100">
        <v>1.9120776580719594</v>
      </c>
      <c r="P45" s="100">
        <v>1.28</v>
      </c>
      <c r="Q45" s="100">
        <v>1.2</v>
      </c>
      <c r="R45" s="100">
        <v>1.3634700105254809</v>
      </c>
    </row>
    <row r="46" spans="1:18" x14ac:dyDescent="0.25">
      <c r="A46" s="84">
        <v>45</v>
      </c>
      <c r="B46" s="84" t="s">
        <v>45</v>
      </c>
      <c r="C46" s="99">
        <v>0.77678052246461871</v>
      </c>
      <c r="D46" s="99">
        <v>0.15755927110205931</v>
      </c>
      <c r="E46" s="99">
        <v>0.17073063560689714</v>
      </c>
      <c r="F46" s="99">
        <v>0.22875974279103195</v>
      </c>
      <c r="G46" s="99">
        <v>0.93409525625920475</v>
      </c>
      <c r="H46" s="100">
        <v>0.39129811338137982</v>
      </c>
      <c r="I46" s="100">
        <v>0.78068103512653131</v>
      </c>
      <c r="J46" s="100">
        <v>1.1810289393693314</v>
      </c>
      <c r="K46" s="100">
        <v>1.23</v>
      </c>
      <c r="L46" s="100">
        <v>1</v>
      </c>
      <c r="M46" s="100">
        <v>0.66</v>
      </c>
      <c r="N46" s="100">
        <v>0.92</v>
      </c>
      <c r="O46" s="100">
        <v>1.0657493807594438</v>
      </c>
      <c r="P46" s="100">
        <v>0.64</v>
      </c>
      <c r="Q46" s="100">
        <v>0.5</v>
      </c>
      <c r="R46" s="100">
        <v>0.84534395521101935</v>
      </c>
    </row>
    <row r="47" spans="1:18" x14ac:dyDescent="0.25">
      <c r="A47" s="84">
        <v>46</v>
      </c>
      <c r="B47" s="84" t="s">
        <v>46</v>
      </c>
      <c r="C47" s="99">
        <v>1.989375761884604</v>
      </c>
      <c r="D47" s="99">
        <v>5.7970345918925821</v>
      </c>
      <c r="E47" s="99">
        <v>3.4180886594669695</v>
      </c>
      <c r="F47" s="99">
        <v>3.2506765139036151</v>
      </c>
      <c r="G47" s="99">
        <v>0.82025826562607251</v>
      </c>
      <c r="H47" s="100">
        <v>1.0874324569541609</v>
      </c>
      <c r="I47" s="100">
        <v>16.312783279540884</v>
      </c>
      <c r="J47" s="100">
        <v>3.0292060757605612</v>
      </c>
      <c r="K47" s="100">
        <v>2.68</v>
      </c>
      <c r="L47" s="100">
        <v>5.8</v>
      </c>
      <c r="M47" s="100">
        <v>4.17</v>
      </c>
      <c r="N47" s="100">
        <v>3.1</v>
      </c>
      <c r="O47" s="100">
        <v>2.0451537271515616</v>
      </c>
      <c r="P47" s="100">
        <v>1.24</v>
      </c>
      <c r="Q47" s="100">
        <v>3.1</v>
      </c>
      <c r="R47" s="100">
        <v>2.5038477687271712</v>
      </c>
    </row>
    <row r="48" spans="1:18" x14ac:dyDescent="0.25">
      <c r="A48" s="84">
        <v>47</v>
      </c>
      <c r="B48" s="84" t="s">
        <v>47</v>
      </c>
      <c r="C48" s="99">
        <v>1.978137741398144</v>
      </c>
      <c r="D48" s="99">
        <v>2.8689903934074192</v>
      </c>
      <c r="E48" s="99">
        <v>2.49187636600421</v>
      </c>
      <c r="F48" s="99">
        <v>2.5438677013977102</v>
      </c>
      <c r="G48" s="99">
        <v>0.95238359903338221</v>
      </c>
      <c r="H48" s="100">
        <v>1.3887541145668709</v>
      </c>
      <c r="I48" s="100">
        <v>3.35628296183453</v>
      </c>
      <c r="J48" s="100">
        <v>2.5690537334909447</v>
      </c>
      <c r="K48" s="100">
        <v>4.21</v>
      </c>
      <c r="L48" s="100">
        <v>5.8</v>
      </c>
      <c r="M48" s="100">
        <v>2.92</v>
      </c>
      <c r="N48" s="100">
        <v>2.88</v>
      </c>
      <c r="O48" s="100">
        <v>3.5365284160610986</v>
      </c>
      <c r="P48" s="100">
        <v>4.5199999999999996</v>
      </c>
      <c r="Q48" s="100">
        <v>3.3</v>
      </c>
      <c r="R48" s="100">
        <v>5.0468144118335836</v>
      </c>
    </row>
    <row r="49" spans="1:18" x14ac:dyDescent="0.25">
      <c r="A49" s="84">
        <v>48</v>
      </c>
      <c r="B49" s="84" t="s">
        <v>48</v>
      </c>
      <c r="C49" s="99">
        <v>1.3582448113031291</v>
      </c>
      <c r="D49" s="99">
        <v>0.83838799593623003</v>
      </c>
      <c r="E49" s="99">
        <v>1.3865025356188667</v>
      </c>
      <c r="F49" s="99">
        <v>2.202722400181544</v>
      </c>
      <c r="G49" s="99">
        <v>2.0537908521299038</v>
      </c>
      <c r="H49" s="100">
        <v>1.3368425986789774</v>
      </c>
      <c r="I49" s="100">
        <v>1.3850345436694853</v>
      </c>
      <c r="J49" s="100">
        <v>1.2927748842037832</v>
      </c>
      <c r="K49" s="100">
        <v>1.48</v>
      </c>
      <c r="L49" s="100">
        <v>2.2000000000000002</v>
      </c>
      <c r="M49" s="100">
        <v>1.4</v>
      </c>
      <c r="N49" s="100">
        <v>1.06</v>
      </c>
      <c r="O49" s="100">
        <v>1.2354299000440487</v>
      </c>
      <c r="P49" s="100">
        <v>1.47</v>
      </c>
      <c r="Q49" s="100">
        <v>0.7</v>
      </c>
      <c r="R49" s="100">
        <v>0.87100953505646228</v>
      </c>
    </row>
    <row r="50" spans="1:18" x14ac:dyDescent="0.25">
      <c r="A50" s="84">
        <v>49</v>
      </c>
      <c r="B50" s="84" t="s">
        <v>49</v>
      </c>
      <c r="C50" s="99">
        <v>2.0737776624843161</v>
      </c>
      <c r="D50" s="99">
        <v>1.7369075726246079</v>
      </c>
      <c r="E50" s="99">
        <v>2.6529031384177819</v>
      </c>
      <c r="F50" s="99">
        <v>2.3493447184480027</v>
      </c>
      <c r="G50" s="99">
        <v>2.9601528026565465</v>
      </c>
      <c r="H50" s="100">
        <v>1.7760613238159342</v>
      </c>
      <c r="I50" s="100">
        <v>1.7018206269430951</v>
      </c>
      <c r="J50" s="100">
        <v>3.998303967252137</v>
      </c>
      <c r="K50" s="100">
        <v>3.97</v>
      </c>
      <c r="L50" s="100">
        <v>3.6</v>
      </c>
      <c r="M50" s="100">
        <v>3.89</v>
      </c>
      <c r="N50" s="100">
        <v>2.36</v>
      </c>
      <c r="O50" s="100">
        <v>2.5159424855168386</v>
      </c>
      <c r="P50" s="100">
        <v>2.91</v>
      </c>
      <c r="Q50" s="100">
        <v>3.5</v>
      </c>
      <c r="R50" s="100">
        <v>1.9268567386900903</v>
      </c>
    </row>
    <row r="51" spans="1:18" x14ac:dyDescent="0.25">
      <c r="A51" s="84">
        <v>50</v>
      </c>
      <c r="B51" s="84" t="s">
        <v>50</v>
      </c>
      <c r="C51" s="99">
        <v>1.1664944151977683</v>
      </c>
      <c r="D51" s="99">
        <v>1.8248834558742633</v>
      </c>
      <c r="E51" s="99">
        <v>1.8064223293278256</v>
      </c>
      <c r="F51" s="99">
        <v>1.7441551033438847</v>
      </c>
      <c r="G51" s="99">
        <v>1.6308379029601063</v>
      </c>
      <c r="H51" s="100">
        <v>1.5951822291664326</v>
      </c>
      <c r="I51" s="100">
        <v>1.6881631271618065</v>
      </c>
      <c r="J51" s="100">
        <v>2.0943205542646068</v>
      </c>
      <c r="K51" s="100">
        <v>3.38</v>
      </c>
      <c r="L51" s="100">
        <v>5.0999999999999996</v>
      </c>
      <c r="M51" s="100">
        <v>3.67</v>
      </c>
      <c r="N51" s="100">
        <v>2.84</v>
      </c>
      <c r="O51" s="100">
        <v>2.4146667426413742</v>
      </c>
      <c r="P51" s="100">
        <v>2.16</v>
      </c>
      <c r="Q51" s="100">
        <v>1.5</v>
      </c>
      <c r="R51" s="100">
        <v>2.1111668845570963</v>
      </c>
    </row>
    <row r="52" spans="1:18" x14ac:dyDescent="0.25">
      <c r="A52" s="84">
        <v>51</v>
      </c>
      <c r="B52" s="84" t="s">
        <v>51</v>
      </c>
      <c r="C52" s="99">
        <v>0.72873855415368249</v>
      </c>
      <c r="D52" s="99">
        <v>0.93406760705755554</v>
      </c>
      <c r="E52" s="99">
        <v>0.97135312045275957</v>
      </c>
      <c r="F52" s="99">
        <v>2.61171164657594</v>
      </c>
      <c r="G52" s="99">
        <v>1.154596467622268</v>
      </c>
      <c r="H52" s="100">
        <v>0.79231061492180344</v>
      </c>
      <c r="I52" s="100">
        <v>1.476763166064877</v>
      </c>
      <c r="J52" s="100">
        <v>2.2068085862768472</v>
      </c>
      <c r="K52" s="100">
        <v>2.14</v>
      </c>
      <c r="L52" s="100">
        <v>1.7</v>
      </c>
      <c r="M52" s="100">
        <v>1.85</v>
      </c>
      <c r="N52" s="100">
        <v>1.44</v>
      </c>
      <c r="O52" s="100">
        <v>3.0761375336781533</v>
      </c>
      <c r="P52" s="100">
        <v>1.95</v>
      </c>
      <c r="Q52" s="100">
        <v>2.1</v>
      </c>
      <c r="R52" s="100">
        <v>2.1035442483491353</v>
      </c>
    </row>
    <row r="53" spans="1:18" x14ac:dyDescent="0.25">
      <c r="A53" s="84">
        <v>52</v>
      </c>
      <c r="B53" s="84" t="s">
        <v>52</v>
      </c>
      <c r="C53" s="99">
        <v>1.2337813318850328</v>
      </c>
      <c r="D53" s="99">
        <v>1.2537960187103248</v>
      </c>
      <c r="E53" s="99">
        <v>1.3972478996693201</v>
      </c>
      <c r="F53" s="99">
        <v>1.4084421370662255</v>
      </c>
      <c r="G53" s="99">
        <v>3.958008378969438</v>
      </c>
      <c r="H53" s="100">
        <v>2.5084550751867689</v>
      </c>
      <c r="I53" s="100">
        <v>3.3822611000680811</v>
      </c>
      <c r="J53" s="100">
        <v>6.5983598053313832</v>
      </c>
      <c r="K53" s="100">
        <v>6.39</v>
      </c>
      <c r="L53" s="100">
        <v>4.5</v>
      </c>
      <c r="M53" s="100">
        <v>4.7300000000000004</v>
      </c>
      <c r="N53" s="100">
        <v>3.95</v>
      </c>
      <c r="O53" s="100">
        <v>6.6933336957001739</v>
      </c>
      <c r="P53" s="100">
        <v>6.08</v>
      </c>
      <c r="Q53" s="100">
        <v>8</v>
      </c>
      <c r="R53" s="100">
        <v>9.602684594740678</v>
      </c>
    </row>
    <row r="54" spans="1:18" x14ac:dyDescent="0.25">
      <c r="A54" s="84">
        <v>53</v>
      </c>
      <c r="B54" s="84" t="s">
        <v>53</v>
      </c>
      <c r="C54" s="99">
        <v>0.70960129426189311</v>
      </c>
      <c r="D54" s="99">
        <v>0.22805318463521257</v>
      </c>
      <c r="E54" s="99">
        <v>0.69587305400332522</v>
      </c>
      <c r="F54" s="99">
        <v>1.6611485585744981</v>
      </c>
      <c r="G54" s="99">
        <v>1.1504220453058669</v>
      </c>
      <c r="H54" s="100">
        <v>1.5055471156288212</v>
      </c>
      <c r="I54" s="100">
        <v>1.1272179750731997</v>
      </c>
      <c r="J54" s="100">
        <v>0.87432396483491015</v>
      </c>
      <c r="K54" s="100">
        <v>0.69</v>
      </c>
      <c r="L54" s="100">
        <v>0.8</v>
      </c>
      <c r="M54" s="100">
        <v>1.67</v>
      </c>
      <c r="N54" s="100">
        <v>1.89</v>
      </c>
      <c r="O54" s="100">
        <v>3.1541022210017866</v>
      </c>
      <c r="P54" s="100">
        <v>1.9</v>
      </c>
      <c r="Q54" s="100">
        <v>1.3</v>
      </c>
      <c r="R54" s="100">
        <v>1.2214833234299538</v>
      </c>
    </row>
    <row r="55" spans="1:18" x14ac:dyDescent="0.25">
      <c r="A55" s="84">
        <v>54</v>
      </c>
      <c r="B55" s="84" t="s">
        <v>54</v>
      </c>
      <c r="C55" s="99">
        <v>1.2454667916256055</v>
      </c>
      <c r="D55" s="99">
        <v>2.5568620920842338</v>
      </c>
      <c r="E55" s="99">
        <v>1.3291130899501562</v>
      </c>
      <c r="F55" s="99">
        <v>1.7465818900099508</v>
      </c>
      <c r="G55" s="99">
        <v>0.79335514909861671</v>
      </c>
      <c r="H55" s="100">
        <v>2.990608781843314</v>
      </c>
      <c r="I55" s="100">
        <v>4.3245669725824945</v>
      </c>
      <c r="J55" s="100">
        <v>3.7593994735743173</v>
      </c>
      <c r="K55" s="100">
        <v>4.47</v>
      </c>
      <c r="L55" s="100">
        <v>5.5</v>
      </c>
      <c r="M55" s="100">
        <v>5.41</v>
      </c>
      <c r="N55" s="100">
        <v>2.2400000000000002</v>
      </c>
      <c r="O55" s="100">
        <v>4.1125548467707302</v>
      </c>
      <c r="P55" s="100">
        <v>3.32</v>
      </c>
      <c r="Q55" s="100">
        <v>2.1</v>
      </c>
      <c r="R55" s="100">
        <v>3.1262924354736685</v>
      </c>
    </row>
    <row r="56" spans="1:18" x14ac:dyDescent="0.25">
      <c r="A56" s="84">
        <v>55</v>
      </c>
      <c r="B56" s="84" t="s">
        <v>55</v>
      </c>
      <c r="C56" s="99">
        <v>1.5755961416671964</v>
      </c>
      <c r="D56" s="99">
        <v>2.9764084104751656</v>
      </c>
      <c r="E56" s="99">
        <v>1.8727861742144221</v>
      </c>
      <c r="F56" s="99">
        <v>1.4501065885200031</v>
      </c>
      <c r="G56" s="99">
        <v>1.4323999622786481</v>
      </c>
      <c r="H56" s="100">
        <v>1.3900530243846974</v>
      </c>
      <c r="I56" s="100">
        <v>2.0129390434694958</v>
      </c>
      <c r="J56" s="100">
        <v>7.4969510086642028</v>
      </c>
      <c r="K56" s="100">
        <v>6.3</v>
      </c>
      <c r="L56" s="100">
        <v>4.9000000000000004</v>
      </c>
      <c r="M56" s="100">
        <v>5.03</v>
      </c>
      <c r="N56" s="100">
        <v>2.94</v>
      </c>
      <c r="O56" s="100">
        <v>2.325685143850726</v>
      </c>
      <c r="P56" s="100">
        <v>2.8</v>
      </c>
      <c r="Q56" s="100">
        <v>2.9</v>
      </c>
      <c r="R56" s="100">
        <v>3.841549863505771</v>
      </c>
    </row>
    <row r="57" spans="1:18" x14ac:dyDescent="0.25">
      <c r="A57" s="84">
        <v>56</v>
      </c>
      <c r="B57" s="84" t="s">
        <v>56</v>
      </c>
      <c r="C57" s="99">
        <v>2.5888413230261769</v>
      </c>
      <c r="D57" s="99">
        <v>1.1673232147025909</v>
      </c>
      <c r="E57" s="99">
        <v>1.7748167201237444</v>
      </c>
      <c r="F57" s="99">
        <v>0.72045481857356886</v>
      </c>
      <c r="G57" s="99">
        <v>1.6277506737069745</v>
      </c>
      <c r="H57" s="100">
        <v>1.3510823505614757</v>
      </c>
      <c r="I57" s="100">
        <v>1.9458343583424902</v>
      </c>
      <c r="J57" s="100">
        <v>2.8778279846729249</v>
      </c>
      <c r="K57" s="100">
        <v>2.02</v>
      </c>
      <c r="L57" s="100">
        <v>1.4</v>
      </c>
      <c r="M57" s="100">
        <v>3.62</v>
      </c>
      <c r="N57" s="100">
        <v>1.7</v>
      </c>
      <c r="O57" s="100">
        <v>1.7260377657704753</v>
      </c>
      <c r="P57" s="100">
        <v>1.21</v>
      </c>
      <c r="Q57" s="100">
        <v>1.2</v>
      </c>
      <c r="R57" s="100">
        <v>0.40445338008549281</v>
      </c>
    </row>
    <row r="58" spans="1:18" x14ac:dyDescent="0.25">
      <c r="A58" s="84">
        <v>57</v>
      </c>
      <c r="B58" s="84" t="s">
        <v>57</v>
      </c>
      <c r="C58" s="99">
        <v>1.2353080115351946</v>
      </c>
      <c r="D58" s="99">
        <v>0.80758043968086579</v>
      </c>
      <c r="E58" s="99">
        <v>0.84803916914351496</v>
      </c>
      <c r="F58" s="99">
        <v>0.89258280572211746</v>
      </c>
      <c r="G58" s="99">
        <v>1.9092459270339994</v>
      </c>
      <c r="H58" s="100">
        <v>1.0075733738066386</v>
      </c>
      <c r="I58" s="100">
        <v>1.0009511585321405</v>
      </c>
      <c r="J58" s="100">
        <v>1.1684733528892566</v>
      </c>
      <c r="K58" s="100">
        <v>1.49</v>
      </c>
      <c r="L58" s="100">
        <v>1.7</v>
      </c>
      <c r="M58" s="100">
        <v>1.45</v>
      </c>
      <c r="N58" s="100">
        <v>1.43</v>
      </c>
      <c r="O58" s="100">
        <v>2.3434994776992046</v>
      </c>
      <c r="P58" s="100">
        <v>3.07</v>
      </c>
      <c r="Q58" s="100">
        <v>2.2999999999999998</v>
      </c>
      <c r="R58" s="100">
        <v>2.2501830104092573</v>
      </c>
    </row>
    <row r="59" spans="1:18" x14ac:dyDescent="0.25">
      <c r="A59" s="84">
        <v>58</v>
      </c>
      <c r="B59" s="84" t="s">
        <v>58</v>
      </c>
      <c r="C59" s="99">
        <v>1.1590503601462521</v>
      </c>
      <c r="D59" s="99">
        <v>1.2049186391490179</v>
      </c>
      <c r="E59" s="99">
        <v>2.5145585491995819</v>
      </c>
      <c r="F59" s="99">
        <v>2.704428990473259</v>
      </c>
      <c r="G59" s="99">
        <v>1.0893497174597122</v>
      </c>
      <c r="H59" s="100">
        <v>1.0301710759556242</v>
      </c>
      <c r="I59" s="100">
        <v>1.5753721049411367</v>
      </c>
      <c r="J59" s="100">
        <v>1.3740882760307012</v>
      </c>
      <c r="K59" s="100">
        <v>0.99</v>
      </c>
      <c r="L59" s="100">
        <v>0.8</v>
      </c>
      <c r="M59" s="100">
        <v>0.72</v>
      </c>
      <c r="N59" s="100">
        <v>1.05</v>
      </c>
      <c r="O59" s="100">
        <v>0.64287395252528423</v>
      </c>
      <c r="P59" s="100">
        <v>0.57999999999999996</v>
      </c>
      <c r="Q59" s="100">
        <v>0.6</v>
      </c>
      <c r="R59" s="100">
        <v>1.012091631273988</v>
      </c>
    </row>
    <row r="60" spans="1:18" x14ac:dyDescent="0.25">
      <c r="A60" s="84">
        <v>59</v>
      </c>
      <c r="B60" s="84" t="s">
        <v>59</v>
      </c>
      <c r="C60" s="99">
        <v>2.4405235365516047</v>
      </c>
      <c r="D60" s="99">
        <v>1.5578038255384032</v>
      </c>
      <c r="E60" s="99">
        <v>1.5549256609127289</v>
      </c>
      <c r="F60" s="99">
        <v>2.9280663454523372</v>
      </c>
      <c r="G60" s="99">
        <v>2.0665450022431959</v>
      </c>
      <c r="H60" s="100">
        <v>2.1828952150795993</v>
      </c>
      <c r="I60" s="100">
        <v>2.3745106273868006</v>
      </c>
      <c r="J60" s="100">
        <v>2.2518841886577259</v>
      </c>
      <c r="K60" s="100">
        <v>2.72</v>
      </c>
      <c r="L60" s="100">
        <v>1.9</v>
      </c>
      <c r="M60" s="100">
        <v>2.84</v>
      </c>
      <c r="N60" s="100">
        <v>3.13</v>
      </c>
      <c r="O60" s="100">
        <v>2.3748548471566</v>
      </c>
      <c r="P60" s="100">
        <v>1.8</v>
      </c>
      <c r="Q60" s="100">
        <v>1.3</v>
      </c>
      <c r="R60" s="100">
        <v>1.5982698413797707</v>
      </c>
    </row>
    <row r="61" spans="1:18" x14ac:dyDescent="0.25">
      <c r="A61" s="84">
        <v>60</v>
      </c>
      <c r="B61" s="84" t="s">
        <v>60</v>
      </c>
      <c r="C61" s="99">
        <v>9.5385636234448623E-2</v>
      </c>
      <c r="D61" s="99">
        <v>0.73886023202562856</v>
      </c>
      <c r="E61" s="99">
        <v>0.73474114636248844</v>
      </c>
      <c r="F61" s="99">
        <v>0.7255062338616749</v>
      </c>
      <c r="G61" s="99">
        <v>0.79052704920576478</v>
      </c>
      <c r="H61" s="100">
        <v>0.94612767155652233</v>
      </c>
      <c r="I61" s="100">
        <v>0.80467078873341669</v>
      </c>
      <c r="J61" s="100">
        <v>0.71752279607508995</v>
      </c>
      <c r="K61" s="100">
        <v>1.24</v>
      </c>
      <c r="L61" s="100">
        <v>1.4</v>
      </c>
      <c r="M61" s="100">
        <v>1.24</v>
      </c>
      <c r="N61" s="100">
        <v>1.35</v>
      </c>
      <c r="O61" s="100">
        <v>1.8677073292246951</v>
      </c>
      <c r="P61" s="100">
        <v>0.91</v>
      </c>
      <c r="Q61" s="100">
        <v>0.5</v>
      </c>
      <c r="R61" s="100">
        <v>0.60042961287093199</v>
      </c>
    </row>
    <row r="62" spans="1:18" x14ac:dyDescent="0.25">
      <c r="A62" s="84">
        <v>61</v>
      </c>
      <c r="B62" s="84" t="s">
        <v>61</v>
      </c>
      <c r="C62" s="99">
        <v>2.8821015405602171</v>
      </c>
      <c r="D62" s="99">
        <v>2.6516525646115556</v>
      </c>
      <c r="E62" s="99">
        <v>2.1114426313975461</v>
      </c>
      <c r="F62" s="99">
        <v>3.1624333972074239</v>
      </c>
      <c r="G62" s="99">
        <v>6.7842443761831941</v>
      </c>
      <c r="H62" s="100">
        <v>4.9787549300200045</v>
      </c>
      <c r="I62" s="100">
        <v>3.864483951027454</v>
      </c>
      <c r="J62" s="100">
        <v>3.8922774435229095</v>
      </c>
      <c r="K62" s="100">
        <v>3.32</v>
      </c>
      <c r="L62" s="100">
        <v>2.6</v>
      </c>
      <c r="M62" s="100">
        <v>1.23</v>
      </c>
      <c r="N62" s="100">
        <v>2.17</v>
      </c>
      <c r="O62" s="100">
        <v>1.5040508801955188</v>
      </c>
      <c r="P62" s="100">
        <v>1.7</v>
      </c>
      <c r="Q62" s="100">
        <v>1.2</v>
      </c>
      <c r="R62" s="100">
        <v>1.2417322032913589</v>
      </c>
    </row>
    <row r="63" spans="1:18" x14ac:dyDescent="0.25">
      <c r="A63" s="84">
        <v>62</v>
      </c>
      <c r="B63" s="84" t="s">
        <v>62</v>
      </c>
      <c r="C63" s="99">
        <v>3.4097643136094673</v>
      </c>
      <c r="D63" s="99">
        <v>8.5977135808055678</v>
      </c>
      <c r="E63" s="99">
        <v>0.19264548336252191</v>
      </c>
      <c r="F63" s="99">
        <v>2.182310772112785</v>
      </c>
      <c r="G63" s="99">
        <v>0.88176452705410824</v>
      </c>
      <c r="H63" s="100">
        <v>1.4153784013043658</v>
      </c>
      <c r="I63" s="100">
        <v>1.9139878088996181</v>
      </c>
      <c r="J63" s="100">
        <v>2.8640205693837983</v>
      </c>
      <c r="K63" s="100">
        <v>0.52</v>
      </c>
      <c r="L63" s="100">
        <v>9.3000000000000007</v>
      </c>
      <c r="M63" s="100">
        <v>3.54</v>
      </c>
      <c r="N63" s="100">
        <v>1.28</v>
      </c>
      <c r="O63" s="100">
        <v>1.1457575234530275</v>
      </c>
      <c r="P63" s="100">
        <v>0.33</v>
      </c>
      <c r="Q63" s="100">
        <v>0.8</v>
      </c>
      <c r="R63" s="100">
        <v>2.298141235170974</v>
      </c>
    </row>
    <row r="64" spans="1:18" x14ac:dyDescent="0.25">
      <c r="A64" s="84">
        <v>63</v>
      </c>
      <c r="B64" s="84" t="s">
        <v>63</v>
      </c>
      <c r="C64" s="99">
        <v>0.2690355939374719</v>
      </c>
      <c r="D64" s="99">
        <v>1.5345212360004139</v>
      </c>
      <c r="E64" s="99">
        <v>0.91999189368375778</v>
      </c>
      <c r="F64" s="99">
        <v>0.53609233546349755</v>
      </c>
      <c r="G64" s="99">
        <v>0.88951252820443572</v>
      </c>
      <c r="H64" s="100">
        <v>0.71499354739934673</v>
      </c>
      <c r="I64" s="100">
        <v>1.4383191826407433</v>
      </c>
      <c r="J64" s="100">
        <v>1.4860665948577387</v>
      </c>
      <c r="K64" s="100">
        <v>0.99</v>
      </c>
      <c r="L64" s="100">
        <v>0.9</v>
      </c>
      <c r="M64" s="100">
        <v>0.68</v>
      </c>
      <c r="N64" s="100">
        <v>1.91</v>
      </c>
      <c r="O64" s="100">
        <v>1.5997097428111409</v>
      </c>
      <c r="P64" s="100">
        <v>3.57</v>
      </c>
      <c r="Q64" s="100">
        <v>3.5</v>
      </c>
      <c r="R64" s="100">
        <v>3.613568233200021</v>
      </c>
    </row>
    <row r="65" spans="1:18" x14ac:dyDescent="0.25">
      <c r="A65" s="84">
        <v>64</v>
      </c>
      <c r="B65" s="84" t="s">
        <v>64</v>
      </c>
      <c r="C65" s="99">
        <v>1.0000000000000001E-5</v>
      </c>
      <c r="D65" s="99">
        <v>1.0000000000000001E-5</v>
      </c>
      <c r="E65" s="99">
        <v>1.0000000000000001E-5</v>
      </c>
      <c r="F65" s="99">
        <v>1.0000000000000001E-5</v>
      </c>
      <c r="G65" s="99">
        <v>0.90909190909090909</v>
      </c>
      <c r="H65" s="100">
        <v>1.2458219050211572</v>
      </c>
      <c r="I65" s="100">
        <v>8.4751678518304049E-2</v>
      </c>
      <c r="J65" s="100">
        <v>0.11839777957527817</v>
      </c>
      <c r="K65" s="100">
        <v>0.33</v>
      </c>
      <c r="L65" s="100">
        <v>0</v>
      </c>
      <c r="M65" s="100">
        <v>1E-4</v>
      </c>
      <c r="N65" s="100">
        <v>0.03</v>
      </c>
      <c r="O65" s="100">
        <v>5.4485642643565785E-2</v>
      </c>
      <c r="P65" s="100">
        <v>0.06</v>
      </c>
      <c r="Q65" s="100">
        <v>5.3</v>
      </c>
      <c r="R65" s="100">
        <v>2.3020236119303599</v>
      </c>
    </row>
    <row r="66" spans="1:18" x14ac:dyDescent="0.25">
      <c r="A66" s="84">
        <v>65</v>
      </c>
      <c r="B66" s="84" t="s">
        <v>65</v>
      </c>
      <c r="C66" s="99">
        <v>1.9590637668659265</v>
      </c>
      <c r="D66" s="99">
        <v>0.159774485691172</v>
      </c>
      <c r="E66" s="99">
        <v>0.20381122043421881</v>
      </c>
      <c r="F66" s="99">
        <v>0.20335591465567979</v>
      </c>
      <c r="G66" s="99">
        <v>0.14035945389764629</v>
      </c>
      <c r="H66" s="100">
        <v>6.7268045790930681E-2</v>
      </c>
      <c r="I66" s="100">
        <v>0.41144815642988886</v>
      </c>
      <c r="J66" s="100">
        <v>0.12269553184654916</v>
      </c>
      <c r="K66" s="100">
        <v>0.15</v>
      </c>
      <c r="L66" s="100">
        <v>0.1</v>
      </c>
      <c r="M66" s="100">
        <v>0.04</v>
      </c>
      <c r="N66" s="100">
        <v>0.02</v>
      </c>
      <c r="O66" s="100">
        <v>0.73262481064489826</v>
      </c>
      <c r="P66" s="100">
        <v>0.11</v>
      </c>
      <c r="Q66" s="100">
        <v>0.1</v>
      </c>
      <c r="R66" s="100">
        <v>4.0885615753422838E-2</v>
      </c>
    </row>
    <row r="67" spans="1:18" x14ac:dyDescent="0.25">
      <c r="A67" s="84">
        <v>66</v>
      </c>
      <c r="B67" s="84" t="s">
        <v>66</v>
      </c>
      <c r="C67" s="99">
        <v>0.5930694517382854</v>
      </c>
      <c r="D67" s="99">
        <v>1.0481187834055887</v>
      </c>
      <c r="E67" s="99">
        <v>1.0915311070729552</v>
      </c>
      <c r="F67" s="99">
        <v>0.54306339850265617</v>
      </c>
      <c r="G67" s="99">
        <v>0.46465101046356988</v>
      </c>
      <c r="H67" s="100">
        <v>0.6351960220013908</v>
      </c>
      <c r="I67" s="100">
        <v>1.2196759282749197</v>
      </c>
      <c r="J67" s="100">
        <v>1.5727294712089688</v>
      </c>
      <c r="K67" s="100">
        <v>0.81</v>
      </c>
      <c r="L67" s="100">
        <v>1.1000000000000001</v>
      </c>
      <c r="M67" s="100">
        <v>1.1100000000000001</v>
      </c>
      <c r="N67" s="100">
        <v>1.1299999999999999</v>
      </c>
      <c r="O67" s="100">
        <v>1.1772745127548407</v>
      </c>
      <c r="P67" s="100">
        <v>1.25</v>
      </c>
      <c r="Q67" s="100">
        <v>1.7</v>
      </c>
      <c r="R67" s="100">
        <v>2.053708516067402</v>
      </c>
    </row>
    <row r="68" spans="1:18" x14ac:dyDescent="0.25">
      <c r="A68" s="84">
        <v>67</v>
      </c>
      <c r="B68" s="84" t="s">
        <v>73</v>
      </c>
      <c r="C68" s="99">
        <v>1.7185574126134047</v>
      </c>
      <c r="D68" s="99">
        <v>0.99160503547972101</v>
      </c>
      <c r="E68" s="99">
        <v>0.3252935123121804</v>
      </c>
      <c r="F68" s="99">
        <v>0.12524971180041836</v>
      </c>
      <c r="G68" s="99">
        <v>0.14505199264096921</v>
      </c>
      <c r="H68" s="100">
        <v>0.81303122621170754</v>
      </c>
      <c r="I68" s="100">
        <v>0.68123507375631021</v>
      </c>
      <c r="J68" s="100">
        <v>0.38015591117164554</v>
      </c>
      <c r="K68" s="100">
        <v>0.45</v>
      </c>
      <c r="L68" s="100">
        <v>0.9</v>
      </c>
      <c r="M68" s="100">
        <v>1.61</v>
      </c>
      <c r="N68" s="100">
        <v>0.61</v>
      </c>
      <c r="O68" s="100">
        <v>0.86224794825226425</v>
      </c>
      <c r="P68" s="100">
        <v>0.63</v>
      </c>
      <c r="Q68" s="100">
        <v>0.4</v>
      </c>
      <c r="R68" s="100">
        <v>0.16742208144924511</v>
      </c>
    </row>
    <row r="69" spans="1:18" x14ac:dyDescent="0.25">
      <c r="A69" s="84">
        <v>68</v>
      </c>
      <c r="B69" s="84" t="s">
        <v>67</v>
      </c>
      <c r="C69" s="99">
        <v>0.38159889929377433</v>
      </c>
      <c r="D69" s="99">
        <v>0.34095640486513545</v>
      </c>
      <c r="E69" s="99">
        <v>0.92200743548993025</v>
      </c>
      <c r="F69" s="99">
        <v>1.4231250733151704</v>
      </c>
      <c r="G69" s="99">
        <v>1.3791366553337201</v>
      </c>
      <c r="H69" s="100">
        <v>1.597410987975947</v>
      </c>
      <c r="I69" s="100">
        <v>1.889743487628422</v>
      </c>
      <c r="J69" s="100">
        <v>2.3735376228734353</v>
      </c>
      <c r="K69" s="100">
        <v>6.37</v>
      </c>
      <c r="L69" s="100">
        <v>6.9</v>
      </c>
      <c r="M69" s="100">
        <v>4.04</v>
      </c>
      <c r="N69" s="100">
        <v>2.5099999999999998</v>
      </c>
      <c r="O69" s="100">
        <v>1.8381183255874654</v>
      </c>
      <c r="P69" s="100">
        <v>2.73</v>
      </c>
      <c r="Q69" s="100">
        <v>2.2999999999999998</v>
      </c>
      <c r="R69" s="100">
        <v>1.814892214975935</v>
      </c>
    </row>
    <row r="70" spans="1:18" x14ac:dyDescent="0.25">
      <c r="A70" s="84">
        <v>69</v>
      </c>
      <c r="B70" s="84" t="s">
        <v>68</v>
      </c>
      <c r="C70" s="99">
        <v>1.4893595791868486</v>
      </c>
      <c r="D70" s="99">
        <v>1.4313626071428569</v>
      </c>
      <c r="E70" s="99">
        <v>1.3070864822189079</v>
      </c>
      <c r="F70" s="99">
        <v>1.0430354462690465</v>
      </c>
      <c r="G70" s="99">
        <v>1.7369778884505878</v>
      </c>
      <c r="H70" s="100">
        <v>2.3498443365596979</v>
      </c>
      <c r="I70" s="100">
        <v>0.97099595450098863</v>
      </c>
      <c r="J70" s="100">
        <v>1.4185209362491034</v>
      </c>
      <c r="K70" s="100">
        <v>2.5099999999999998</v>
      </c>
      <c r="L70" s="100">
        <v>3</v>
      </c>
      <c r="M70" s="100">
        <v>2.39</v>
      </c>
      <c r="N70" s="100">
        <v>1.1399999999999999</v>
      </c>
      <c r="O70" s="100">
        <v>2.4169361132687461</v>
      </c>
      <c r="P70" s="100">
        <v>2.2999999999999998</v>
      </c>
      <c r="Q70" s="100">
        <v>2.6</v>
      </c>
      <c r="R70" s="100">
        <v>1.7538047399187364</v>
      </c>
    </row>
    <row r="71" spans="1:18" x14ac:dyDescent="0.25">
      <c r="A71" s="84">
        <v>70</v>
      </c>
      <c r="B71" s="84" t="s">
        <v>69</v>
      </c>
      <c r="C71" s="99">
        <v>1.2202810416692198</v>
      </c>
      <c r="D71" s="99">
        <v>0.44242964576214688</v>
      </c>
      <c r="E71" s="99">
        <v>0.5041985800233838</v>
      </c>
      <c r="F71" s="99">
        <v>0.36977414939571218</v>
      </c>
      <c r="G71" s="99">
        <v>0.16460802379321368</v>
      </c>
      <c r="H71" s="100">
        <v>0.24191481956332023</v>
      </c>
      <c r="I71" s="100">
        <v>0.31522520703701279</v>
      </c>
      <c r="J71" s="100">
        <v>1.3752184906174978</v>
      </c>
      <c r="K71" s="100">
        <v>0.77</v>
      </c>
      <c r="L71" s="100">
        <v>0.1</v>
      </c>
      <c r="M71" s="100">
        <v>0.35</v>
      </c>
      <c r="N71" s="100">
        <v>0.21</v>
      </c>
      <c r="O71" s="100">
        <v>0.21925352426765626</v>
      </c>
      <c r="P71" s="100">
        <v>0.12</v>
      </c>
      <c r="Q71" s="100">
        <v>0.6</v>
      </c>
      <c r="R71" s="100">
        <v>2.0570149646863993</v>
      </c>
    </row>
    <row r="72" spans="1:18" x14ac:dyDescent="0.25">
      <c r="A72" s="84">
        <v>71</v>
      </c>
      <c r="B72" s="84" t="s">
        <v>70</v>
      </c>
      <c r="C72" s="99">
        <v>0.63919131719532563</v>
      </c>
      <c r="D72" s="99">
        <v>0.5769633058644511</v>
      </c>
      <c r="E72" s="99">
        <v>1.2486290840424641</v>
      </c>
      <c r="F72" s="99">
        <v>0.97536723036240824</v>
      </c>
      <c r="G72" s="99">
        <v>1.2405987050518767</v>
      </c>
      <c r="H72" s="100">
        <v>1.3898955814903098</v>
      </c>
      <c r="I72" s="100">
        <v>1.8689415375822096</v>
      </c>
      <c r="J72" s="100">
        <v>1.7346903296808027</v>
      </c>
      <c r="K72" s="100">
        <v>1.75</v>
      </c>
      <c r="L72" s="100">
        <v>1.1000000000000001</v>
      </c>
      <c r="M72" s="100">
        <v>1.2</v>
      </c>
      <c r="N72" s="100">
        <v>1.45</v>
      </c>
      <c r="O72" s="100">
        <v>1.2124618600744497</v>
      </c>
      <c r="P72" s="100">
        <v>1.3</v>
      </c>
      <c r="Q72" s="100">
        <v>1.1000000000000001</v>
      </c>
      <c r="R72" s="100">
        <v>1.4093406923868788</v>
      </c>
    </row>
    <row r="73" spans="1:18" x14ac:dyDescent="0.25">
      <c r="A73" s="84">
        <v>72</v>
      </c>
      <c r="B73" s="84" t="s">
        <v>71</v>
      </c>
      <c r="C73" s="99">
        <v>0.22365260158318814</v>
      </c>
      <c r="D73" s="99">
        <v>0.31086342117417176</v>
      </c>
      <c r="E73" s="99">
        <v>0.33073493652407754</v>
      </c>
      <c r="F73" s="99">
        <v>0.32662916655343099</v>
      </c>
      <c r="G73" s="99">
        <v>1.1523634165745293</v>
      </c>
      <c r="H73" s="100">
        <v>9.118813302652196</v>
      </c>
      <c r="I73" s="100">
        <v>4.2457714075171369</v>
      </c>
      <c r="J73" s="100">
        <v>3.4616056427984385</v>
      </c>
      <c r="K73" s="100">
        <v>3.42</v>
      </c>
      <c r="L73" s="100">
        <v>3.9</v>
      </c>
      <c r="M73" s="100">
        <v>4.7300000000000004</v>
      </c>
      <c r="N73" s="100">
        <v>2.8</v>
      </c>
      <c r="O73" s="100">
        <v>4.525202253466059</v>
      </c>
      <c r="P73" s="100">
        <v>4.78</v>
      </c>
      <c r="Q73" s="100">
        <v>1.6</v>
      </c>
      <c r="R73" s="100">
        <v>1.3830857261405147</v>
      </c>
    </row>
    <row r="74" spans="1:18" x14ac:dyDescent="0.25">
      <c r="A74" s="84">
        <v>73</v>
      </c>
      <c r="B74" s="84" t="s">
        <v>72</v>
      </c>
      <c r="C74" s="99">
        <v>0.95133194204266569</v>
      </c>
      <c r="D74" s="99">
        <v>1.2053465841836564</v>
      </c>
      <c r="E74" s="99">
        <v>1.4975071556916473</v>
      </c>
      <c r="F74" s="99">
        <v>1.2052706180526627</v>
      </c>
      <c r="G74" s="99">
        <v>2.0280808380643034</v>
      </c>
      <c r="H74" s="100">
        <v>1.0101974134886034</v>
      </c>
      <c r="I74" s="100">
        <v>1.5598080488015986</v>
      </c>
      <c r="J74" s="100">
        <v>1.5418455080180449</v>
      </c>
      <c r="K74" s="100">
        <v>2.74</v>
      </c>
      <c r="L74" s="100">
        <v>2.2000000000000002</v>
      </c>
      <c r="M74" s="100">
        <v>3.37</v>
      </c>
      <c r="N74" s="100">
        <v>3.53</v>
      </c>
      <c r="O74" s="100">
        <v>4.1933975458797796</v>
      </c>
      <c r="P74" s="100">
        <v>3.79</v>
      </c>
      <c r="Q74" s="100">
        <v>2.5</v>
      </c>
      <c r="R74" s="100">
        <v>2.1124392420056779</v>
      </c>
    </row>
    <row r="75" spans="1:18" x14ac:dyDescent="0.25">
      <c r="A75" s="84">
        <v>74</v>
      </c>
      <c r="B75" s="84" t="s">
        <v>74</v>
      </c>
      <c r="C75" s="99">
        <v>0.89245235756763663</v>
      </c>
      <c r="D75" s="99">
        <v>1.3671175112876666</v>
      </c>
      <c r="E75" s="99">
        <v>1.4474378644178001</v>
      </c>
      <c r="F75" s="99">
        <v>1.0657809640313969</v>
      </c>
      <c r="G75" s="99">
        <v>0.5037509128295834</v>
      </c>
      <c r="H75" s="100">
        <v>0.34020939165889014</v>
      </c>
      <c r="I75" s="100">
        <v>0.40294194636209507</v>
      </c>
      <c r="J75" s="100">
        <v>0.77739147024079613</v>
      </c>
      <c r="K75" s="100">
        <v>1.21</v>
      </c>
      <c r="L75" s="100">
        <v>0.9</v>
      </c>
      <c r="M75" s="100">
        <v>0.38</v>
      </c>
      <c r="N75" s="100">
        <v>0.48</v>
      </c>
      <c r="O75" s="100">
        <v>0.58350409474395859</v>
      </c>
      <c r="P75" s="100">
        <v>0.91</v>
      </c>
      <c r="Q75" s="100">
        <v>0.4</v>
      </c>
      <c r="R75" s="100">
        <v>0.583089365856854</v>
      </c>
    </row>
    <row r="76" spans="1:18" x14ac:dyDescent="0.25">
      <c r="A76" s="84">
        <v>75</v>
      </c>
      <c r="B76" s="84" t="s">
        <v>75</v>
      </c>
      <c r="C76" s="99">
        <v>8.3466246798100441E-2</v>
      </c>
      <c r="D76" s="99">
        <v>5.812573483241408E-2</v>
      </c>
      <c r="E76" s="99">
        <v>1.7038589181130871E-2</v>
      </c>
      <c r="F76" s="99">
        <v>1.4409209165026707E-2</v>
      </c>
      <c r="G76" s="99">
        <v>0.35256098973437699</v>
      </c>
      <c r="H76" s="100">
        <v>0.60111985514644517</v>
      </c>
      <c r="I76" s="100">
        <v>1.6259550503064899</v>
      </c>
      <c r="J76" s="100">
        <v>2.3403056947737171</v>
      </c>
      <c r="K76" s="100">
        <v>0.92</v>
      </c>
      <c r="L76" s="100">
        <v>1.2</v>
      </c>
      <c r="M76" s="100">
        <v>0.95</v>
      </c>
      <c r="N76" s="100">
        <v>0.43</v>
      </c>
      <c r="O76" s="100">
        <v>0.60164171549875245</v>
      </c>
      <c r="P76" s="100">
        <v>0.35</v>
      </c>
      <c r="Q76" s="100">
        <v>0.6</v>
      </c>
      <c r="R76" s="100">
        <v>1.0487859952421659</v>
      </c>
    </row>
    <row r="77" spans="1:18" x14ac:dyDescent="0.25">
      <c r="A77" s="84">
        <v>76</v>
      </c>
      <c r="B77" s="84" t="s">
        <v>76</v>
      </c>
      <c r="C77" s="99">
        <v>0.54425624495844727</v>
      </c>
      <c r="D77" s="99">
        <v>0.26246190202804964</v>
      </c>
      <c r="E77" s="99">
        <v>0.1856940636498686</v>
      </c>
      <c r="F77" s="99">
        <v>0.57799704789027095</v>
      </c>
      <c r="G77" s="99">
        <v>0.59347988655894091</v>
      </c>
      <c r="H77" s="100">
        <v>0.62819530759641062</v>
      </c>
      <c r="I77" s="100">
        <v>1.3103095573572419</v>
      </c>
      <c r="J77" s="100">
        <v>4.0675683605250539</v>
      </c>
      <c r="K77" s="100">
        <v>3.4</v>
      </c>
      <c r="L77" s="100">
        <v>0.8</v>
      </c>
      <c r="M77" s="100">
        <v>0.44</v>
      </c>
      <c r="N77" s="100">
        <v>0.43</v>
      </c>
      <c r="O77" s="100">
        <v>0.71126861936893049</v>
      </c>
      <c r="P77" s="100">
        <v>1.18</v>
      </c>
      <c r="Q77" s="100">
        <v>0.5</v>
      </c>
      <c r="R77" s="100">
        <v>0.67699855416715971</v>
      </c>
    </row>
    <row r="78" spans="1:18" x14ac:dyDescent="0.25">
      <c r="A78" s="84">
        <v>77</v>
      </c>
      <c r="B78" s="84" t="s">
        <v>77</v>
      </c>
      <c r="C78" s="99">
        <v>1.9809754663873929</v>
      </c>
      <c r="D78" s="99">
        <v>1.1825437936756826</v>
      </c>
      <c r="E78" s="99">
        <v>1.0208518566116249</v>
      </c>
      <c r="F78" s="99">
        <v>0.47187901026192147</v>
      </c>
      <c r="G78" s="99">
        <v>1.8208896658102718</v>
      </c>
      <c r="H78" s="100">
        <v>2.582646794450822</v>
      </c>
      <c r="I78" s="100">
        <v>2.8213496404702147</v>
      </c>
      <c r="J78" s="100">
        <v>2.5530275498433621</v>
      </c>
      <c r="K78" s="100">
        <v>3.28</v>
      </c>
      <c r="L78" s="100">
        <v>2.7</v>
      </c>
      <c r="M78" s="100">
        <v>2.77</v>
      </c>
      <c r="N78" s="100">
        <v>3.61</v>
      </c>
      <c r="O78" s="100">
        <v>2.8800993622882927</v>
      </c>
      <c r="P78" s="100">
        <v>3.51</v>
      </c>
      <c r="Q78" s="100">
        <v>5</v>
      </c>
      <c r="R78" s="100">
        <v>7.6671214966982566</v>
      </c>
    </row>
    <row r="79" spans="1:18" x14ac:dyDescent="0.25">
      <c r="A79" s="84">
        <v>78</v>
      </c>
      <c r="B79" s="84" t="s">
        <v>78</v>
      </c>
      <c r="C79" s="99">
        <v>1.5725857300015714E-3</v>
      </c>
      <c r="D79" s="99">
        <v>0.6235195856501492</v>
      </c>
      <c r="E79" s="99">
        <v>0.20464088026115454</v>
      </c>
      <c r="F79" s="99">
        <v>0.38142755669045686</v>
      </c>
      <c r="G79" s="99">
        <v>0.35405745187789572</v>
      </c>
      <c r="H79" s="100">
        <v>1.7231412607840519</v>
      </c>
      <c r="I79" s="100">
        <v>2.8300278873833058</v>
      </c>
      <c r="J79" s="100">
        <v>3.2934904410673584</v>
      </c>
      <c r="K79" s="100">
        <v>3.01</v>
      </c>
      <c r="L79" s="100">
        <v>3.3</v>
      </c>
      <c r="M79" s="100">
        <v>1.9</v>
      </c>
      <c r="N79" s="100">
        <v>1.1399999999999999</v>
      </c>
      <c r="O79" s="100">
        <v>1.9408378471904451</v>
      </c>
      <c r="P79" s="100">
        <v>0.64</v>
      </c>
      <c r="Q79" s="100">
        <v>1.1000000000000001</v>
      </c>
      <c r="R79" s="100">
        <v>0.36814655736121693</v>
      </c>
    </row>
    <row r="80" spans="1:18" x14ac:dyDescent="0.25">
      <c r="A80" s="84">
        <v>79</v>
      </c>
      <c r="B80" s="84" t="s">
        <v>79</v>
      </c>
      <c r="C80" s="99">
        <v>4.1648385469689957E-2</v>
      </c>
      <c r="D80" s="99">
        <v>4.6976662133142444E-2</v>
      </c>
      <c r="E80" s="99">
        <v>0.14764773814283119</v>
      </c>
      <c r="F80" s="99">
        <v>2.7238607332055276</v>
      </c>
      <c r="G80" s="99">
        <v>3.3452471444347855</v>
      </c>
      <c r="H80" s="100">
        <v>2.9747403752791923</v>
      </c>
      <c r="I80" s="100">
        <v>1.1779790115874798</v>
      </c>
      <c r="J80" s="100">
        <v>0.79964006090577167</v>
      </c>
      <c r="K80" s="100">
        <v>0.53</v>
      </c>
      <c r="L80" s="100">
        <v>0.4</v>
      </c>
      <c r="M80" s="100">
        <v>1.0900000000000001</v>
      </c>
      <c r="N80" s="100">
        <v>0.37</v>
      </c>
      <c r="O80" s="100">
        <v>0.61903191563499438</v>
      </c>
      <c r="P80" s="100">
        <v>0.15</v>
      </c>
      <c r="Q80" s="100">
        <v>0.3</v>
      </c>
      <c r="R80" s="100">
        <v>0.16222877079038911</v>
      </c>
    </row>
    <row r="81" spans="1:18" x14ac:dyDescent="0.25">
      <c r="A81" s="84">
        <v>80</v>
      </c>
      <c r="B81" s="84" t="s">
        <v>80</v>
      </c>
      <c r="C81" s="99">
        <v>0.11954047006004516</v>
      </c>
      <c r="D81" s="99">
        <v>0.13396891820906046</v>
      </c>
      <c r="E81" s="99">
        <v>1.1239761238761237E-2</v>
      </c>
      <c r="F81" s="99">
        <v>6.3725980942022512E-3</v>
      </c>
      <c r="G81" s="99">
        <v>19.753942046445449</v>
      </c>
      <c r="H81" s="100">
        <v>4.1720192663334519</v>
      </c>
      <c r="I81" s="100">
        <v>3.3115377865402285</v>
      </c>
      <c r="J81" s="100">
        <v>3.7783019810240086</v>
      </c>
      <c r="K81" s="100">
        <v>3.77</v>
      </c>
      <c r="L81" s="100">
        <v>6</v>
      </c>
      <c r="M81" s="100">
        <v>7.66</v>
      </c>
      <c r="N81" s="100">
        <v>5.7</v>
      </c>
      <c r="O81" s="100">
        <v>4.8027117836737414</v>
      </c>
      <c r="P81" s="100">
        <v>5.36</v>
      </c>
      <c r="Q81" s="100">
        <v>5.5</v>
      </c>
      <c r="R81" s="100">
        <v>4.270380277055704</v>
      </c>
    </row>
    <row r="82" spans="1:18" x14ac:dyDescent="0.25">
      <c r="A82" s="84">
        <v>81</v>
      </c>
      <c r="B82" s="84" t="s">
        <v>81</v>
      </c>
      <c r="C82" s="99">
        <v>9.5154137079988113E-2</v>
      </c>
      <c r="D82" s="99">
        <v>0.57150769948044844</v>
      </c>
      <c r="E82" s="99">
        <v>0.72544958190237319</v>
      </c>
      <c r="F82" s="99">
        <v>3.2743224222585928E-3</v>
      </c>
      <c r="G82" s="99">
        <v>1.1472965268575706</v>
      </c>
      <c r="H82" s="100">
        <v>1.4901373162818927</v>
      </c>
      <c r="I82" s="100">
        <v>7.1771113202158485</v>
      </c>
      <c r="J82" s="100">
        <v>1.7882888417154659</v>
      </c>
      <c r="K82" s="100">
        <v>4.07</v>
      </c>
      <c r="L82" s="100">
        <v>0.9</v>
      </c>
      <c r="M82" s="100">
        <v>0.78</v>
      </c>
      <c r="N82" s="100">
        <v>0.2</v>
      </c>
      <c r="O82" s="100">
        <v>0.44773859933743493</v>
      </c>
      <c r="P82" s="100">
        <v>0.46</v>
      </c>
      <c r="Q82" s="100">
        <v>2.5</v>
      </c>
      <c r="R82" s="100">
        <v>0.56242121177342175</v>
      </c>
    </row>
    <row r="83" spans="1:18" x14ac:dyDescent="0.25">
      <c r="A83" s="84">
        <v>82</v>
      </c>
      <c r="B83" s="84" t="s">
        <v>82</v>
      </c>
      <c r="C83" s="99">
        <v>1.0000000000000001E-5</v>
      </c>
      <c r="D83" s="99">
        <v>1.0000000000000001E-5</v>
      </c>
      <c r="E83" s="99">
        <v>1E-4</v>
      </c>
      <c r="F83" s="99">
        <v>1.0000000000000001E-5</v>
      </c>
      <c r="G83" s="99">
        <v>1.0000000000000001E-5</v>
      </c>
      <c r="H83" s="100">
        <v>1.0000000000000001E-5</v>
      </c>
      <c r="I83" s="100">
        <v>0.19592866381136839</v>
      </c>
      <c r="J83" s="100">
        <v>0.13759523214419717</v>
      </c>
      <c r="K83" s="100">
        <v>0.17</v>
      </c>
      <c r="L83" s="100">
        <v>0.1</v>
      </c>
      <c r="M83" s="100">
        <v>0.91</v>
      </c>
      <c r="N83" s="100">
        <v>0.19</v>
      </c>
      <c r="O83" s="100">
        <v>0.46666088900471281</v>
      </c>
      <c r="P83" s="100">
        <v>0.04</v>
      </c>
      <c r="Q83" s="100">
        <v>0.4</v>
      </c>
      <c r="R83" s="100">
        <v>6.8828861861760932E-2</v>
      </c>
    </row>
    <row r="84" spans="1:18" x14ac:dyDescent="0.25">
      <c r="D84" s="97"/>
      <c r="E84" s="97"/>
      <c r="F84" s="97"/>
      <c r="G84" s="9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83"/>
  <sheetViews>
    <sheetView workbookViewId="0">
      <selection activeCell="C1" sqref="C1"/>
    </sheetView>
  </sheetViews>
  <sheetFormatPr defaultRowHeight="15.75" x14ac:dyDescent="0.25"/>
  <cols>
    <col min="1" max="1" width="9.140625" style="80"/>
    <col min="2" max="2" width="36.85546875" style="80" customWidth="1"/>
    <col min="3" max="3" width="11.7109375" style="80" bestFit="1" customWidth="1"/>
    <col min="4" max="4" width="8.85546875" style="80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0.31461319246123221</v>
      </c>
      <c r="C2" s="187">
        <v>43831</v>
      </c>
      <c r="D2" s="80">
        <v>41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0.1428445101884851</v>
      </c>
      <c r="C3" s="187">
        <v>43831</v>
      </c>
      <c r="D3" s="80">
        <v>41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0.35495165992552391</v>
      </c>
      <c r="C4" s="187">
        <v>43831</v>
      </c>
      <c r="D4" s="80">
        <v>41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0.53116734802179089</v>
      </c>
      <c r="C5" s="187">
        <v>43831</v>
      </c>
      <c r="D5" s="80">
        <v>41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5.0038404286965633E-2</v>
      </c>
      <c r="C6" s="187">
        <v>43831</v>
      </c>
      <c r="D6" s="80">
        <v>41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4.2756772728995737E-2</v>
      </c>
      <c r="C7" s="187">
        <v>43831</v>
      </c>
      <c r="D7" s="80">
        <v>41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1.9229282142955168E-4</v>
      </c>
      <c r="C8" s="187">
        <v>43831</v>
      </c>
      <c r="D8" s="80">
        <v>41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1.2135965368960315E-3</v>
      </c>
      <c r="C9" s="187">
        <v>43831</v>
      </c>
      <c r="D9" s="80">
        <v>41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0.6352741428704165</v>
      </c>
      <c r="C10" s="187">
        <v>43831</v>
      </c>
      <c r="D10" s="80">
        <v>41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0.59832392208840068</v>
      </c>
      <c r="C11" s="187">
        <v>43831</v>
      </c>
      <c r="D11" s="80">
        <v>41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1.0675975400955112E-2</v>
      </c>
      <c r="C12" s="187">
        <v>43831</v>
      </c>
      <c r="D12" s="80">
        <v>41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9.9637925879683134E-2</v>
      </c>
      <c r="C13" s="187">
        <v>43831</v>
      </c>
      <c r="D13" s="80">
        <v>41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0.12260108011625731</v>
      </c>
      <c r="C14" s="187">
        <v>43831</v>
      </c>
      <c r="D14" s="80">
        <v>41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0.13495437611294031</v>
      </c>
      <c r="C15" s="187">
        <v>43831</v>
      </c>
      <c r="D15" s="80">
        <v>41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0.21927288738902048</v>
      </c>
      <c r="C16" s="187">
        <v>43831</v>
      </c>
      <c r="D16" s="80">
        <v>41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0.44615085259149556</v>
      </c>
      <c r="C17" s="187">
        <v>43831</v>
      </c>
      <c r="D17" s="80">
        <v>41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0.24046004516785696</v>
      </c>
      <c r="C18" s="187">
        <v>43831</v>
      </c>
      <c r="D18" s="80">
        <v>41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0.47741976469152719</v>
      </c>
      <c r="C19" s="187">
        <v>43831</v>
      </c>
      <c r="D19" s="80">
        <v>41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0.30640419202707797</v>
      </c>
      <c r="C20" s="187">
        <v>43831</v>
      </c>
      <c r="D20" s="80">
        <v>41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2.8345388916516945E-2</v>
      </c>
      <c r="C21" s="187">
        <v>43831</v>
      </c>
      <c r="D21" s="80">
        <v>41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3.3228690051319358E-4</v>
      </c>
      <c r="C22" s="187">
        <v>43831</v>
      </c>
      <c r="D22" s="80">
        <v>41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4.4191945936892363E-4</v>
      </c>
      <c r="C23" s="187">
        <v>43831</v>
      </c>
      <c r="D23" s="80">
        <v>41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1.6456350980256202E-6</v>
      </c>
      <c r="C24" s="187">
        <v>43831</v>
      </c>
      <c r="D24" s="80">
        <v>41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0.25673319580507681</v>
      </c>
      <c r="C25" s="187">
        <v>43831</v>
      </c>
      <c r="D25" s="80">
        <v>41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1.071825895381087E-3</v>
      </c>
      <c r="C26" s="187">
        <v>43831</v>
      </c>
      <c r="D26" s="80">
        <v>41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0.11980930452291619</v>
      </c>
      <c r="C27" s="187">
        <v>43831</v>
      </c>
      <c r="D27" s="80">
        <v>41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2.8307929738983994E-3</v>
      </c>
      <c r="C28" s="187">
        <v>43831</v>
      </c>
      <c r="D28" s="80">
        <v>41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0.48188670346705437</v>
      </c>
      <c r="C29" s="187">
        <v>43831</v>
      </c>
      <c r="D29" s="80">
        <v>41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3.4270271911288205E-4</v>
      </c>
      <c r="C30" s="187">
        <v>43831</v>
      </c>
      <c r="D30" s="80">
        <v>41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2.3915291623004064E-4</v>
      </c>
      <c r="C31" s="187">
        <v>43831</v>
      </c>
      <c r="D31" s="80">
        <v>41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0.50877607700313165</v>
      </c>
      <c r="C32" s="187">
        <v>43831</v>
      </c>
      <c r="D32" s="80">
        <v>41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0.41687503422909999</v>
      </c>
      <c r="C33" s="187">
        <v>43831</v>
      </c>
      <c r="D33" s="80">
        <v>41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2.9575682554364366E-2</v>
      </c>
      <c r="C34" s="187">
        <v>43831</v>
      </c>
      <c r="D34" s="80">
        <v>41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1.2097078222802102E-2</v>
      </c>
      <c r="C35" s="187">
        <v>43831</v>
      </c>
      <c r="D35" s="80">
        <v>41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0.58912756268044431</v>
      </c>
      <c r="C36" s="187">
        <v>43831</v>
      </c>
      <c r="D36" s="80">
        <v>41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0.43208350918249722</v>
      </c>
      <c r="C37" s="187">
        <v>43831</v>
      </c>
      <c r="D37" s="80">
        <v>41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4.2304616840200511E-3</v>
      </c>
      <c r="C38" s="187">
        <v>43831</v>
      </c>
      <c r="D38" s="80">
        <v>41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5.1426997680037508E-2</v>
      </c>
      <c r="C39" s="187">
        <v>43831</v>
      </c>
      <c r="D39" s="80">
        <v>41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2.1443938816278332E-2</v>
      </c>
      <c r="C40" s="187">
        <v>43831</v>
      </c>
      <c r="D40" s="80">
        <v>41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2.2050308689840065E-9</v>
      </c>
      <c r="C41" s="187">
        <v>43831</v>
      </c>
      <c r="D41" s="80">
        <v>41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2.4143504112432244E-3</v>
      </c>
      <c r="C42" s="187">
        <v>43831</v>
      </c>
      <c r="D42" s="80">
        <v>41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1.1111755779498851E-5</v>
      </c>
      <c r="C43" s="187">
        <v>43831</v>
      </c>
      <c r="D43" s="80">
        <v>41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5.5116779055655776E-2</v>
      </c>
      <c r="C44" s="187">
        <v>43831</v>
      </c>
      <c r="D44" s="80">
        <v>41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0.19656072962883289</v>
      </c>
      <c r="C45" s="187">
        <v>43831</v>
      </c>
      <c r="D45" s="80">
        <v>41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7.2521803149015615E-2</v>
      </c>
      <c r="C46" s="187">
        <v>43831</v>
      </c>
      <c r="D46" s="80">
        <v>41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0.41235735060262879</v>
      </c>
      <c r="C47" s="187">
        <v>43831</v>
      </c>
      <c r="D47" s="80">
        <v>41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0.64435902492592856</v>
      </c>
      <c r="C48" s="187">
        <v>43831</v>
      </c>
      <c r="D48" s="80">
        <v>41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7.8351364875284255E-2</v>
      </c>
      <c r="C49" s="187">
        <v>43831</v>
      </c>
      <c r="D49" s="80">
        <v>41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0.31627779636860687</v>
      </c>
      <c r="C50" s="187">
        <v>43831</v>
      </c>
      <c r="D50" s="80">
        <v>41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0.34971475474788866</v>
      </c>
      <c r="C51" s="187">
        <v>43831</v>
      </c>
      <c r="D51" s="80">
        <v>41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0.34838584982635656</v>
      </c>
      <c r="C52" s="187">
        <v>43831</v>
      </c>
      <c r="D52" s="80">
        <v>41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0.79375179570714594</v>
      </c>
      <c r="C53" s="187">
        <v>43831</v>
      </c>
      <c r="D53" s="80">
        <v>41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0.16269416253882052</v>
      </c>
      <c r="C54" s="187">
        <v>43831</v>
      </c>
      <c r="D54" s="80">
        <v>41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0.49189535274996132</v>
      </c>
      <c r="C55" s="187">
        <v>43831</v>
      </c>
      <c r="D55" s="80">
        <v>41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0.56136182889043518</v>
      </c>
      <c r="C56" s="187">
        <v>43831</v>
      </c>
      <c r="D56" s="80">
        <v>41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4.1521862984839602E-3</v>
      </c>
      <c r="C57" s="187">
        <v>43831</v>
      </c>
      <c r="D57" s="80">
        <v>41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0.37316703436511089</v>
      </c>
      <c r="C58" s="187">
        <v>43831</v>
      </c>
      <c r="D58" s="80">
        <v>41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0.11174103128650863</v>
      </c>
      <c r="C59" s="187">
        <v>43831</v>
      </c>
      <c r="D59" s="80">
        <v>41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0.24962510862270737</v>
      </c>
      <c r="C60" s="187">
        <v>43831</v>
      </c>
      <c r="D60" s="80">
        <v>41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2.4868834658379749E-2</v>
      </c>
      <c r="C61" s="187">
        <v>43831</v>
      </c>
      <c r="D61" s="80">
        <v>41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0.1675838247480336</v>
      </c>
      <c r="C62" s="187">
        <v>43831</v>
      </c>
      <c r="D62" s="80">
        <v>41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0.38092274733665371</v>
      </c>
      <c r="C63" s="187">
        <v>43831</v>
      </c>
      <c r="D63" s="80">
        <v>41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0.54128064739425741</v>
      </c>
      <c r="C64" s="187">
        <v>43831</v>
      </c>
      <c r="D64" s="80">
        <v>41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0.38154329771561485</v>
      </c>
      <c r="C65" s="187">
        <v>43831</v>
      </c>
      <c r="D65" s="80">
        <v>41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2.7494431689929281E-24</v>
      </c>
      <c r="C66" s="187">
        <v>43831</v>
      </c>
      <c r="D66" s="80">
        <v>41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0.33958464854877718</v>
      </c>
      <c r="C67" s="187">
        <v>43831</v>
      </c>
      <c r="D67" s="80">
        <v>41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1.7632043614509959E-6</v>
      </c>
      <c r="C68" s="187">
        <v>43831</v>
      </c>
      <c r="D68" s="80">
        <v>41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0.29459602970412097</v>
      </c>
      <c r="C69" s="187">
        <v>43831</v>
      </c>
      <c r="D69" s="80">
        <v>41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0.28231848759765704</v>
      </c>
      <c r="C70" s="187">
        <v>43831</v>
      </c>
      <c r="D70" s="80">
        <v>41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0.34017469478369383</v>
      </c>
      <c r="C71" s="187">
        <v>43831</v>
      </c>
      <c r="D71" s="80">
        <v>41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0.20724867037355052</v>
      </c>
      <c r="C72" s="187">
        <v>43831</v>
      </c>
      <c r="D72" s="80">
        <v>41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0.20114849619295719</v>
      </c>
      <c r="C73" s="187">
        <v>43831</v>
      </c>
      <c r="D73" s="80">
        <v>41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0.34993613004744389</v>
      </c>
      <c r="C74" s="187">
        <v>43831</v>
      </c>
      <c r="D74" s="80">
        <v>41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2.228150456019835E-2</v>
      </c>
      <c r="C75" s="187">
        <v>43831</v>
      </c>
      <c r="D75" s="80">
        <v>41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0.12064610391288416</v>
      </c>
      <c r="C76" s="187">
        <v>43831</v>
      </c>
      <c r="D76" s="80">
        <v>41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3.776658922121668E-2</v>
      </c>
      <c r="C77" s="187">
        <v>43831</v>
      </c>
      <c r="D77" s="80">
        <v>41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0.74879019881215858</v>
      </c>
      <c r="C78" s="187">
        <v>43831</v>
      </c>
      <c r="D78" s="80">
        <v>41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2.4176305695125079E-3</v>
      </c>
      <c r="C79" s="187">
        <v>43831</v>
      </c>
      <c r="D79" s="80">
        <v>41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1.1537554301607376E-6</v>
      </c>
      <c r="C80" s="187">
        <v>43831</v>
      </c>
      <c r="D80" s="80">
        <v>41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0.59487242740220958</v>
      </c>
      <c r="C81" s="187">
        <v>43831</v>
      </c>
      <c r="D81" s="80">
        <v>41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1.9374651472463054E-2</v>
      </c>
      <c r="C82" s="187">
        <v>43831</v>
      </c>
      <c r="D82" s="80">
        <v>41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1.0103597305002785E-14</v>
      </c>
      <c r="C83" s="187">
        <v>43831</v>
      </c>
      <c r="D83" s="80">
        <v>41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0.39997558519241921"/>
  </sheetPr>
  <dimension ref="A1:R83"/>
  <sheetViews>
    <sheetView topLeftCell="G1" workbookViewId="0">
      <selection activeCell="K39" sqref="K39"/>
    </sheetView>
  </sheetViews>
  <sheetFormatPr defaultRowHeight="15.75" x14ac:dyDescent="0.25"/>
  <cols>
    <col min="1" max="1" width="9.140625" style="80"/>
    <col min="2" max="2" width="36.140625" style="80" customWidth="1"/>
    <col min="3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89">
        <v>1.5</v>
      </c>
      <c r="D2" s="89">
        <v>0.9</v>
      </c>
      <c r="E2" s="89">
        <v>5.3</v>
      </c>
      <c r="F2" s="89">
        <v>10.4</v>
      </c>
      <c r="G2" s="89">
        <v>4.0999999999999996</v>
      </c>
      <c r="H2" s="102">
        <v>2.6</v>
      </c>
      <c r="I2" s="103">
        <v>3.7</v>
      </c>
      <c r="J2" s="104">
        <v>4</v>
      </c>
      <c r="K2" s="104">
        <v>4.3</v>
      </c>
      <c r="L2" s="104">
        <v>4.4000000000000004</v>
      </c>
      <c r="M2" s="102">
        <v>5</v>
      </c>
      <c r="N2" s="89">
        <v>7.3</v>
      </c>
      <c r="O2" s="102">
        <v>11.6</v>
      </c>
      <c r="P2" s="102">
        <v>14.9</v>
      </c>
      <c r="Q2" s="102">
        <v>13.9</v>
      </c>
      <c r="R2" s="105">
        <v>14.070921047370369</v>
      </c>
    </row>
    <row r="3" spans="1:18" x14ac:dyDescent="0.25">
      <c r="A3" s="84">
        <v>2</v>
      </c>
      <c r="B3" s="84" t="s">
        <v>2</v>
      </c>
      <c r="C3" s="89">
        <v>11.3</v>
      </c>
      <c r="D3" s="89">
        <v>5.8</v>
      </c>
      <c r="E3" s="89">
        <v>9.6</v>
      </c>
      <c r="F3" s="89">
        <v>11.3</v>
      </c>
      <c r="G3" s="89">
        <v>12.3</v>
      </c>
      <c r="H3" s="102">
        <v>4.7</v>
      </c>
      <c r="I3" s="103">
        <v>6</v>
      </c>
      <c r="J3" s="104">
        <v>10.199999999999999</v>
      </c>
      <c r="K3" s="104">
        <v>5.4</v>
      </c>
      <c r="L3" s="104">
        <v>6.5</v>
      </c>
      <c r="M3" s="102">
        <v>16.5</v>
      </c>
      <c r="N3" s="89">
        <v>18.8</v>
      </c>
      <c r="O3" s="102">
        <v>7.3</v>
      </c>
      <c r="P3" s="102">
        <v>3.3</v>
      </c>
      <c r="Q3" s="102">
        <v>5.9</v>
      </c>
      <c r="R3" s="105">
        <v>9.6831815181120451</v>
      </c>
    </row>
    <row r="4" spans="1:18" x14ac:dyDescent="0.25">
      <c r="A4" s="84">
        <v>3</v>
      </c>
      <c r="B4" s="84" t="s">
        <v>3</v>
      </c>
      <c r="C4" s="89">
        <v>4</v>
      </c>
      <c r="D4" s="89">
        <v>7.1</v>
      </c>
      <c r="E4" s="89">
        <v>5.5</v>
      </c>
      <c r="F4" s="89">
        <v>3.1</v>
      </c>
      <c r="G4" s="89">
        <v>3.2</v>
      </c>
      <c r="H4" s="102">
        <v>2.2999999999999998</v>
      </c>
      <c r="I4" s="103">
        <v>7.4</v>
      </c>
      <c r="J4" s="104">
        <v>10.6</v>
      </c>
      <c r="K4" s="104">
        <v>9.4</v>
      </c>
      <c r="L4" s="104">
        <v>8.3000000000000007</v>
      </c>
      <c r="M4" s="102">
        <v>9.6</v>
      </c>
      <c r="N4" s="89">
        <v>5.8</v>
      </c>
      <c r="O4" s="102">
        <v>8.1</v>
      </c>
      <c r="P4" s="102">
        <v>3.6</v>
      </c>
      <c r="Q4" s="102">
        <v>6.5</v>
      </c>
      <c r="R4" s="105">
        <v>7.0155652048219181</v>
      </c>
    </row>
    <row r="5" spans="1:18" x14ac:dyDescent="0.25">
      <c r="A5" s="84">
        <v>4</v>
      </c>
      <c r="B5" s="84" t="s">
        <v>4</v>
      </c>
      <c r="C5" s="89">
        <v>7.3</v>
      </c>
      <c r="D5" s="89">
        <v>3.9</v>
      </c>
      <c r="E5" s="89">
        <v>11.5</v>
      </c>
      <c r="F5" s="89">
        <v>7.3</v>
      </c>
      <c r="G5" s="89">
        <v>4.5999999999999996</v>
      </c>
      <c r="H5" s="102">
        <v>7.1</v>
      </c>
      <c r="I5" s="103">
        <v>6.3</v>
      </c>
      <c r="J5" s="104">
        <v>5.6</v>
      </c>
      <c r="K5" s="104">
        <v>4.5999999999999996</v>
      </c>
      <c r="L5" s="104">
        <v>7.2</v>
      </c>
      <c r="M5" s="102">
        <v>12.4</v>
      </c>
      <c r="N5" s="89">
        <v>5.9</v>
      </c>
      <c r="O5" s="102">
        <v>6.1</v>
      </c>
      <c r="P5" s="102">
        <v>5.9</v>
      </c>
      <c r="Q5" s="102">
        <v>7.3</v>
      </c>
      <c r="R5" s="105">
        <v>6.1519422797735137</v>
      </c>
    </row>
    <row r="6" spans="1:18" x14ac:dyDescent="0.25">
      <c r="A6" s="84">
        <v>5</v>
      </c>
      <c r="B6" s="84" t="s">
        <v>5</v>
      </c>
      <c r="C6" s="89">
        <v>1.3</v>
      </c>
      <c r="D6" s="89">
        <v>1.5</v>
      </c>
      <c r="E6" s="89">
        <v>4.3</v>
      </c>
      <c r="F6" s="89">
        <v>4.4000000000000004</v>
      </c>
      <c r="G6" s="89">
        <v>3.2</v>
      </c>
      <c r="H6" s="102">
        <v>3.5</v>
      </c>
      <c r="I6" s="103">
        <v>3.1</v>
      </c>
      <c r="J6" s="104">
        <v>0.6</v>
      </c>
      <c r="K6" s="104">
        <v>0.5</v>
      </c>
      <c r="L6" s="104">
        <v>0.9</v>
      </c>
      <c r="M6" s="102">
        <v>1.5</v>
      </c>
      <c r="N6" s="89">
        <v>0.2</v>
      </c>
      <c r="O6" s="102">
        <v>0.2</v>
      </c>
      <c r="P6" s="102">
        <v>0.6</v>
      </c>
      <c r="Q6" s="102">
        <v>4.5999999999999996</v>
      </c>
      <c r="R6" s="105">
        <v>2.8511244011422101</v>
      </c>
    </row>
    <row r="7" spans="1:18" x14ac:dyDescent="0.25">
      <c r="A7" s="84">
        <v>6</v>
      </c>
      <c r="B7" s="84" t="s">
        <v>6</v>
      </c>
      <c r="C7" s="89">
        <v>5.3</v>
      </c>
      <c r="D7" s="89">
        <v>5</v>
      </c>
      <c r="E7" s="89">
        <v>5.4</v>
      </c>
      <c r="F7" s="89">
        <v>3</v>
      </c>
      <c r="G7" s="89">
        <v>2.7</v>
      </c>
      <c r="H7" s="102">
        <v>2.8</v>
      </c>
      <c r="I7" s="103">
        <v>4.5999999999999996</v>
      </c>
      <c r="J7" s="104">
        <v>4.5</v>
      </c>
      <c r="K7" s="104">
        <v>3.6</v>
      </c>
      <c r="L7" s="104">
        <v>2.7</v>
      </c>
      <c r="M7" s="102">
        <v>3.2</v>
      </c>
      <c r="N7" s="89">
        <v>2.7</v>
      </c>
      <c r="O7" s="102">
        <v>2.7</v>
      </c>
      <c r="P7" s="102">
        <v>2.7</v>
      </c>
      <c r="Q7" s="102">
        <v>1.8</v>
      </c>
      <c r="R7" s="105">
        <v>0.98726532557126978</v>
      </c>
    </row>
    <row r="8" spans="1:18" x14ac:dyDescent="0.25">
      <c r="A8" s="84">
        <v>7</v>
      </c>
      <c r="B8" s="84" t="s">
        <v>7</v>
      </c>
      <c r="C8" s="89">
        <v>4.8</v>
      </c>
      <c r="D8" s="89">
        <v>1.5</v>
      </c>
      <c r="E8" s="89">
        <v>1.5</v>
      </c>
      <c r="F8" s="89">
        <v>2.2999999999999998</v>
      </c>
      <c r="G8" s="89">
        <v>3.8</v>
      </c>
      <c r="H8" s="102">
        <v>3.1</v>
      </c>
      <c r="I8" s="103">
        <v>3.5</v>
      </c>
      <c r="J8" s="104">
        <v>3.1</v>
      </c>
      <c r="K8" s="104">
        <v>1.9</v>
      </c>
      <c r="L8" s="104">
        <v>2</v>
      </c>
      <c r="M8" s="102">
        <v>1.8</v>
      </c>
      <c r="N8" s="89">
        <v>6.7</v>
      </c>
      <c r="O8" s="102">
        <v>9.9</v>
      </c>
      <c r="P8" s="102">
        <v>7.5</v>
      </c>
      <c r="Q8" s="102">
        <v>3</v>
      </c>
      <c r="R8" s="105">
        <v>5.91081339540907</v>
      </c>
    </row>
    <row r="9" spans="1:18" x14ac:dyDescent="0.25">
      <c r="A9" s="84">
        <v>8</v>
      </c>
      <c r="B9" s="84" t="s">
        <v>8</v>
      </c>
      <c r="C9" s="89">
        <v>2</v>
      </c>
      <c r="D9" s="89">
        <v>2.5</v>
      </c>
      <c r="E9" s="89">
        <v>2.1</v>
      </c>
      <c r="F9" s="89">
        <v>1</v>
      </c>
      <c r="G9" s="89">
        <v>0.4</v>
      </c>
      <c r="H9" s="102">
        <v>0.6</v>
      </c>
      <c r="I9" s="103">
        <v>2.5</v>
      </c>
      <c r="J9" s="104">
        <v>3.2</v>
      </c>
      <c r="K9" s="104">
        <v>4.3</v>
      </c>
      <c r="L9" s="104">
        <v>6.5</v>
      </c>
      <c r="M9" s="102">
        <v>6.2</v>
      </c>
      <c r="N9" s="89">
        <v>7.6</v>
      </c>
      <c r="O9" s="102">
        <v>8.4</v>
      </c>
      <c r="P9" s="102">
        <v>12</v>
      </c>
      <c r="Q9" s="102">
        <v>5.5</v>
      </c>
      <c r="R9" s="105">
        <v>5.7604573870613196</v>
      </c>
    </row>
    <row r="10" spans="1:18" x14ac:dyDescent="0.25">
      <c r="A10" s="84">
        <v>9</v>
      </c>
      <c r="B10" s="84" t="s">
        <v>9</v>
      </c>
      <c r="C10" s="89">
        <v>3.9</v>
      </c>
      <c r="D10" s="89">
        <v>2.7</v>
      </c>
      <c r="E10" s="89">
        <v>3.6</v>
      </c>
      <c r="F10" s="89">
        <v>4.7</v>
      </c>
      <c r="G10" s="89">
        <v>12.5</v>
      </c>
      <c r="H10" s="102">
        <v>9.8000000000000007</v>
      </c>
      <c r="I10" s="103">
        <v>9.9</v>
      </c>
      <c r="J10" s="104">
        <v>10.9</v>
      </c>
      <c r="K10" s="104">
        <v>13.3</v>
      </c>
      <c r="L10" s="104">
        <v>13.6</v>
      </c>
      <c r="M10" s="102">
        <v>12.3</v>
      </c>
      <c r="N10" s="89">
        <v>10.5</v>
      </c>
      <c r="O10" s="102">
        <v>9.3000000000000007</v>
      </c>
      <c r="P10" s="102">
        <v>7.7</v>
      </c>
      <c r="Q10" s="102">
        <v>7</v>
      </c>
      <c r="R10" s="105">
        <v>6.2026623880136187</v>
      </c>
    </row>
    <row r="11" spans="1:18" x14ac:dyDescent="0.25">
      <c r="A11" s="84">
        <v>10</v>
      </c>
      <c r="B11" s="84" t="s">
        <v>10</v>
      </c>
      <c r="C11" s="89">
        <v>7.4</v>
      </c>
      <c r="D11" s="89">
        <v>5.2</v>
      </c>
      <c r="E11" s="89">
        <v>6.3</v>
      </c>
      <c r="F11" s="89">
        <v>9.9</v>
      </c>
      <c r="G11" s="89">
        <v>9.4</v>
      </c>
      <c r="H11" s="102">
        <v>8.1</v>
      </c>
      <c r="I11" s="103">
        <v>6.9</v>
      </c>
      <c r="J11" s="104">
        <v>10.5</v>
      </c>
      <c r="K11" s="104">
        <v>12.7</v>
      </c>
      <c r="L11" s="104">
        <v>12.9</v>
      </c>
      <c r="M11" s="102">
        <v>13.7</v>
      </c>
      <c r="N11" s="89">
        <v>15.8</v>
      </c>
      <c r="O11" s="102">
        <v>14.7</v>
      </c>
      <c r="P11" s="102">
        <v>13.2</v>
      </c>
      <c r="Q11" s="102">
        <v>5.8</v>
      </c>
      <c r="R11" s="105">
        <v>8.8471015068272294</v>
      </c>
    </row>
    <row r="12" spans="1:18" x14ac:dyDescent="0.25">
      <c r="A12" s="84">
        <v>11</v>
      </c>
      <c r="B12" s="84" t="s">
        <v>11</v>
      </c>
      <c r="C12" s="89">
        <v>9.6999999999999993</v>
      </c>
      <c r="D12" s="89">
        <v>4.3</v>
      </c>
      <c r="E12" s="89">
        <v>4.7</v>
      </c>
      <c r="F12" s="89">
        <v>8.1999999999999993</v>
      </c>
      <c r="G12" s="89">
        <v>4.7</v>
      </c>
      <c r="H12" s="102">
        <v>9.9</v>
      </c>
      <c r="I12" s="103">
        <v>7.7</v>
      </c>
      <c r="J12" s="104">
        <v>1.1000000000000001</v>
      </c>
      <c r="K12" s="104">
        <v>1.4</v>
      </c>
      <c r="L12" s="104">
        <v>1</v>
      </c>
      <c r="M12" s="102">
        <v>0.9</v>
      </c>
      <c r="N12" s="89">
        <v>0.5</v>
      </c>
      <c r="O12" s="102">
        <v>1.1000000000000001</v>
      </c>
      <c r="P12" s="102">
        <v>1</v>
      </c>
      <c r="Q12" s="102">
        <v>0.5</v>
      </c>
      <c r="R12" s="105">
        <v>4.8329644044904994</v>
      </c>
    </row>
    <row r="13" spans="1:18" x14ac:dyDescent="0.25">
      <c r="A13" s="84">
        <v>12</v>
      </c>
      <c r="B13" s="84" t="s">
        <v>12</v>
      </c>
      <c r="C13" s="89">
        <v>6.4</v>
      </c>
      <c r="D13" s="89">
        <v>1.1000000000000001</v>
      </c>
      <c r="E13" s="89">
        <v>3</v>
      </c>
      <c r="F13" s="89">
        <v>3.5</v>
      </c>
      <c r="G13" s="89">
        <v>5</v>
      </c>
      <c r="H13" s="102">
        <v>3.3</v>
      </c>
      <c r="I13" s="103">
        <v>3.6</v>
      </c>
      <c r="J13" s="104">
        <v>2.8</v>
      </c>
      <c r="K13" s="104">
        <v>2.8</v>
      </c>
      <c r="L13" s="104">
        <v>3.2</v>
      </c>
      <c r="M13" s="102">
        <v>3.5</v>
      </c>
      <c r="N13" s="89">
        <v>6.2</v>
      </c>
      <c r="O13" s="102">
        <v>6.8</v>
      </c>
      <c r="P13" s="102">
        <v>5.8</v>
      </c>
      <c r="Q13" s="102">
        <v>9.6999999999999993</v>
      </c>
      <c r="R13" s="105">
        <v>5.2240693259822653</v>
      </c>
    </row>
    <row r="14" spans="1:18" x14ac:dyDescent="0.25">
      <c r="A14" s="84">
        <v>13</v>
      </c>
      <c r="B14" s="84" t="s">
        <v>13</v>
      </c>
      <c r="C14" s="89">
        <v>3.2</v>
      </c>
      <c r="D14" s="89">
        <v>1.1000000000000001</v>
      </c>
      <c r="E14" s="89">
        <v>1.6</v>
      </c>
      <c r="F14" s="89">
        <v>2</v>
      </c>
      <c r="G14" s="89">
        <v>3.9</v>
      </c>
      <c r="H14" s="102">
        <v>2.2999999999999998</v>
      </c>
      <c r="I14" s="103">
        <v>1.5</v>
      </c>
      <c r="J14" s="104">
        <v>1.9</v>
      </c>
      <c r="K14" s="104">
        <v>3</v>
      </c>
      <c r="L14" s="104">
        <v>5.9</v>
      </c>
      <c r="M14" s="102">
        <v>2.7</v>
      </c>
      <c r="N14" s="89">
        <v>1.8</v>
      </c>
      <c r="O14" s="102">
        <v>4.4000000000000004</v>
      </c>
      <c r="P14" s="102">
        <v>2.2000000000000002</v>
      </c>
      <c r="Q14" s="102">
        <v>5.2</v>
      </c>
      <c r="R14" s="105">
        <v>3.3716839451100911</v>
      </c>
    </row>
    <row r="15" spans="1:18" x14ac:dyDescent="0.25">
      <c r="A15" s="84">
        <v>14</v>
      </c>
      <c r="B15" s="84" t="s">
        <v>14</v>
      </c>
      <c r="C15" s="89">
        <v>0.5</v>
      </c>
      <c r="D15" s="89">
        <v>3.2</v>
      </c>
      <c r="E15" s="89">
        <v>6.3</v>
      </c>
      <c r="F15" s="89">
        <v>6.6</v>
      </c>
      <c r="G15" s="89">
        <v>6.1</v>
      </c>
      <c r="H15" s="102">
        <v>3.6</v>
      </c>
      <c r="I15" s="103">
        <v>5.3</v>
      </c>
      <c r="J15" s="104">
        <v>4.4000000000000004</v>
      </c>
      <c r="K15" s="104">
        <v>3</v>
      </c>
      <c r="L15" s="104">
        <v>6.3</v>
      </c>
      <c r="M15" s="102">
        <v>6.1</v>
      </c>
      <c r="N15" s="89">
        <v>4.5</v>
      </c>
      <c r="O15" s="102">
        <v>7.9</v>
      </c>
      <c r="P15" s="102">
        <v>9.3000000000000007</v>
      </c>
      <c r="Q15" s="102">
        <v>6.7</v>
      </c>
      <c r="R15" s="105">
        <v>5.4902518065312886</v>
      </c>
    </row>
    <row r="16" spans="1:18" x14ac:dyDescent="0.25">
      <c r="A16" s="84">
        <v>15</v>
      </c>
      <c r="B16" s="84" t="s">
        <v>15</v>
      </c>
      <c r="C16" s="89">
        <v>4.0999999999999996</v>
      </c>
      <c r="D16" s="89">
        <v>7.1</v>
      </c>
      <c r="E16" s="89">
        <v>2.2999999999999998</v>
      </c>
      <c r="F16" s="89">
        <v>8.8000000000000007</v>
      </c>
      <c r="G16" s="89">
        <v>11.2</v>
      </c>
      <c r="H16" s="102">
        <v>9.1999999999999993</v>
      </c>
      <c r="I16" s="103">
        <v>9.5</v>
      </c>
      <c r="J16" s="104">
        <v>7.7</v>
      </c>
      <c r="K16" s="104">
        <v>7.7</v>
      </c>
      <c r="L16" s="104">
        <v>1.8</v>
      </c>
      <c r="M16" s="102">
        <v>5.3</v>
      </c>
      <c r="N16" s="89">
        <v>5.5</v>
      </c>
      <c r="O16" s="102">
        <v>3.1</v>
      </c>
      <c r="P16" s="102">
        <v>4.5</v>
      </c>
      <c r="Q16" s="102">
        <v>5.6</v>
      </c>
      <c r="R16" s="105">
        <v>7.1399940699115394</v>
      </c>
    </row>
    <row r="17" spans="1:18" x14ac:dyDescent="0.25">
      <c r="A17" s="84">
        <v>16</v>
      </c>
      <c r="B17" s="84" t="s">
        <v>16</v>
      </c>
      <c r="C17" s="89">
        <v>4.2</v>
      </c>
      <c r="D17" s="89">
        <v>1.5</v>
      </c>
      <c r="E17" s="89">
        <v>1.7</v>
      </c>
      <c r="F17" s="89">
        <v>1.1000000000000001</v>
      </c>
      <c r="G17" s="89">
        <v>1.7</v>
      </c>
      <c r="H17" s="102">
        <v>3.4</v>
      </c>
      <c r="I17" s="103">
        <v>11.6</v>
      </c>
      <c r="J17" s="104">
        <v>14.7</v>
      </c>
      <c r="K17" s="104">
        <v>9.6</v>
      </c>
      <c r="L17" s="104">
        <v>9.6999999999999993</v>
      </c>
      <c r="M17" s="102">
        <v>12.4</v>
      </c>
      <c r="N17" s="89">
        <v>11.2</v>
      </c>
      <c r="O17" s="102">
        <v>12.7</v>
      </c>
      <c r="P17" s="102">
        <v>12.2</v>
      </c>
      <c r="Q17" s="102">
        <v>8.1999999999999993</v>
      </c>
      <c r="R17" s="105">
        <v>13.542726335152508</v>
      </c>
    </row>
    <row r="18" spans="1:18" x14ac:dyDescent="0.25">
      <c r="A18" s="84">
        <v>17</v>
      </c>
      <c r="B18" s="84" t="s">
        <v>17</v>
      </c>
      <c r="C18" s="89">
        <v>1.8</v>
      </c>
      <c r="D18" s="89">
        <v>3.8</v>
      </c>
      <c r="E18" s="89">
        <v>4.0999999999999996</v>
      </c>
      <c r="F18" s="89">
        <v>10.199999999999999</v>
      </c>
      <c r="G18" s="89">
        <v>7.9</v>
      </c>
      <c r="H18" s="102">
        <v>12.1</v>
      </c>
      <c r="I18" s="103">
        <v>11.4</v>
      </c>
      <c r="J18" s="104">
        <v>15.1</v>
      </c>
      <c r="K18" s="104">
        <v>9.3000000000000007</v>
      </c>
      <c r="L18" s="104">
        <v>10.5</v>
      </c>
      <c r="M18" s="102">
        <v>7</v>
      </c>
      <c r="N18" s="89">
        <v>14.9</v>
      </c>
      <c r="O18" s="102">
        <v>12.2</v>
      </c>
      <c r="P18" s="102">
        <v>12.8</v>
      </c>
      <c r="Q18" s="102">
        <v>6</v>
      </c>
      <c r="R18" s="105">
        <v>5.3904049543744099</v>
      </c>
    </row>
    <row r="19" spans="1:18" x14ac:dyDescent="0.25">
      <c r="A19" s="84">
        <v>18</v>
      </c>
      <c r="B19" s="84" t="s">
        <v>18</v>
      </c>
      <c r="C19" s="89">
        <v>4.0999999999999996</v>
      </c>
      <c r="D19" s="89">
        <v>2.5</v>
      </c>
      <c r="E19" s="89">
        <v>2.1</v>
      </c>
      <c r="F19" s="89">
        <v>1.7</v>
      </c>
      <c r="G19" s="89">
        <v>1.5</v>
      </c>
      <c r="H19" s="102">
        <v>2.2000000000000002</v>
      </c>
      <c r="I19" s="103">
        <v>4</v>
      </c>
      <c r="J19" s="104">
        <v>13.3</v>
      </c>
      <c r="K19" s="104">
        <v>15.3</v>
      </c>
      <c r="L19" s="104">
        <v>11</v>
      </c>
      <c r="M19" s="102">
        <v>17.100000000000001</v>
      </c>
      <c r="N19" s="89">
        <v>13.6</v>
      </c>
      <c r="O19" s="102">
        <v>3.3</v>
      </c>
      <c r="P19" s="102">
        <v>3</v>
      </c>
      <c r="Q19" s="102">
        <v>3.9</v>
      </c>
      <c r="R19" s="105">
        <v>3.5643070126708429</v>
      </c>
    </row>
    <row r="20" spans="1:18" x14ac:dyDescent="0.25">
      <c r="A20" s="84">
        <v>19</v>
      </c>
      <c r="B20" s="84" t="s">
        <v>19</v>
      </c>
      <c r="C20" s="89">
        <v>0.4</v>
      </c>
      <c r="D20" s="89">
        <v>0.5</v>
      </c>
      <c r="E20" s="89">
        <v>0.3</v>
      </c>
      <c r="F20" s="89">
        <v>0.7</v>
      </c>
      <c r="G20" s="89">
        <v>1.7</v>
      </c>
      <c r="H20" s="102">
        <v>1.3</v>
      </c>
      <c r="I20" s="103">
        <v>0.3</v>
      </c>
      <c r="J20" s="104">
        <v>0.3</v>
      </c>
      <c r="K20" s="104">
        <v>0.2</v>
      </c>
      <c r="L20" s="104">
        <v>0.2</v>
      </c>
      <c r="M20" s="102">
        <v>0.2</v>
      </c>
      <c r="N20" s="89">
        <v>0.3</v>
      </c>
      <c r="O20" s="102">
        <v>0.3</v>
      </c>
      <c r="P20" s="102">
        <v>2.6</v>
      </c>
      <c r="Q20" s="102">
        <v>2.2000000000000002</v>
      </c>
      <c r="R20" s="105">
        <v>2.7881640013857525</v>
      </c>
    </row>
    <row r="21" spans="1:18" x14ac:dyDescent="0.25">
      <c r="A21" s="84">
        <v>20</v>
      </c>
      <c r="B21" s="84" t="s">
        <v>20</v>
      </c>
      <c r="C21" s="112"/>
      <c r="D21" s="89">
        <v>4.3</v>
      </c>
      <c r="E21" s="89">
        <v>5.5</v>
      </c>
      <c r="F21" s="89">
        <v>4.7</v>
      </c>
      <c r="G21" s="89">
        <v>0.6</v>
      </c>
      <c r="H21" s="102">
        <v>3.2</v>
      </c>
      <c r="I21" s="103">
        <v>7.8</v>
      </c>
      <c r="J21" s="104">
        <v>5.4</v>
      </c>
      <c r="K21" s="104">
        <v>5.0999999999999996</v>
      </c>
      <c r="L21" s="104">
        <v>5.3</v>
      </c>
      <c r="M21" s="102">
        <v>3.3</v>
      </c>
      <c r="N21" s="89">
        <v>2.2999999999999998</v>
      </c>
      <c r="O21" s="102">
        <v>0.4</v>
      </c>
      <c r="P21" s="102">
        <v>1.2</v>
      </c>
      <c r="Q21" s="102">
        <v>1.6</v>
      </c>
      <c r="R21" s="105">
        <v>1.0198084354938552</v>
      </c>
    </row>
    <row r="22" spans="1:18" x14ac:dyDescent="0.25">
      <c r="A22" s="84">
        <v>21</v>
      </c>
      <c r="B22" s="84" t="s">
        <v>21</v>
      </c>
      <c r="C22" s="89">
        <v>0.4</v>
      </c>
      <c r="D22" s="89">
        <v>0.2</v>
      </c>
      <c r="E22" s="89">
        <v>0.1</v>
      </c>
      <c r="F22" s="89">
        <v>0.1</v>
      </c>
      <c r="G22" s="89">
        <v>0.3</v>
      </c>
      <c r="H22" s="102">
        <v>0.4</v>
      </c>
      <c r="I22" s="103">
        <v>0.2</v>
      </c>
      <c r="J22" s="104">
        <v>11.3</v>
      </c>
      <c r="K22" s="104">
        <v>28.9</v>
      </c>
      <c r="L22" s="104">
        <v>1.4</v>
      </c>
      <c r="M22" s="102">
        <v>2.7</v>
      </c>
      <c r="N22" s="89">
        <v>0.5</v>
      </c>
      <c r="O22" s="102">
        <v>15.3</v>
      </c>
      <c r="P22" s="102">
        <v>5.6</v>
      </c>
      <c r="Q22" s="102">
        <v>1.8</v>
      </c>
      <c r="R22" s="105">
        <v>7.6338750398962416</v>
      </c>
    </row>
    <row r="23" spans="1:18" x14ac:dyDescent="0.25">
      <c r="A23" s="84">
        <v>22</v>
      </c>
      <c r="B23" s="84" t="s">
        <v>22</v>
      </c>
      <c r="C23" s="89">
        <v>4.5</v>
      </c>
      <c r="D23" s="89">
        <v>5.5</v>
      </c>
      <c r="E23" s="89">
        <v>7.5</v>
      </c>
      <c r="F23" s="89">
        <v>6.2</v>
      </c>
      <c r="G23" s="89">
        <v>2.6</v>
      </c>
      <c r="H23" s="102">
        <v>1.6</v>
      </c>
      <c r="I23" s="103">
        <v>3.7</v>
      </c>
      <c r="J23" s="103">
        <v>4.7</v>
      </c>
      <c r="K23" s="104">
        <v>4.4000000000000004</v>
      </c>
      <c r="L23" s="104">
        <v>18.600000000000001</v>
      </c>
      <c r="M23" s="102">
        <v>21.6</v>
      </c>
      <c r="N23" s="89">
        <v>4.3</v>
      </c>
      <c r="O23" s="102">
        <v>2.9</v>
      </c>
      <c r="P23" s="102">
        <v>2</v>
      </c>
      <c r="Q23" s="102">
        <v>2.8</v>
      </c>
      <c r="R23" s="105">
        <v>1.9481213001441693</v>
      </c>
    </row>
    <row r="24" spans="1:18" x14ac:dyDescent="0.25">
      <c r="A24" s="84">
        <v>23</v>
      </c>
      <c r="B24" s="84" t="s">
        <v>23</v>
      </c>
      <c r="C24" s="89">
        <v>9.1999999999999993</v>
      </c>
      <c r="D24" s="89">
        <v>7.8</v>
      </c>
      <c r="E24" s="89">
        <v>13.4</v>
      </c>
      <c r="F24" s="89">
        <v>9.6</v>
      </c>
      <c r="G24" s="89">
        <v>2.8</v>
      </c>
      <c r="H24" s="102">
        <v>0.1</v>
      </c>
      <c r="I24" s="103">
        <v>0.2</v>
      </c>
      <c r="J24" s="104">
        <v>0.3</v>
      </c>
      <c r="K24" s="104">
        <v>0.1</v>
      </c>
      <c r="L24" s="104">
        <v>0.1</v>
      </c>
      <c r="M24" s="102">
        <v>0.4</v>
      </c>
      <c r="N24" s="89">
        <v>0.2</v>
      </c>
      <c r="O24" s="102">
        <v>0.3</v>
      </c>
      <c r="P24" s="102">
        <v>0.3</v>
      </c>
      <c r="Q24" s="102">
        <v>0.2</v>
      </c>
      <c r="R24" s="105">
        <v>0.95473521545680406</v>
      </c>
    </row>
    <row r="25" spans="1:18" x14ac:dyDescent="0.25">
      <c r="A25" s="84">
        <v>24</v>
      </c>
      <c r="B25" s="84" t="s">
        <v>24</v>
      </c>
      <c r="C25" s="89">
        <v>0.5</v>
      </c>
      <c r="D25" s="89">
        <v>0.3</v>
      </c>
      <c r="E25" s="89">
        <v>0.3</v>
      </c>
      <c r="F25" s="89">
        <v>1.4</v>
      </c>
      <c r="G25" s="89">
        <v>1.8</v>
      </c>
      <c r="H25" s="102">
        <v>2.4</v>
      </c>
      <c r="I25" s="103">
        <v>2.5</v>
      </c>
      <c r="J25" s="104">
        <v>1.1000000000000001</v>
      </c>
      <c r="K25" s="104">
        <v>2.8</v>
      </c>
      <c r="L25" s="104">
        <v>5.9</v>
      </c>
      <c r="M25" s="102">
        <v>2</v>
      </c>
      <c r="N25" s="89">
        <v>2.2999999999999998</v>
      </c>
      <c r="O25" s="102">
        <v>2.2000000000000002</v>
      </c>
      <c r="P25" s="102">
        <v>2.7</v>
      </c>
      <c r="Q25" s="102">
        <v>2</v>
      </c>
      <c r="R25" s="105">
        <v>0.95404207259918505</v>
      </c>
    </row>
    <row r="26" spans="1:18" x14ac:dyDescent="0.25">
      <c r="A26" s="84">
        <v>25</v>
      </c>
      <c r="B26" s="84" t="s">
        <v>25</v>
      </c>
      <c r="C26" s="89">
        <v>3.5</v>
      </c>
      <c r="D26" s="89">
        <v>0.3</v>
      </c>
      <c r="E26" s="89">
        <v>0.2</v>
      </c>
      <c r="F26" s="89">
        <v>0.2</v>
      </c>
      <c r="G26" s="89">
        <v>0.3</v>
      </c>
      <c r="H26" s="102">
        <v>0.5</v>
      </c>
      <c r="I26" s="103">
        <v>0.2</v>
      </c>
      <c r="J26" s="104">
        <v>0.1</v>
      </c>
      <c r="K26" s="104">
        <v>0.8</v>
      </c>
      <c r="L26" s="104">
        <v>3.6</v>
      </c>
      <c r="M26" s="102">
        <v>1.7</v>
      </c>
      <c r="N26" s="89">
        <v>1.5</v>
      </c>
      <c r="O26" s="102">
        <v>1.3</v>
      </c>
      <c r="P26" s="102">
        <v>0.8</v>
      </c>
      <c r="Q26" s="102">
        <v>4.7</v>
      </c>
      <c r="R26" s="105">
        <v>10.640268155001307</v>
      </c>
    </row>
    <row r="27" spans="1:18" x14ac:dyDescent="0.25">
      <c r="A27" s="84">
        <v>26</v>
      </c>
      <c r="B27" s="84" t="s">
        <v>26</v>
      </c>
      <c r="C27" s="89">
        <v>19.100000000000001</v>
      </c>
      <c r="D27" s="89">
        <v>6.7</v>
      </c>
      <c r="E27" s="89">
        <v>6.9</v>
      </c>
      <c r="F27" s="89">
        <v>10.4</v>
      </c>
      <c r="G27" s="89">
        <v>7.5</v>
      </c>
      <c r="H27" s="102">
        <v>6.9</v>
      </c>
      <c r="I27" s="103">
        <v>4.8</v>
      </c>
      <c r="J27" s="104">
        <v>3.2</v>
      </c>
      <c r="K27" s="104">
        <v>4.5999999999999996</v>
      </c>
      <c r="L27" s="104">
        <v>3.6</v>
      </c>
      <c r="M27" s="102">
        <v>3.9</v>
      </c>
      <c r="N27" s="89">
        <v>3</v>
      </c>
      <c r="O27" s="102">
        <v>4</v>
      </c>
      <c r="P27" s="102">
        <v>2</v>
      </c>
      <c r="Q27" s="102">
        <v>1.1000000000000001</v>
      </c>
      <c r="R27" s="105">
        <v>1.9281131777241858</v>
      </c>
    </row>
    <row r="28" spans="1:18" x14ac:dyDescent="0.25">
      <c r="A28" s="84">
        <v>27</v>
      </c>
      <c r="B28" s="84" t="s">
        <v>27</v>
      </c>
      <c r="C28" s="89">
        <v>1</v>
      </c>
      <c r="D28" s="89">
        <v>1.1000000000000001</v>
      </c>
      <c r="E28" s="89">
        <v>0.9</v>
      </c>
      <c r="F28" s="89">
        <v>1.2</v>
      </c>
      <c r="G28" s="89">
        <v>1.4</v>
      </c>
      <c r="H28" s="102">
        <v>2.7</v>
      </c>
      <c r="I28" s="103">
        <v>2.2999999999999998</v>
      </c>
      <c r="J28" s="104">
        <v>2</v>
      </c>
      <c r="K28" s="104">
        <v>1</v>
      </c>
      <c r="L28" s="104">
        <v>0.7</v>
      </c>
      <c r="M28" s="102">
        <v>1.1000000000000001</v>
      </c>
      <c r="N28" s="89">
        <v>1.2</v>
      </c>
      <c r="O28" s="102">
        <v>2.1</v>
      </c>
      <c r="P28" s="102">
        <v>3.1</v>
      </c>
      <c r="Q28" s="102">
        <v>0.9</v>
      </c>
      <c r="R28" s="105">
        <v>1.1688998198939191</v>
      </c>
    </row>
    <row r="29" spans="1:18" x14ac:dyDescent="0.25">
      <c r="A29" s="84">
        <v>28</v>
      </c>
      <c r="B29" s="84" t="s">
        <v>28</v>
      </c>
      <c r="C29" s="89">
        <v>3.1</v>
      </c>
      <c r="D29" s="89">
        <v>5.5</v>
      </c>
      <c r="E29" s="89">
        <v>2.2999999999999998</v>
      </c>
      <c r="F29" s="89">
        <v>2.8</v>
      </c>
      <c r="G29" s="89">
        <v>5.5</v>
      </c>
      <c r="H29" s="102">
        <v>8</v>
      </c>
      <c r="I29" s="103">
        <v>9</v>
      </c>
      <c r="J29" s="104">
        <v>12.1</v>
      </c>
      <c r="K29" s="104">
        <v>12.2</v>
      </c>
      <c r="L29" s="104">
        <v>12</v>
      </c>
      <c r="M29" s="102">
        <v>7.3</v>
      </c>
      <c r="N29" s="89">
        <v>8.6999999999999993</v>
      </c>
      <c r="O29" s="102">
        <v>9.1</v>
      </c>
      <c r="P29" s="102">
        <v>9.9</v>
      </c>
      <c r="Q29" s="102">
        <v>10.5</v>
      </c>
      <c r="R29" s="105">
        <v>10.619761902564861</v>
      </c>
    </row>
    <row r="30" spans="1:18" x14ac:dyDescent="0.25">
      <c r="A30" s="84">
        <v>29</v>
      </c>
      <c r="B30" s="84" t="s">
        <v>29</v>
      </c>
      <c r="C30" s="89">
        <v>0.3</v>
      </c>
      <c r="D30" s="84">
        <v>21.3</v>
      </c>
      <c r="E30" s="84">
        <v>1.2</v>
      </c>
      <c r="F30" s="89">
        <v>2.7</v>
      </c>
      <c r="G30" s="84">
        <v>1</v>
      </c>
      <c r="H30" s="102">
        <v>9</v>
      </c>
      <c r="I30" s="103">
        <v>6.4</v>
      </c>
      <c r="J30" s="104">
        <v>9.3000000000000007</v>
      </c>
      <c r="K30" s="104">
        <v>10.1</v>
      </c>
      <c r="L30" s="104">
        <v>9.3000000000000007</v>
      </c>
      <c r="M30" s="102">
        <v>10.5</v>
      </c>
      <c r="N30" s="89">
        <v>10.1</v>
      </c>
      <c r="O30" s="102">
        <v>7.6</v>
      </c>
      <c r="P30" s="102">
        <v>8</v>
      </c>
      <c r="Q30" s="102">
        <v>11.1</v>
      </c>
      <c r="R30" s="105">
        <v>0.58459152010482174</v>
      </c>
    </row>
    <row r="31" spans="1:18" x14ac:dyDescent="0.25">
      <c r="A31" s="84">
        <v>30</v>
      </c>
      <c r="B31" s="84" t="s">
        <v>30</v>
      </c>
      <c r="C31" s="114"/>
      <c r="D31" s="156"/>
      <c r="E31" s="114"/>
      <c r="F31" s="114"/>
      <c r="G31" s="114"/>
      <c r="H31" s="157"/>
      <c r="I31" s="157"/>
      <c r="J31" s="104">
        <v>0.4</v>
      </c>
      <c r="K31" s="164"/>
      <c r="L31" s="104">
        <v>0.1</v>
      </c>
      <c r="M31" s="102">
        <v>0.6</v>
      </c>
      <c r="N31" s="89">
        <v>0.5</v>
      </c>
      <c r="O31" s="102">
        <v>0.7</v>
      </c>
      <c r="P31" s="102">
        <v>3.4</v>
      </c>
      <c r="Q31" s="102">
        <v>1.6</v>
      </c>
      <c r="R31" s="106">
        <v>0.5402713033367722</v>
      </c>
    </row>
    <row r="32" spans="1:18" x14ac:dyDescent="0.25">
      <c r="A32" s="84">
        <v>31</v>
      </c>
      <c r="B32" s="84" t="s">
        <v>31</v>
      </c>
      <c r="C32" s="114"/>
      <c r="D32" s="156"/>
      <c r="E32" s="114"/>
      <c r="F32" s="114"/>
      <c r="G32" s="114"/>
      <c r="H32" s="157"/>
      <c r="I32" s="114"/>
      <c r="J32" s="114"/>
      <c r="K32" s="114"/>
      <c r="L32" s="103">
        <v>0.7</v>
      </c>
      <c r="M32" s="102">
        <v>1.2</v>
      </c>
      <c r="N32" s="89">
        <v>1.1000000000000001</v>
      </c>
      <c r="O32" s="102">
        <v>1.4</v>
      </c>
      <c r="P32" s="102">
        <v>0.8</v>
      </c>
      <c r="Q32" s="102">
        <v>0.1</v>
      </c>
      <c r="R32" s="106">
        <v>0.72478298861183132</v>
      </c>
    </row>
    <row r="33" spans="1:18" x14ac:dyDescent="0.25">
      <c r="A33" s="84">
        <v>32</v>
      </c>
      <c r="B33" s="84" t="s">
        <v>32</v>
      </c>
      <c r="C33" s="84">
        <v>1</v>
      </c>
      <c r="D33" s="89">
        <v>2.1</v>
      </c>
      <c r="E33" s="84">
        <v>1.1000000000000001</v>
      </c>
      <c r="F33" s="84">
        <v>2.1</v>
      </c>
      <c r="G33" s="84">
        <v>1.8</v>
      </c>
      <c r="H33" s="102">
        <v>1.2</v>
      </c>
      <c r="I33" s="103">
        <v>0.8</v>
      </c>
      <c r="J33" s="104">
        <v>0.7</v>
      </c>
      <c r="K33" s="104">
        <v>0.3</v>
      </c>
      <c r="L33" s="104">
        <v>1.4</v>
      </c>
      <c r="M33" s="102">
        <v>1</v>
      </c>
      <c r="N33" s="89">
        <v>7.7</v>
      </c>
      <c r="O33" s="102">
        <v>14.1</v>
      </c>
      <c r="P33" s="102">
        <v>11.5</v>
      </c>
      <c r="Q33" s="102">
        <v>2.2999999999999998</v>
      </c>
      <c r="R33" s="105">
        <v>1.7842350429052536</v>
      </c>
    </row>
    <row r="34" spans="1:18" x14ac:dyDescent="0.25">
      <c r="A34" s="84">
        <v>33</v>
      </c>
      <c r="B34" s="84" t="s">
        <v>33</v>
      </c>
      <c r="C34" s="89">
        <v>1.1000000000000001</v>
      </c>
      <c r="D34" s="89">
        <v>0.1</v>
      </c>
      <c r="E34" s="89">
        <v>0.2</v>
      </c>
      <c r="F34" s="84">
        <v>0.3</v>
      </c>
      <c r="G34" s="89">
        <v>0.6</v>
      </c>
      <c r="H34" s="102">
        <v>3.1</v>
      </c>
      <c r="I34" s="103">
        <v>2.8</v>
      </c>
      <c r="J34" s="104">
        <v>0.7</v>
      </c>
      <c r="K34" s="104">
        <v>1.8</v>
      </c>
      <c r="L34" s="104">
        <v>4.9000000000000004</v>
      </c>
      <c r="M34" s="102">
        <v>5.4</v>
      </c>
      <c r="N34" s="89">
        <v>5.8</v>
      </c>
      <c r="O34" s="102">
        <v>0.2</v>
      </c>
      <c r="P34" s="102">
        <v>0.1</v>
      </c>
      <c r="Q34" s="102">
        <v>0.3</v>
      </c>
      <c r="R34" s="105">
        <v>0.17049114535756638</v>
      </c>
    </row>
    <row r="35" spans="1:18" x14ac:dyDescent="0.25">
      <c r="A35" s="84">
        <v>34</v>
      </c>
      <c r="B35" s="84" t="s">
        <v>34</v>
      </c>
      <c r="C35" s="89">
        <v>4.5</v>
      </c>
      <c r="D35" s="84">
        <v>0.7</v>
      </c>
      <c r="E35" s="89">
        <v>0.6</v>
      </c>
      <c r="F35" s="89">
        <v>7.1</v>
      </c>
      <c r="G35" s="89">
        <v>12.2</v>
      </c>
      <c r="H35" s="102">
        <v>13.5</v>
      </c>
      <c r="I35" s="103">
        <v>5.2</v>
      </c>
      <c r="J35" s="104">
        <v>0.9</v>
      </c>
      <c r="K35" s="104">
        <v>1.1000000000000001</v>
      </c>
      <c r="L35" s="104">
        <v>2.1</v>
      </c>
      <c r="M35" s="102">
        <v>2.5</v>
      </c>
      <c r="N35" s="89">
        <v>3</v>
      </c>
      <c r="O35" s="102">
        <v>3.6</v>
      </c>
      <c r="P35" s="102">
        <v>2.2000000000000002</v>
      </c>
      <c r="Q35" s="102">
        <v>2.7</v>
      </c>
      <c r="R35" s="105">
        <v>2.246717307610218</v>
      </c>
    </row>
    <row r="36" spans="1:18" x14ac:dyDescent="0.25">
      <c r="A36" s="84">
        <v>35</v>
      </c>
      <c r="B36" s="84" t="s">
        <v>35</v>
      </c>
      <c r="C36" s="89">
        <v>3.9</v>
      </c>
      <c r="D36" s="84">
        <v>2.6</v>
      </c>
      <c r="E36" s="89">
        <v>2.9</v>
      </c>
      <c r="F36" s="89">
        <v>4.2</v>
      </c>
      <c r="G36" s="89">
        <v>5.5</v>
      </c>
      <c r="H36" s="102">
        <v>4.8</v>
      </c>
      <c r="I36" s="103">
        <v>4.9000000000000004</v>
      </c>
      <c r="J36" s="104">
        <v>7.1</v>
      </c>
      <c r="K36" s="104">
        <v>8.9</v>
      </c>
      <c r="L36" s="104">
        <v>10.9</v>
      </c>
      <c r="M36" s="102">
        <v>14.3</v>
      </c>
      <c r="N36" s="89">
        <v>14.5</v>
      </c>
      <c r="O36" s="102">
        <v>10.6</v>
      </c>
      <c r="P36" s="102">
        <v>5.8</v>
      </c>
      <c r="Q36" s="102">
        <v>4.9000000000000004</v>
      </c>
      <c r="R36" s="105">
        <v>8.4885863414473501</v>
      </c>
    </row>
    <row r="37" spans="1:18" x14ac:dyDescent="0.25">
      <c r="A37" s="84">
        <v>36</v>
      </c>
      <c r="B37" s="84" t="s">
        <v>36</v>
      </c>
      <c r="C37" s="114"/>
      <c r="D37" s="156"/>
      <c r="E37" s="114"/>
      <c r="F37" s="114"/>
      <c r="G37" s="114"/>
      <c r="H37" s="114"/>
      <c r="I37" s="114"/>
      <c r="J37" s="114"/>
      <c r="K37" s="114"/>
      <c r="L37" s="103">
        <v>0.5</v>
      </c>
      <c r="M37" s="102">
        <v>0</v>
      </c>
      <c r="N37" s="89">
        <v>12.8</v>
      </c>
      <c r="O37" s="102">
        <v>5</v>
      </c>
      <c r="P37" s="102">
        <v>4.5</v>
      </c>
      <c r="Q37" s="102">
        <v>5.7</v>
      </c>
      <c r="R37" s="106">
        <v>5.9407300645488981</v>
      </c>
    </row>
    <row r="38" spans="1:18" x14ac:dyDescent="0.25">
      <c r="A38" s="84">
        <v>37</v>
      </c>
      <c r="B38" s="84" t="s">
        <v>37</v>
      </c>
      <c r="C38" s="89">
        <v>2.4</v>
      </c>
      <c r="D38" s="84">
        <v>5.5</v>
      </c>
      <c r="E38" s="84">
        <v>3.5</v>
      </c>
      <c r="F38" s="84">
        <v>3.2</v>
      </c>
      <c r="G38" s="89">
        <v>0.8</v>
      </c>
      <c r="H38" s="102">
        <v>5.9</v>
      </c>
      <c r="I38" s="103">
        <v>0.3</v>
      </c>
      <c r="J38" s="104">
        <v>0.9</v>
      </c>
      <c r="K38" s="104">
        <v>0.1</v>
      </c>
      <c r="L38" s="104">
        <v>0.6</v>
      </c>
      <c r="M38" s="102">
        <v>0.6</v>
      </c>
      <c r="N38" s="89">
        <v>0.4</v>
      </c>
      <c r="O38" s="102">
        <v>0.3</v>
      </c>
      <c r="P38" s="102">
        <v>0.3</v>
      </c>
      <c r="Q38" s="102">
        <v>0.4</v>
      </c>
      <c r="R38" s="105">
        <v>1.3492660881133016</v>
      </c>
    </row>
    <row r="39" spans="1:18" x14ac:dyDescent="0.25">
      <c r="A39" s="84">
        <v>38</v>
      </c>
      <c r="B39" s="84" t="s">
        <v>38</v>
      </c>
      <c r="C39" s="114"/>
      <c r="D39" s="156"/>
      <c r="E39" s="114"/>
      <c r="F39" s="114"/>
      <c r="G39" s="89">
        <v>0.1</v>
      </c>
      <c r="H39" s="102">
        <v>0.1</v>
      </c>
      <c r="I39" s="103">
        <v>0.2</v>
      </c>
      <c r="J39" s="104">
        <v>1.1000000000000001</v>
      </c>
      <c r="K39" s="164"/>
      <c r="L39" s="104">
        <v>0.2</v>
      </c>
      <c r="M39" s="102">
        <v>0.1</v>
      </c>
      <c r="N39" s="89">
        <v>0.9</v>
      </c>
      <c r="O39" s="102">
        <v>0.5</v>
      </c>
      <c r="P39" s="102">
        <v>0.4</v>
      </c>
      <c r="Q39" s="102">
        <v>0.4</v>
      </c>
      <c r="R39" s="106">
        <v>4.526983370177712</v>
      </c>
    </row>
    <row r="40" spans="1:18" x14ac:dyDescent="0.25">
      <c r="A40" s="84">
        <v>39</v>
      </c>
      <c r="B40" s="84" t="s">
        <v>42</v>
      </c>
      <c r="C40" s="89">
        <v>3.1</v>
      </c>
      <c r="D40" s="89">
        <v>3.5</v>
      </c>
      <c r="E40" s="84">
        <v>1.8</v>
      </c>
      <c r="F40" s="84">
        <v>1.4</v>
      </c>
      <c r="G40" s="89">
        <v>3.7</v>
      </c>
      <c r="H40" s="102">
        <v>7.4</v>
      </c>
      <c r="I40" s="103">
        <v>6.7</v>
      </c>
      <c r="J40" s="104">
        <v>3</v>
      </c>
      <c r="K40" s="104">
        <v>3.3</v>
      </c>
      <c r="L40" s="104">
        <v>2.4</v>
      </c>
      <c r="M40" s="102">
        <v>4.0999999999999996</v>
      </c>
      <c r="N40" s="89">
        <v>1.3</v>
      </c>
      <c r="O40" s="102">
        <v>0.9</v>
      </c>
      <c r="P40" s="102">
        <v>0.9</v>
      </c>
      <c r="Q40" s="102">
        <v>0.6</v>
      </c>
      <c r="R40" s="105">
        <v>0.98396226923371788</v>
      </c>
    </row>
    <row r="41" spans="1:18" x14ac:dyDescent="0.25">
      <c r="A41" s="84">
        <v>40</v>
      </c>
      <c r="B41" s="84" t="s">
        <v>39</v>
      </c>
      <c r="C41" s="89">
        <v>0.5</v>
      </c>
      <c r="D41" s="89">
        <v>4.7</v>
      </c>
      <c r="E41" s="84">
        <v>1.5</v>
      </c>
      <c r="F41" s="89">
        <v>8.5</v>
      </c>
      <c r="G41" s="89">
        <v>1.2</v>
      </c>
      <c r="H41" s="102">
        <v>12</v>
      </c>
      <c r="I41" s="103">
        <v>24.1</v>
      </c>
      <c r="J41" s="104">
        <v>4.2</v>
      </c>
      <c r="K41" s="104">
        <v>0.4</v>
      </c>
      <c r="L41" s="104">
        <v>0.1</v>
      </c>
      <c r="M41" s="102">
        <v>0.1</v>
      </c>
      <c r="N41" s="89">
        <v>0.1</v>
      </c>
      <c r="O41" s="102">
        <v>0.1</v>
      </c>
      <c r="P41" s="102">
        <v>0.4</v>
      </c>
      <c r="Q41" s="102">
        <v>0.3</v>
      </c>
      <c r="R41" s="105">
        <v>0.75692952192042562</v>
      </c>
    </row>
    <row r="42" spans="1:18" x14ac:dyDescent="0.25">
      <c r="A42" s="84">
        <v>41</v>
      </c>
      <c r="B42" s="84" t="s">
        <v>43</v>
      </c>
      <c r="C42" s="89">
        <v>0.1</v>
      </c>
      <c r="D42" s="89">
        <v>0.1</v>
      </c>
      <c r="E42" s="84">
        <v>0.2</v>
      </c>
      <c r="F42" s="84">
        <v>0</v>
      </c>
      <c r="G42" s="84">
        <v>0.4</v>
      </c>
      <c r="H42" s="102">
        <v>1.8</v>
      </c>
      <c r="I42" s="103">
        <v>0.3</v>
      </c>
      <c r="J42" s="104">
        <v>0.2</v>
      </c>
      <c r="K42" s="164"/>
      <c r="L42" s="104">
        <v>0.1</v>
      </c>
      <c r="M42" s="102">
        <v>0.1</v>
      </c>
      <c r="N42" s="89">
        <v>0.2</v>
      </c>
      <c r="O42" s="102">
        <v>0.1</v>
      </c>
      <c r="P42" s="102">
        <v>0.4</v>
      </c>
      <c r="Q42" s="102">
        <v>0.4</v>
      </c>
      <c r="R42" s="105">
        <v>1.3057338952707698</v>
      </c>
    </row>
    <row r="43" spans="1:18" x14ac:dyDescent="0.25">
      <c r="A43" s="84">
        <v>42</v>
      </c>
      <c r="B43" s="84" t="s">
        <v>40</v>
      </c>
      <c r="C43" s="114"/>
      <c r="D43" s="156"/>
      <c r="E43" s="114"/>
      <c r="F43" s="114"/>
      <c r="G43" s="114"/>
      <c r="H43" s="102">
        <v>13.6</v>
      </c>
      <c r="I43" s="103">
        <v>0.6</v>
      </c>
      <c r="J43" s="104">
        <v>1E-4</v>
      </c>
      <c r="K43" s="164"/>
      <c r="L43" s="104">
        <v>1.6</v>
      </c>
      <c r="M43" s="102">
        <v>0.2</v>
      </c>
      <c r="N43" s="89">
        <v>0.1</v>
      </c>
      <c r="O43" s="102">
        <v>2.8</v>
      </c>
      <c r="P43" s="102">
        <v>1E-4</v>
      </c>
      <c r="Q43" s="102">
        <v>1E-4</v>
      </c>
      <c r="R43" s="105">
        <v>3.8589169902202659E-2</v>
      </c>
    </row>
    <row r="44" spans="1:18" x14ac:dyDescent="0.25">
      <c r="A44" s="84">
        <v>43</v>
      </c>
      <c r="B44" s="84" t="s">
        <v>41</v>
      </c>
      <c r="C44" s="84">
        <v>2.2999999999999998</v>
      </c>
      <c r="D44" s="84">
        <v>3.9</v>
      </c>
      <c r="E44" s="84">
        <v>7.5</v>
      </c>
      <c r="F44" s="89">
        <v>13.3</v>
      </c>
      <c r="G44" s="84">
        <v>9.5</v>
      </c>
      <c r="H44" s="102">
        <v>9.1</v>
      </c>
      <c r="I44" s="103">
        <v>9.9</v>
      </c>
      <c r="J44" s="104">
        <v>11.1</v>
      </c>
      <c r="K44" s="104">
        <v>9.6999999999999993</v>
      </c>
      <c r="L44" s="104">
        <v>11</v>
      </c>
      <c r="M44" s="102">
        <v>13.5</v>
      </c>
      <c r="N44" s="89">
        <v>9.3000000000000007</v>
      </c>
      <c r="O44" s="102">
        <v>8.3000000000000007</v>
      </c>
      <c r="P44" s="102">
        <v>9</v>
      </c>
      <c r="Q44" s="102">
        <v>8.6999999999999993</v>
      </c>
      <c r="R44" s="105">
        <v>7.713015858048526</v>
      </c>
    </row>
    <row r="45" spans="1:18" x14ac:dyDescent="0.25">
      <c r="A45" s="84">
        <v>44</v>
      </c>
      <c r="B45" s="84" t="s">
        <v>44</v>
      </c>
      <c r="C45" s="89">
        <v>3.7</v>
      </c>
      <c r="D45" s="84">
        <v>2.5</v>
      </c>
      <c r="E45" s="84">
        <v>3</v>
      </c>
      <c r="F45" s="89">
        <v>4.2</v>
      </c>
      <c r="G45" s="84">
        <v>4.5</v>
      </c>
      <c r="H45" s="102">
        <v>5.5</v>
      </c>
      <c r="I45" s="103">
        <v>5.6</v>
      </c>
      <c r="J45" s="104">
        <v>6</v>
      </c>
      <c r="K45" s="104">
        <v>6.2</v>
      </c>
      <c r="L45" s="104">
        <v>8.1999999999999993</v>
      </c>
      <c r="M45" s="102">
        <v>10.7</v>
      </c>
      <c r="N45" s="89">
        <v>8.4</v>
      </c>
      <c r="O45" s="102">
        <v>7</v>
      </c>
      <c r="P45" s="102">
        <v>6.3</v>
      </c>
      <c r="Q45" s="102">
        <v>6.5</v>
      </c>
      <c r="R45" s="105">
        <v>7.9253157052839214</v>
      </c>
    </row>
    <row r="46" spans="1:18" x14ac:dyDescent="0.25">
      <c r="A46" s="84">
        <v>45</v>
      </c>
      <c r="B46" s="84" t="s">
        <v>45</v>
      </c>
      <c r="C46" s="89">
        <v>0.2</v>
      </c>
      <c r="D46" s="89">
        <v>1.5</v>
      </c>
      <c r="E46" s="89">
        <v>1.7</v>
      </c>
      <c r="F46" s="89">
        <v>1.9</v>
      </c>
      <c r="G46" s="84">
        <v>3.1</v>
      </c>
      <c r="H46" s="102">
        <v>2.9</v>
      </c>
      <c r="I46" s="103">
        <v>4.9000000000000004</v>
      </c>
      <c r="J46" s="104">
        <v>1</v>
      </c>
      <c r="K46" s="104">
        <v>2.2000000000000002</v>
      </c>
      <c r="L46" s="104">
        <v>10.4</v>
      </c>
      <c r="M46" s="102">
        <v>9.1999999999999993</v>
      </c>
      <c r="N46" s="89">
        <v>8.1999999999999993</v>
      </c>
      <c r="O46" s="102">
        <v>14.2</v>
      </c>
      <c r="P46" s="102">
        <v>2.8</v>
      </c>
      <c r="Q46" s="102">
        <v>10.6</v>
      </c>
      <c r="R46" s="105">
        <v>6.1532027287007285</v>
      </c>
    </row>
    <row r="47" spans="1:18" x14ac:dyDescent="0.25">
      <c r="A47" s="84">
        <v>46</v>
      </c>
      <c r="B47" s="84" t="s">
        <v>46</v>
      </c>
      <c r="C47" s="89">
        <v>5.6</v>
      </c>
      <c r="D47" s="89">
        <v>12.3</v>
      </c>
      <c r="E47" s="89">
        <v>37.299999999999997</v>
      </c>
      <c r="F47" s="89">
        <v>9.9</v>
      </c>
      <c r="G47" s="89">
        <v>20.2</v>
      </c>
      <c r="H47" s="102">
        <v>23.1</v>
      </c>
      <c r="I47" s="103">
        <v>22</v>
      </c>
      <c r="J47" s="104">
        <v>22.9</v>
      </c>
      <c r="K47" s="104">
        <v>23.9</v>
      </c>
      <c r="L47" s="104">
        <v>26.9</v>
      </c>
      <c r="M47" s="102">
        <v>27</v>
      </c>
      <c r="N47" s="89">
        <v>27.2</v>
      </c>
      <c r="O47" s="102">
        <v>27.5</v>
      </c>
      <c r="P47" s="102">
        <v>24.3</v>
      </c>
      <c r="Q47" s="102">
        <v>23.8</v>
      </c>
      <c r="R47" s="105">
        <v>20.858747206727887</v>
      </c>
    </row>
    <row r="48" spans="1:18" x14ac:dyDescent="0.25">
      <c r="A48" s="84">
        <v>47</v>
      </c>
      <c r="B48" s="84" t="s">
        <v>47</v>
      </c>
      <c r="C48" s="89">
        <v>20.8</v>
      </c>
      <c r="D48" s="89">
        <v>16.3</v>
      </c>
      <c r="E48" s="89">
        <v>17.3</v>
      </c>
      <c r="F48" s="89">
        <v>14.8</v>
      </c>
      <c r="G48" s="89">
        <v>17.899999999999999</v>
      </c>
      <c r="H48" s="102">
        <v>15.6</v>
      </c>
      <c r="I48" s="103">
        <v>14.9</v>
      </c>
      <c r="J48" s="104">
        <v>18.399999999999999</v>
      </c>
      <c r="K48" s="104">
        <v>21.1</v>
      </c>
      <c r="L48" s="104">
        <v>20.5</v>
      </c>
      <c r="M48" s="102">
        <v>20.399999999999999</v>
      </c>
      <c r="N48" s="89">
        <v>19.600000000000001</v>
      </c>
      <c r="O48" s="102">
        <v>19.600000000000001</v>
      </c>
      <c r="P48" s="102">
        <v>20.9</v>
      </c>
      <c r="Q48" s="102">
        <v>18.100000000000001</v>
      </c>
      <c r="R48" s="105">
        <v>18.066069185941394</v>
      </c>
    </row>
    <row r="49" spans="1:18" x14ac:dyDescent="0.25">
      <c r="A49" s="84">
        <v>48</v>
      </c>
      <c r="B49" s="84" t="s">
        <v>48</v>
      </c>
      <c r="C49" s="89">
        <v>1.9</v>
      </c>
      <c r="D49" s="89">
        <v>1.3</v>
      </c>
      <c r="E49" s="89">
        <v>3.6</v>
      </c>
      <c r="F49" s="89">
        <v>4.2</v>
      </c>
      <c r="G49" s="89">
        <v>2</v>
      </c>
      <c r="H49" s="102">
        <v>4</v>
      </c>
      <c r="I49" s="103">
        <v>3.5</v>
      </c>
      <c r="J49" s="104">
        <v>6.4</v>
      </c>
      <c r="K49" s="104">
        <v>4.8</v>
      </c>
      <c r="L49" s="104">
        <v>11.2</v>
      </c>
      <c r="M49" s="102">
        <v>4</v>
      </c>
      <c r="N49" s="89">
        <v>16.3</v>
      </c>
      <c r="O49" s="102">
        <v>10.8</v>
      </c>
      <c r="P49" s="102">
        <v>12.6</v>
      </c>
      <c r="Q49" s="102">
        <v>10.4</v>
      </c>
      <c r="R49" s="105">
        <v>10.376337930633778</v>
      </c>
    </row>
    <row r="50" spans="1:18" x14ac:dyDescent="0.25">
      <c r="A50" s="84">
        <v>49</v>
      </c>
      <c r="B50" s="84" t="s">
        <v>49</v>
      </c>
      <c r="C50" s="89">
        <v>5.8</v>
      </c>
      <c r="D50" s="89">
        <v>3.5</v>
      </c>
      <c r="E50" s="89">
        <v>8.4</v>
      </c>
      <c r="F50" s="89">
        <v>8</v>
      </c>
      <c r="G50" s="89">
        <v>9.1999999999999993</v>
      </c>
      <c r="H50" s="102">
        <v>8.9</v>
      </c>
      <c r="I50" s="103">
        <v>6.1</v>
      </c>
      <c r="J50" s="104">
        <v>22.6</v>
      </c>
      <c r="K50" s="104">
        <v>12</v>
      </c>
      <c r="L50" s="104">
        <v>12.1</v>
      </c>
      <c r="M50" s="102">
        <v>12.2</v>
      </c>
      <c r="N50" s="89">
        <v>13.1</v>
      </c>
      <c r="O50" s="102">
        <v>12.2</v>
      </c>
      <c r="P50" s="102">
        <v>11.1</v>
      </c>
      <c r="Q50" s="102">
        <v>9.3000000000000007</v>
      </c>
      <c r="R50" s="105">
        <v>9.2652091698849919</v>
      </c>
    </row>
    <row r="51" spans="1:18" x14ac:dyDescent="0.25">
      <c r="A51" s="84">
        <v>50</v>
      </c>
      <c r="B51" s="84" t="s">
        <v>50</v>
      </c>
      <c r="C51" s="89">
        <v>8</v>
      </c>
      <c r="D51" s="89">
        <v>20.8</v>
      </c>
      <c r="E51" s="89">
        <v>12.4</v>
      </c>
      <c r="F51" s="89">
        <v>10.8</v>
      </c>
      <c r="G51" s="89">
        <v>4.2</v>
      </c>
      <c r="H51" s="102">
        <v>10.9</v>
      </c>
      <c r="I51" s="103">
        <v>7.7</v>
      </c>
      <c r="J51" s="104">
        <v>7.7</v>
      </c>
      <c r="K51" s="104">
        <v>16.7</v>
      </c>
      <c r="L51" s="104">
        <v>9.4</v>
      </c>
      <c r="M51" s="102">
        <v>7.7</v>
      </c>
      <c r="N51" s="89">
        <v>15.5</v>
      </c>
      <c r="O51" s="102">
        <v>16</v>
      </c>
      <c r="P51" s="102">
        <v>18.399999999999999</v>
      </c>
      <c r="Q51" s="102">
        <v>12</v>
      </c>
      <c r="R51" s="105">
        <v>11.043460082413228</v>
      </c>
    </row>
    <row r="52" spans="1:18" x14ac:dyDescent="0.25">
      <c r="A52" s="84">
        <v>51</v>
      </c>
      <c r="B52" s="84" t="s">
        <v>51</v>
      </c>
      <c r="C52" s="89">
        <v>0.6</v>
      </c>
      <c r="D52" s="89">
        <v>2.2000000000000002</v>
      </c>
      <c r="E52" s="89">
        <v>6.5</v>
      </c>
      <c r="F52" s="89">
        <v>8.6</v>
      </c>
      <c r="G52" s="89">
        <v>6</v>
      </c>
      <c r="H52" s="102">
        <v>6.6</v>
      </c>
      <c r="I52" s="103">
        <v>7.2</v>
      </c>
      <c r="J52" s="104">
        <v>7.2</v>
      </c>
      <c r="K52" s="104">
        <v>6.8</v>
      </c>
      <c r="L52" s="104">
        <v>7</v>
      </c>
      <c r="M52" s="102">
        <v>4.8</v>
      </c>
      <c r="N52" s="89">
        <v>6.4</v>
      </c>
      <c r="O52" s="102">
        <v>6.2</v>
      </c>
      <c r="P52" s="102">
        <v>8.9</v>
      </c>
      <c r="Q52" s="102">
        <v>9.8000000000000007</v>
      </c>
      <c r="R52" s="105">
        <v>8.265842389709368</v>
      </c>
    </row>
    <row r="53" spans="1:18" x14ac:dyDescent="0.25">
      <c r="A53" s="84">
        <v>52</v>
      </c>
      <c r="B53" s="84" t="s">
        <v>52</v>
      </c>
      <c r="C53" s="89">
        <v>1.9</v>
      </c>
      <c r="D53" s="89">
        <v>5.6</v>
      </c>
      <c r="E53" s="89">
        <v>2.4</v>
      </c>
      <c r="F53" s="89">
        <v>3.5</v>
      </c>
      <c r="G53" s="89">
        <v>6.5</v>
      </c>
      <c r="H53" s="102">
        <v>10.199999999999999</v>
      </c>
      <c r="I53" s="103">
        <v>17.100000000000001</v>
      </c>
      <c r="J53" s="104">
        <v>17</v>
      </c>
      <c r="K53" s="104">
        <v>18.100000000000001</v>
      </c>
      <c r="L53" s="104">
        <v>21.3</v>
      </c>
      <c r="M53" s="102">
        <v>15.8</v>
      </c>
      <c r="N53" s="89">
        <v>16.5</v>
      </c>
      <c r="O53" s="102">
        <v>15.4</v>
      </c>
      <c r="P53" s="102">
        <v>15.7</v>
      </c>
      <c r="Q53" s="102">
        <v>13.7</v>
      </c>
      <c r="R53" s="105">
        <v>14.586626241320817</v>
      </c>
    </row>
    <row r="54" spans="1:18" x14ac:dyDescent="0.25">
      <c r="A54" s="84">
        <v>53</v>
      </c>
      <c r="B54" s="84" t="s">
        <v>53</v>
      </c>
      <c r="C54" s="89">
        <v>0.4</v>
      </c>
      <c r="D54" s="89">
        <v>0.7</v>
      </c>
      <c r="E54" s="89">
        <v>2.2000000000000002</v>
      </c>
      <c r="F54" s="89">
        <v>2.8</v>
      </c>
      <c r="G54" s="89">
        <v>1.9</v>
      </c>
      <c r="H54" s="102">
        <v>2.7</v>
      </c>
      <c r="I54" s="103">
        <v>2.6</v>
      </c>
      <c r="J54" s="104">
        <v>1.6</v>
      </c>
      <c r="K54" s="104">
        <v>1.4</v>
      </c>
      <c r="L54" s="104">
        <v>1.1000000000000001</v>
      </c>
      <c r="M54" s="102">
        <v>2.2000000000000002</v>
      </c>
      <c r="N54" s="89">
        <v>4</v>
      </c>
      <c r="O54" s="102">
        <v>3.2</v>
      </c>
      <c r="P54" s="102">
        <v>3.2</v>
      </c>
      <c r="Q54" s="102">
        <v>3.7</v>
      </c>
      <c r="R54" s="105">
        <v>3.4084626184912543</v>
      </c>
    </row>
    <row r="55" spans="1:18" x14ac:dyDescent="0.25">
      <c r="A55" s="84">
        <v>54</v>
      </c>
      <c r="B55" s="84" t="s">
        <v>54</v>
      </c>
      <c r="C55" s="89">
        <v>2.5</v>
      </c>
      <c r="D55" s="89">
        <v>6.1</v>
      </c>
      <c r="E55" s="89">
        <v>6</v>
      </c>
      <c r="F55" s="89">
        <v>5.2</v>
      </c>
      <c r="G55" s="89">
        <v>5.2</v>
      </c>
      <c r="H55" s="102">
        <v>4.9000000000000004</v>
      </c>
      <c r="I55" s="103">
        <v>7</v>
      </c>
      <c r="J55" s="104">
        <v>11.5</v>
      </c>
      <c r="K55" s="104">
        <v>7.5</v>
      </c>
      <c r="L55" s="104">
        <v>7</v>
      </c>
      <c r="M55" s="102">
        <v>8.5</v>
      </c>
      <c r="N55" s="89">
        <v>7.7</v>
      </c>
      <c r="O55" s="102">
        <v>10.1</v>
      </c>
      <c r="P55" s="102">
        <v>7.7</v>
      </c>
      <c r="Q55" s="102">
        <v>8.4</v>
      </c>
      <c r="R55" s="105">
        <v>8.6889780070980667</v>
      </c>
    </row>
    <row r="56" spans="1:18" x14ac:dyDescent="0.25">
      <c r="A56" s="84">
        <v>55</v>
      </c>
      <c r="B56" s="84" t="s">
        <v>55</v>
      </c>
      <c r="C56" s="89">
        <v>26.5</v>
      </c>
      <c r="D56" s="89">
        <v>25.1</v>
      </c>
      <c r="E56" s="89">
        <v>25.5</v>
      </c>
      <c r="F56" s="89">
        <v>21.8</v>
      </c>
      <c r="G56" s="89">
        <v>17.8</v>
      </c>
      <c r="H56" s="102">
        <v>14.2</v>
      </c>
      <c r="I56" s="103">
        <v>21.5</v>
      </c>
      <c r="J56" s="104">
        <v>24.5</v>
      </c>
      <c r="K56" s="104">
        <v>22.9</v>
      </c>
      <c r="L56" s="104">
        <v>21.1</v>
      </c>
      <c r="M56" s="102">
        <v>19.100000000000001</v>
      </c>
      <c r="N56" s="89">
        <v>17.7</v>
      </c>
      <c r="O56" s="102">
        <v>15.6</v>
      </c>
      <c r="P56" s="102">
        <v>13.5</v>
      </c>
      <c r="Q56" s="102">
        <v>9.3000000000000007</v>
      </c>
      <c r="R56" s="105">
        <v>9.2343339684765287</v>
      </c>
    </row>
    <row r="57" spans="1:18" x14ac:dyDescent="0.25">
      <c r="A57" s="84">
        <v>56</v>
      </c>
      <c r="B57" s="84" t="s">
        <v>56</v>
      </c>
      <c r="C57" s="89">
        <v>4.2</v>
      </c>
      <c r="D57" s="89">
        <v>2.7</v>
      </c>
      <c r="E57" s="89">
        <v>3</v>
      </c>
      <c r="F57" s="89">
        <v>4.4000000000000004</v>
      </c>
      <c r="G57" s="89">
        <v>7.9</v>
      </c>
      <c r="H57" s="102">
        <v>7</v>
      </c>
      <c r="I57" s="103">
        <v>2.7</v>
      </c>
      <c r="J57" s="104">
        <v>3.4</v>
      </c>
      <c r="K57" s="104">
        <v>3.9</v>
      </c>
      <c r="L57" s="104">
        <v>2.5</v>
      </c>
      <c r="M57" s="102">
        <v>5.7</v>
      </c>
      <c r="N57" s="89">
        <v>3.6</v>
      </c>
      <c r="O57" s="102">
        <v>2.2999999999999998</v>
      </c>
      <c r="P57" s="102">
        <v>2.4</v>
      </c>
      <c r="Q57" s="102">
        <v>2</v>
      </c>
      <c r="R57" s="105">
        <v>1.2584064199214526</v>
      </c>
    </row>
    <row r="58" spans="1:18" x14ac:dyDescent="0.25">
      <c r="A58" s="84">
        <v>57</v>
      </c>
      <c r="B58" s="84" t="s">
        <v>57</v>
      </c>
      <c r="C58" s="89">
        <v>7.3</v>
      </c>
      <c r="D58" s="89">
        <v>11.8</v>
      </c>
      <c r="E58" s="89">
        <v>17.8</v>
      </c>
      <c r="F58" s="89">
        <v>19.399999999999999</v>
      </c>
      <c r="G58" s="89">
        <v>8.8000000000000007</v>
      </c>
      <c r="H58" s="102">
        <v>17.600000000000001</v>
      </c>
      <c r="I58" s="103">
        <v>19.8</v>
      </c>
      <c r="J58" s="104">
        <v>8.5</v>
      </c>
      <c r="K58" s="104">
        <v>15.1</v>
      </c>
      <c r="L58" s="104">
        <v>12</v>
      </c>
      <c r="M58" s="102">
        <v>13.2</v>
      </c>
      <c r="N58" s="89">
        <v>12.3</v>
      </c>
      <c r="O58" s="102">
        <v>12.8</v>
      </c>
      <c r="P58" s="102">
        <v>13.4</v>
      </c>
      <c r="Q58" s="102">
        <v>11</v>
      </c>
      <c r="R58" s="105">
        <v>13.138342030267992</v>
      </c>
    </row>
    <row r="59" spans="1:18" x14ac:dyDescent="0.25">
      <c r="A59" s="84">
        <v>58</v>
      </c>
      <c r="B59" s="84" t="s">
        <v>58</v>
      </c>
      <c r="C59" s="84">
        <v>2.4</v>
      </c>
      <c r="D59" s="89">
        <v>6</v>
      </c>
      <c r="E59" s="84">
        <v>6.3</v>
      </c>
      <c r="F59" s="89">
        <v>5.0999999999999996</v>
      </c>
      <c r="G59" s="89">
        <v>7.7</v>
      </c>
      <c r="H59" s="102">
        <v>3.8</v>
      </c>
      <c r="I59" s="103">
        <v>3.2</v>
      </c>
      <c r="J59" s="104">
        <v>3</v>
      </c>
      <c r="K59" s="104">
        <v>3.9</v>
      </c>
      <c r="L59" s="104">
        <v>2.6</v>
      </c>
      <c r="M59" s="102">
        <v>3.6</v>
      </c>
      <c r="N59" s="89">
        <v>2.7</v>
      </c>
      <c r="O59" s="102">
        <v>3.6</v>
      </c>
      <c r="P59" s="102">
        <v>3.2</v>
      </c>
      <c r="Q59" s="102">
        <v>3.5</v>
      </c>
      <c r="R59" s="105">
        <v>3.1875552242381877</v>
      </c>
    </row>
    <row r="60" spans="1:18" x14ac:dyDescent="0.25">
      <c r="A60" s="84">
        <v>59</v>
      </c>
      <c r="B60" s="84" t="s">
        <v>59</v>
      </c>
      <c r="C60" s="89">
        <v>10.1</v>
      </c>
      <c r="D60" s="89">
        <v>7.7</v>
      </c>
      <c r="E60" s="84">
        <v>8</v>
      </c>
      <c r="F60" s="89">
        <v>7</v>
      </c>
      <c r="G60" s="89">
        <v>8</v>
      </c>
      <c r="H60" s="102">
        <v>5.8</v>
      </c>
      <c r="I60" s="103">
        <v>5.8</v>
      </c>
      <c r="J60" s="104">
        <v>4.0999999999999996</v>
      </c>
      <c r="K60" s="104">
        <v>6.4</v>
      </c>
      <c r="L60" s="104">
        <v>5.8</v>
      </c>
      <c r="M60" s="102">
        <v>7.3</v>
      </c>
      <c r="N60" s="89">
        <v>8.4</v>
      </c>
      <c r="O60" s="102">
        <v>10.3</v>
      </c>
      <c r="P60" s="102">
        <v>6.9</v>
      </c>
      <c r="Q60" s="102">
        <v>6.3</v>
      </c>
      <c r="R60" s="105">
        <v>6.4847124312119853</v>
      </c>
    </row>
    <row r="61" spans="1:18" x14ac:dyDescent="0.25">
      <c r="A61" s="84">
        <v>60</v>
      </c>
      <c r="B61" s="84" t="s">
        <v>60</v>
      </c>
      <c r="C61" s="89">
        <v>0.2</v>
      </c>
      <c r="D61" s="89">
        <v>0.4</v>
      </c>
      <c r="E61" s="89">
        <v>0.6</v>
      </c>
      <c r="F61" s="89">
        <v>0.7</v>
      </c>
      <c r="G61" s="84">
        <v>0.4</v>
      </c>
      <c r="H61" s="102">
        <v>0.9</v>
      </c>
      <c r="I61" s="103">
        <v>1.8</v>
      </c>
      <c r="J61" s="104">
        <v>0.6</v>
      </c>
      <c r="K61" s="104">
        <v>0.3</v>
      </c>
      <c r="L61" s="104">
        <v>0.6</v>
      </c>
      <c r="M61" s="102">
        <v>0.9</v>
      </c>
      <c r="N61" s="89">
        <v>3.3</v>
      </c>
      <c r="O61" s="102">
        <v>3.2</v>
      </c>
      <c r="P61" s="102">
        <v>3.3</v>
      </c>
      <c r="Q61" s="102">
        <v>2.1</v>
      </c>
      <c r="R61" s="105">
        <v>2.7524549335397106</v>
      </c>
    </row>
    <row r="62" spans="1:18" x14ac:dyDescent="0.25">
      <c r="A62" s="84">
        <v>61</v>
      </c>
      <c r="B62" s="84" t="s">
        <v>61</v>
      </c>
      <c r="C62" s="89">
        <v>7.3</v>
      </c>
      <c r="D62" s="84">
        <v>3.1</v>
      </c>
      <c r="E62" s="89">
        <v>2.9</v>
      </c>
      <c r="F62" s="84">
        <v>4.5999999999999996</v>
      </c>
      <c r="G62" s="84">
        <v>2.6</v>
      </c>
      <c r="H62" s="95">
        <v>2.4</v>
      </c>
      <c r="I62" s="103">
        <v>3</v>
      </c>
      <c r="J62" s="103">
        <v>5.9</v>
      </c>
      <c r="K62" s="103">
        <v>8</v>
      </c>
      <c r="L62" s="104">
        <v>4.5999999999999996</v>
      </c>
      <c r="M62" s="95">
        <v>5.2</v>
      </c>
      <c r="N62" s="89">
        <v>3.4</v>
      </c>
      <c r="O62" s="95">
        <v>7.2</v>
      </c>
      <c r="P62" s="95">
        <v>6.2</v>
      </c>
      <c r="Q62" s="95">
        <v>5.4</v>
      </c>
      <c r="R62" s="105">
        <v>4.4069356726814197</v>
      </c>
    </row>
    <row r="63" spans="1:18" x14ac:dyDescent="0.25">
      <c r="A63" s="84">
        <v>62</v>
      </c>
      <c r="B63" s="84" t="s">
        <v>62</v>
      </c>
      <c r="C63" s="112"/>
      <c r="D63" s="89">
        <v>1.8</v>
      </c>
      <c r="E63" s="89">
        <v>1.9</v>
      </c>
      <c r="F63" s="89">
        <v>2</v>
      </c>
      <c r="G63" s="112"/>
      <c r="H63" s="95">
        <v>2.8</v>
      </c>
      <c r="I63" s="103">
        <v>3.9</v>
      </c>
      <c r="J63" s="104">
        <v>1E-4</v>
      </c>
      <c r="K63" s="104">
        <v>0.1</v>
      </c>
      <c r="L63" s="104">
        <v>0.2</v>
      </c>
      <c r="M63" s="95">
        <v>0.1</v>
      </c>
      <c r="N63" s="84">
        <v>0.2</v>
      </c>
      <c r="O63" s="95">
        <v>1.2</v>
      </c>
      <c r="P63" s="95">
        <v>1</v>
      </c>
      <c r="Q63" s="95">
        <v>1.4</v>
      </c>
      <c r="R63" s="105">
        <v>3.8749383823551842</v>
      </c>
    </row>
    <row r="64" spans="1:18" x14ac:dyDescent="0.25">
      <c r="A64" s="84">
        <v>63</v>
      </c>
      <c r="B64" s="84" t="s">
        <v>63</v>
      </c>
      <c r="C64" s="89">
        <v>0.4</v>
      </c>
      <c r="D64" s="89">
        <v>2.2999999999999998</v>
      </c>
      <c r="E64" s="89">
        <v>5.6</v>
      </c>
      <c r="F64" s="89">
        <v>6.4</v>
      </c>
      <c r="G64" s="89">
        <v>2</v>
      </c>
      <c r="H64" s="95">
        <v>0.2</v>
      </c>
      <c r="I64" s="103">
        <v>4.8</v>
      </c>
      <c r="J64" s="104">
        <v>5.8</v>
      </c>
      <c r="K64" s="104">
        <v>6</v>
      </c>
      <c r="L64" s="104">
        <v>10.6</v>
      </c>
      <c r="M64" s="102">
        <v>1.8</v>
      </c>
      <c r="N64" s="84">
        <v>2.5</v>
      </c>
      <c r="O64" s="95">
        <v>2.4</v>
      </c>
      <c r="P64" s="95">
        <v>2</v>
      </c>
      <c r="Q64" s="95">
        <v>1.4</v>
      </c>
      <c r="R64" s="105">
        <v>1.7965640815106891</v>
      </c>
    </row>
    <row r="65" spans="1:18" x14ac:dyDescent="0.25">
      <c r="A65" s="84">
        <v>64</v>
      </c>
      <c r="B65" s="84" t="s">
        <v>64</v>
      </c>
      <c r="C65" s="114"/>
      <c r="D65" s="95">
        <v>1E-4</v>
      </c>
      <c r="E65" s="89">
        <v>0.1</v>
      </c>
      <c r="F65" s="114"/>
      <c r="G65" s="89">
        <v>0.7</v>
      </c>
      <c r="H65" s="95">
        <v>0.8</v>
      </c>
      <c r="I65" s="103">
        <v>0.1</v>
      </c>
      <c r="J65" s="104">
        <v>1E-4</v>
      </c>
      <c r="K65" s="164"/>
      <c r="L65" s="104">
        <v>1E-4</v>
      </c>
      <c r="M65" s="102">
        <v>0.1</v>
      </c>
      <c r="N65" s="84">
        <v>0.3</v>
      </c>
      <c r="O65" s="95">
        <v>0.1</v>
      </c>
      <c r="P65" s="102">
        <v>0.7</v>
      </c>
      <c r="Q65" s="95">
        <v>0.1</v>
      </c>
      <c r="R65" s="105">
        <v>0.11178569062899708</v>
      </c>
    </row>
    <row r="66" spans="1:18" x14ac:dyDescent="0.25">
      <c r="A66" s="84">
        <v>65</v>
      </c>
      <c r="B66" s="84" t="s">
        <v>65</v>
      </c>
      <c r="C66" s="89">
        <v>0.1</v>
      </c>
      <c r="D66" s="89">
        <v>0.1</v>
      </c>
      <c r="E66" s="84">
        <v>0.1</v>
      </c>
      <c r="F66" s="114"/>
      <c r="G66" s="89">
        <v>1E-4</v>
      </c>
      <c r="H66" s="102">
        <v>1E-4</v>
      </c>
      <c r="I66" s="103">
        <v>0.9</v>
      </c>
      <c r="J66" s="104">
        <v>1.3</v>
      </c>
      <c r="K66" s="164"/>
      <c r="L66" s="104">
        <v>1E-4</v>
      </c>
      <c r="M66" s="102">
        <v>0.1</v>
      </c>
      <c r="N66" s="89">
        <v>0.1</v>
      </c>
      <c r="O66" s="102">
        <v>0.5</v>
      </c>
      <c r="P66" s="102">
        <v>0.1</v>
      </c>
      <c r="Q66" s="102">
        <v>0.2</v>
      </c>
      <c r="R66" s="105">
        <v>9.7717325190315243E-2</v>
      </c>
    </row>
    <row r="67" spans="1:18" x14ac:dyDescent="0.25">
      <c r="A67" s="84">
        <v>66</v>
      </c>
      <c r="B67" s="84" t="s">
        <v>66</v>
      </c>
      <c r="C67" s="84">
        <v>6.4</v>
      </c>
      <c r="D67" s="89">
        <v>7.2</v>
      </c>
      <c r="E67" s="84">
        <v>3.6</v>
      </c>
      <c r="F67" s="89">
        <v>4.4000000000000004</v>
      </c>
      <c r="G67" s="89">
        <v>4</v>
      </c>
      <c r="H67" s="102">
        <v>3.4</v>
      </c>
      <c r="I67" s="103">
        <v>2.5</v>
      </c>
      <c r="J67" s="104">
        <v>2.6</v>
      </c>
      <c r="K67" s="104">
        <v>3.9</v>
      </c>
      <c r="L67" s="104">
        <v>4.3</v>
      </c>
      <c r="M67" s="95">
        <v>3.9</v>
      </c>
      <c r="N67" s="89">
        <v>4.5999999999999996</v>
      </c>
      <c r="O67" s="102">
        <v>4</v>
      </c>
      <c r="P67" s="102">
        <v>2.8</v>
      </c>
      <c r="Q67" s="102">
        <v>3.1</v>
      </c>
      <c r="R67" s="105">
        <v>2.6479038640681982</v>
      </c>
    </row>
    <row r="68" spans="1:18" x14ac:dyDescent="0.25">
      <c r="A68" s="84">
        <v>67</v>
      </c>
      <c r="B68" s="84" t="s">
        <v>73</v>
      </c>
      <c r="C68" s="95">
        <v>1.5</v>
      </c>
      <c r="D68" s="95">
        <v>0.8</v>
      </c>
      <c r="E68" s="95">
        <v>2.8</v>
      </c>
      <c r="F68" s="89">
        <v>1.6</v>
      </c>
      <c r="G68" s="89">
        <v>1.1000000000000001</v>
      </c>
      <c r="H68" s="95">
        <v>0.8</v>
      </c>
      <c r="I68" s="103">
        <v>19.399999999999999</v>
      </c>
      <c r="J68" s="104">
        <v>13.7</v>
      </c>
      <c r="K68" s="104">
        <v>6.3</v>
      </c>
      <c r="L68" s="104">
        <v>7.3</v>
      </c>
      <c r="M68" s="95">
        <v>8.9</v>
      </c>
      <c r="N68" s="84">
        <v>7.2</v>
      </c>
      <c r="O68" s="95">
        <v>1.5</v>
      </c>
      <c r="P68" s="95">
        <v>0.5</v>
      </c>
      <c r="Q68" s="95">
        <v>0.2</v>
      </c>
      <c r="R68" s="105">
        <v>0.17245339863324494</v>
      </c>
    </row>
    <row r="69" spans="1:18" x14ac:dyDescent="0.25">
      <c r="A69" s="84">
        <v>68</v>
      </c>
      <c r="B69" s="84" t="s">
        <v>67</v>
      </c>
      <c r="C69" s="89">
        <v>1.2</v>
      </c>
      <c r="D69" s="89">
        <v>1.8</v>
      </c>
      <c r="E69" s="84">
        <v>2</v>
      </c>
      <c r="F69" s="89">
        <v>1.6</v>
      </c>
      <c r="G69" s="89">
        <v>0.6</v>
      </c>
      <c r="H69" s="95">
        <v>0.5</v>
      </c>
      <c r="I69" s="103">
        <v>1.1000000000000001</v>
      </c>
      <c r="J69" s="104">
        <v>3.4</v>
      </c>
      <c r="K69" s="104">
        <v>5.0999999999999996</v>
      </c>
      <c r="L69" s="104">
        <v>4</v>
      </c>
      <c r="M69" s="95">
        <v>4</v>
      </c>
      <c r="N69" s="84">
        <v>4.0999999999999996</v>
      </c>
      <c r="O69" s="95">
        <v>3.3</v>
      </c>
      <c r="P69" s="95">
        <v>2.5</v>
      </c>
      <c r="Q69" s="95">
        <v>4.7</v>
      </c>
      <c r="R69" s="105">
        <v>4.5627900183435965</v>
      </c>
    </row>
    <row r="70" spans="1:18" x14ac:dyDescent="0.25">
      <c r="A70" s="84">
        <v>69</v>
      </c>
      <c r="B70" s="84" t="s">
        <v>68</v>
      </c>
      <c r="C70" s="89">
        <v>0.2</v>
      </c>
      <c r="D70" s="89">
        <v>0.6</v>
      </c>
      <c r="E70" s="89">
        <v>0.8</v>
      </c>
      <c r="F70" s="89">
        <v>1.2</v>
      </c>
      <c r="G70" s="89">
        <v>0.4</v>
      </c>
      <c r="H70" s="102">
        <v>0.5</v>
      </c>
      <c r="I70" s="103">
        <v>1</v>
      </c>
      <c r="J70" s="104">
        <v>1.5</v>
      </c>
      <c r="K70" s="104">
        <v>0.6</v>
      </c>
      <c r="L70" s="104">
        <v>1.6</v>
      </c>
      <c r="M70" s="102">
        <v>2.9</v>
      </c>
      <c r="N70" s="89">
        <v>1.3</v>
      </c>
      <c r="O70" s="95">
        <v>0.8</v>
      </c>
      <c r="P70" s="102">
        <v>0.8</v>
      </c>
      <c r="Q70" s="102">
        <v>0.9</v>
      </c>
      <c r="R70" s="105">
        <v>0.68779688135147654</v>
      </c>
    </row>
    <row r="71" spans="1:18" x14ac:dyDescent="0.25">
      <c r="A71" s="84">
        <v>70</v>
      </c>
      <c r="B71" s="84" t="s">
        <v>69</v>
      </c>
      <c r="C71" s="89">
        <v>0.6</v>
      </c>
      <c r="D71" s="89">
        <v>0.7</v>
      </c>
      <c r="E71" s="89">
        <v>3.2</v>
      </c>
      <c r="F71" s="89">
        <v>1.2</v>
      </c>
      <c r="G71" s="89">
        <v>0.2</v>
      </c>
      <c r="H71" s="102">
        <v>0.6</v>
      </c>
      <c r="I71" s="103">
        <v>0.4</v>
      </c>
      <c r="J71" s="104">
        <v>0.2</v>
      </c>
      <c r="K71" s="104">
        <v>0.4</v>
      </c>
      <c r="L71" s="104">
        <v>1.6</v>
      </c>
      <c r="M71" s="102">
        <v>2.9</v>
      </c>
      <c r="N71" s="89">
        <v>2.1</v>
      </c>
      <c r="O71" s="102">
        <v>1.7</v>
      </c>
      <c r="P71" s="102">
        <v>0.7</v>
      </c>
      <c r="Q71" s="102">
        <v>1</v>
      </c>
      <c r="R71" s="105">
        <v>2.3002980451646255</v>
      </c>
    </row>
    <row r="72" spans="1:18" x14ac:dyDescent="0.25">
      <c r="A72" s="84">
        <v>71</v>
      </c>
      <c r="B72" s="84" t="s">
        <v>70</v>
      </c>
      <c r="C72" s="89">
        <v>2.1</v>
      </c>
      <c r="D72" s="89">
        <v>1.3</v>
      </c>
      <c r="E72" s="89">
        <v>1.1000000000000001</v>
      </c>
      <c r="F72" s="89">
        <v>3.4</v>
      </c>
      <c r="G72" s="89">
        <v>4.2</v>
      </c>
      <c r="H72" s="102">
        <v>5.0999999999999996</v>
      </c>
      <c r="I72" s="103">
        <v>5.4</v>
      </c>
      <c r="J72" s="104">
        <v>7.3</v>
      </c>
      <c r="K72" s="104">
        <v>9.3000000000000007</v>
      </c>
      <c r="L72" s="104">
        <v>10</v>
      </c>
      <c r="M72" s="102">
        <v>10</v>
      </c>
      <c r="N72" s="89">
        <v>9.6999999999999993</v>
      </c>
      <c r="O72" s="102">
        <v>8.3000000000000007</v>
      </c>
      <c r="P72" s="102">
        <v>6.1</v>
      </c>
      <c r="Q72" s="102">
        <v>2.9</v>
      </c>
      <c r="R72" s="105">
        <v>3.5491201851701804</v>
      </c>
    </row>
    <row r="73" spans="1:18" x14ac:dyDescent="0.25">
      <c r="A73" s="84">
        <v>72</v>
      </c>
      <c r="B73" s="84" t="s">
        <v>71</v>
      </c>
      <c r="C73" s="89">
        <v>2.1</v>
      </c>
      <c r="D73" s="89">
        <v>1.9</v>
      </c>
      <c r="E73" s="89">
        <v>2.4</v>
      </c>
      <c r="F73" s="89">
        <v>3.6</v>
      </c>
      <c r="G73" s="89">
        <v>4.5</v>
      </c>
      <c r="H73" s="102">
        <v>6.2</v>
      </c>
      <c r="I73" s="103">
        <v>3</v>
      </c>
      <c r="J73" s="104">
        <v>2.7</v>
      </c>
      <c r="K73" s="104">
        <v>3.7</v>
      </c>
      <c r="L73" s="104">
        <v>3.5</v>
      </c>
      <c r="M73" s="102">
        <v>4.2</v>
      </c>
      <c r="N73" s="89">
        <v>2.7</v>
      </c>
      <c r="O73" s="102">
        <v>2.9</v>
      </c>
      <c r="P73" s="102">
        <v>2.4</v>
      </c>
      <c r="Q73" s="102">
        <v>1.3</v>
      </c>
      <c r="R73" s="105">
        <v>12.620948212928983</v>
      </c>
    </row>
    <row r="74" spans="1:18" x14ac:dyDescent="0.25">
      <c r="A74" s="84">
        <v>73</v>
      </c>
      <c r="B74" s="84" t="s">
        <v>72</v>
      </c>
      <c r="C74" s="89">
        <v>0.8</v>
      </c>
      <c r="D74" s="89">
        <v>1.6</v>
      </c>
      <c r="E74" s="89">
        <v>2.6</v>
      </c>
      <c r="F74" s="89">
        <v>2.9</v>
      </c>
      <c r="G74" s="89">
        <v>2.8</v>
      </c>
      <c r="H74" s="102">
        <v>2.7</v>
      </c>
      <c r="I74" s="103">
        <v>4.2</v>
      </c>
      <c r="J74" s="104">
        <v>1.6</v>
      </c>
      <c r="K74" s="104">
        <v>3.7</v>
      </c>
      <c r="L74" s="104">
        <v>3.5</v>
      </c>
      <c r="M74" s="102">
        <v>5.2</v>
      </c>
      <c r="N74" s="89">
        <v>4.2</v>
      </c>
      <c r="O74" s="102">
        <v>5.3</v>
      </c>
      <c r="P74" s="102">
        <v>4.9000000000000004</v>
      </c>
      <c r="Q74" s="102">
        <v>2.8</v>
      </c>
      <c r="R74" s="105">
        <v>2.8727651370469416</v>
      </c>
    </row>
    <row r="75" spans="1:18" x14ac:dyDescent="0.25">
      <c r="A75" s="84">
        <v>74</v>
      </c>
      <c r="B75" s="84" t="s">
        <v>74</v>
      </c>
      <c r="C75" s="84">
        <v>0.2</v>
      </c>
      <c r="D75" s="84">
        <v>0.3</v>
      </c>
      <c r="E75" s="84">
        <v>0.4</v>
      </c>
      <c r="F75" s="89">
        <v>2.6</v>
      </c>
      <c r="G75" s="84">
        <v>2</v>
      </c>
      <c r="H75" s="95">
        <v>1.1000000000000001</v>
      </c>
      <c r="I75" s="103">
        <v>0.4</v>
      </c>
      <c r="J75" s="104">
        <v>0.3</v>
      </c>
      <c r="K75" s="104">
        <v>2.9</v>
      </c>
      <c r="L75" s="104">
        <v>1.6</v>
      </c>
      <c r="M75" s="95">
        <v>0.7</v>
      </c>
      <c r="N75" s="84">
        <v>3.8</v>
      </c>
      <c r="O75" s="95">
        <v>1.1000000000000001</v>
      </c>
      <c r="P75" s="95">
        <v>0.8</v>
      </c>
      <c r="Q75" s="95">
        <v>0.6</v>
      </c>
      <c r="R75" s="105">
        <v>0.83681044198798726</v>
      </c>
    </row>
    <row r="76" spans="1:18" x14ac:dyDescent="0.25">
      <c r="A76" s="84">
        <v>75</v>
      </c>
      <c r="B76" s="84" t="s">
        <v>75</v>
      </c>
      <c r="C76" s="89">
        <v>0.1</v>
      </c>
      <c r="D76" s="95">
        <v>1E-4</v>
      </c>
      <c r="E76" s="89">
        <v>1.1000000000000001</v>
      </c>
      <c r="F76" s="89">
        <v>1E-4</v>
      </c>
      <c r="G76" s="89">
        <v>1E-4</v>
      </c>
      <c r="H76" s="95">
        <v>0.1</v>
      </c>
      <c r="I76" s="103">
        <v>0.4</v>
      </c>
      <c r="J76" s="104">
        <v>0.5</v>
      </c>
      <c r="K76" s="104">
        <v>1.2</v>
      </c>
      <c r="L76" s="104">
        <v>1.2</v>
      </c>
      <c r="M76" s="102">
        <v>0.3</v>
      </c>
      <c r="N76" s="84">
        <v>0.9</v>
      </c>
      <c r="O76" s="102">
        <v>1.8</v>
      </c>
      <c r="P76" s="102">
        <v>1.1000000000000001</v>
      </c>
      <c r="Q76" s="102">
        <v>1.2</v>
      </c>
      <c r="R76" s="105">
        <v>2.4988426531751338</v>
      </c>
    </row>
    <row r="77" spans="1:18" x14ac:dyDescent="0.25">
      <c r="A77" s="84">
        <v>76</v>
      </c>
      <c r="B77" s="84" t="s">
        <v>76</v>
      </c>
      <c r="C77" s="84">
        <v>3.7</v>
      </c>
      <c r="D77" s="84">
        <v>0.2</v>
      </c>
      <c r="E77" s="89">
        <v>1</v>
      </c>
      <c r="F77" s="89">
        <v>2.9</v>
      </c>
      <c r="G77" s="89">
        <v>4.7</v>
      </c>
      <c r="H77" s="102">
        <v>3.5</v>
      </c>
      <c r="I77" s="103">
        <v>1.5</v>
      </c>
      <c r="J77" s="104">
        <v>1.7</v>
      </c>
      <c r="K77" s="104">
        <v>1</v>
      </c>
      <c r="L77" s="104">
        <v>0.3</v>
      </c>
      <c r="M77" s="95">
        <v>0.3</v>
      </c>
      <c r="N77" s="89">
        <v>0.5</v>
      </c>
      <c r="O77" s="102">
        <v>0.5</v>
      </c>
      <c r="P77" s="102">
        <v>7.3</v>
      </c>
      <c r="Q77" s="102">
        <v>8.3000000000000007</v>
      </c>
      <c r="R77" s="105">
        <v>2.235883921686014</v>
      </c>
    </row>
    <row r="78" spans="1:18" x14ac:dyDescent="0.25">
      <c r="A78" s="84">
        <v>77</v>
      </c>
      <c r="B78" s="84" t="s">
        <v>77</v>
      </c>
      <c r="C78" s="84">
        <v>3.3</v>
      </c>
      <c r="D78" s="89">
        <v>4.8</v>
      </c>
      <c r="E78" s="89">
        <v>1.6</v>
      </c>
      <c r="F78" s="89">
        <v>2.8</v>
      </c>
      <c r="G78" s="89">
        <v>1.7</v>
      </c>
      <c r="H78" s="102">
        <v>3</v>
      </c>
      <c r="I78" s="103">
        <v>4.5</v>
      </c>
      <c r="J78" s="104">
        <v>3.6</v>
      </c>
      <c r="K78" s="104">
        <v>11.7</v>
      </c>
      <c r="L78" s="104">
        <v>12.5</v>
      </c>
      <c r="M78" s="102">
        <v>10.8</v>
      </c>
      <c r="N78" s="89">
        <v>14.1</v>
      </c>
      <c r="O78" s="102">
        <v>23.8</v>
      </c>
      <c r="P78" s="102">
        <v>21.3</v>
      </c>
      <c r="Q78" s="102">
        <v>10.9</v>
      </c>
      <c r="R78" s="105">
        <v>18.165913621144973</v>
      </c>
    </row>
    <row r="79" spans="1:18" x14ac:dyDescent="0.25">
      <c r="A79" s="84">
        <v>78</v>
      </c>
      <c r="B79" s="84" t="s">
        <v>78</v>
      </c>
      <c r="C79" s="89">
        <v>0.1</v>
      </c>
      <c r="D79" s="89">
        <v>1.1000000000000001</v>
      </c>
      <c r="E79" s="89">
        <v>2.4</v>
      </c>
      <c r="F79" s="89">
        <v>3.1</v>
      </c>
      <c r="G79" s="89">
        <v>1.8</v>
      </c>
      <c r="H79" s="102">
        <v>1.7</v>
      </c>
      <c r="I79" s="103">
        <v>3.6</v>
      </c>
      <c r="J79" s="104">
        <v>4.2</v>
      </c>
      <c r="K79" s="104">
        <v>4.7</v>
      </c>
      <c r="L79" s="104">
        <v>4.7</v>
      </c>
      <c r="M79" s="102">
        <v>2.8</v>
      </c>
      <c r="N79" s="89">
        <v>1</v>
      </c>
      <c r="O79" s="102">
        <v>0.9</v>
      </c>
      <c r="P79" s="102">
        <v>1.1000000000000001</v>
      </c>
      <c r="Q79" s="102">
        <v>1.1000000000000001</v>
      </c>
      <c r="R79" s="105">
        <v>0.75809712896601333</v>
      </c>
    </row>
    <row r="80" spans="1:18" x14ac:dyDescent="0.25">
      <c r="A80" s="84">
        <v>79</v>
      </c>
      <c r="B80" s="84" t="s">
        <v>79</v>
      </c>
      <c r="C80" s="84">
        <v>1E-4</v>
      </c>
      <c r="D80" s="89">
        <v>0.2</v>
      </c>
      <c r="E80" s="89">
        <v>0.5</v>
      </c>
      <c r="F80" s="89">
        <v>3.3</v>
      </c>
      <c r="G80" s="89">
        <v>3.4</v>
      </c>
      <c r="H80" s="102">
        <v>5.2</v>
      </c>
      <c r="I80" s="103">
        <v>3.7</v>
      </c>
      <c r="J80" s="104">
        <v>9.4</v>
      </c>
      <c r="K80" s="104">
        <v>10</v>
      </c>
      <c r="L80" s="104">
        <v>0.1</v>
      </c>
      <c r="M80" s="102">
        <v>10.7</v>
      </c>
      <c r="N80" s="89">
        <v>0.3</v>
      </c>
      <c r="O80" s="102">
        <v>0.4</v>
      </c>
      <c r="P80" s="102">
        <v>0.4</v>
      </c>
      <c r="Q80" s="102">
        <v>0.8</v>
      </c>
      <c r="R80" s="105">
        <v>0.2832673952880676</v>
      </c>
    </row>
    <row r="81" spans="1:18" x14ac:dyDescent="0.25">
      <c r="A81" s="84">
        <v>80</v>
      </c>
      <c r="B81" s="84" t="s">
        <v>80</v>
      </c>
      <c r="C81" s="84">
        <v>0.1</v>
      </c>
      <c r="D81" s="89">
        <v>0.1</v>
      </c>
      <c r="E81" s="89">
        <v>0.1</v>
      </c>
      <c r="F81" s="89">
        <v>0.1</v>
      </c>
      <c r="G81" s="89">
        <v>0.1</v>
      </c>
      <c r="H81" s="102">
        <v>1E-4</v>
      </c>
      <c r="I81" s="103">
        <v>53.9</v>
      </c>
      <c r="J81" s="104">
        <v>57.4</v>
      </c>
      <c r="K81" s="104">
        <v>57.8</v>
      </c>
      <c r="L81" s="104">
        <v>60.1</v>
      </c>
      <c r="M81" s="102">
        <v>13.9</v>
      </c>
      <c r="N81" s="89">
        <v>0</v>
      </c>
      <c r="O81" s="102">
        <v>0.2</v>
      </c>
      <c r="P81" s="102">
        <v>0.1</v>
      </c>
      <c r="Q81" s="102">
        <v>0.7</v>
      </c>
      <c r="R81" s="105">
        <v>0.74087081669005617</v>
      </c>
    </row>
    <row r="82" spans="1:18" x14ac:dyDescent="0.25">
      <c r="A82" s="84">
        <v>81</v>
      </c>
      <c r="B82" s="84" t="s">
        <v>81</v>
      </c>
      <c r="C82" s="114"/>
      <c r="D82" s="89">
        <v>0.9</v>
      </c>
      <c r="E82" s="89">
        <v>1</v>
      </c>
      <c r="F82" s="89">
        <v>3</v>
      </c>
      <c r="G82" s="89">
        <v>3.7</v>
      </c>
      <c r="H82" s="102">
        <v>0.1</v>
      </c>
      <c r="I82" s="158"/>
      <c r="J82" s="104">
        <v>1E-4</v>
      </c>
      <c r="K82" s="164"/>
      <c r="L82" s="104">
        <v>0.6</v>
      </c>
      <c r="M82" s="102">
        <v>1.1000000000000001</v>
      </c>
      <c r="N82" s="89">
        <v>0.5</v>
      </c>
      <c r="O82" s="102">
        <v>2</v>
      </c>
      <c r="P82" s="102">
        <v>1.8</v>
      </c>
      <c r="Q82" s="102">
        <v>1.5</v>
      </c>
      <c r="R82" s="105">
        <v>1.0193191242885118</v>
      </c>
    </row>
    <row r="83" spans="1:18" x14ac:dyDescent="0.25">
      <c r="A83" s="84">
        <v>82</v>
      </c>
      <c r="B83" s="84" t="s">
        <v>82</v>
      </c>
      <c r="C83" s="114"/>
      <c r="D83" s="89">
        <v>12</v>
      </c>
      <c r="E83" s="89">
        <v>6.3</v>
      </c>
      <c r="F83" s="89">
        <v>5.4</v>
      </c>
      <c r="G83" s="89">
        <v>3.4</v>
      </c>
      <c r="H83" s="102">
        <v>0.6</v>
      </c>
      <c r="I83" s="114"/>
      <c r="J83" s="104">
        <v>1.2</v>
      </c>
      <c r="K83" s="104">
        <v>1.7</v>
      </c>
      <c r="L83" s="104">
        <v>0</v>
      </c>
      <c r="M83" s="102">
        <v>0.1</v>
      </c>
      <c r="N83" s="89">
        <v>0.7</v>
      </c>
      <c r="O83" s="102">
        <v>1.4</v>
      </c>
      <c r="P83" s="102">
        <v>0.5</v>
      </c>
      <c r="Q83" s="102">
        <v>0.8</v>
      </c>
      <c r="R83" s="105">
        <v>0.52828375645232006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83"/>
  <sheetViews>
    <sheetView workbookViewId="0">
      <selection activeCell="C1" sqref="C1"/>
    </sheetView>
  </sheetViews>
  <sheetFormatPr defaultRowHeight="15.75" x14ac:dyDescent="0.25"/>
  <cols>
    <col min="1" max="1" width="9.140625" style="80"/>
    <col min="2" max="2" width="35.5703125" style="80" customWidth="1"/>
    <col min="3" max="3" width="11.7109375" style="80" bestFit="1" customWidth="1"/>
    <col min="4" max="4" width="8.42578125" style="80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0.29184741033072209</v>
      </c>
      <c r="C2" s="187">
        <v>43831</v>
      </c>
      <c r="D2" s="80">
        <v>42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0.16703286867468906</v>
      </c>
      <c r="C3" s="187">
        <v>43831</v>
      </c>
      <c r="D3" s="80">
        <v>42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8.4582044304478604E-2</v>
      </c>
      <c r="C4" s="187">
        <v>43831</v>
      </c>
      <c r="D4" s="80">
        <v>42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5.9798071022374104E-2</v>
      </c>
      <c r="C5" s="187">
        <v>43831</v>
      </c>
      <c r="D5" s="80">
        <v>42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2.2931231823975114E-3</v>
      </c>
      <c r="C6" s="187">
        <v>43831</v>
      </c>
      <c r="D6" s="80">
        <v>42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2.3832847034647496E-8</v>
      </c>
      <c r="C7" s="187">
        <v>43831</v>
      </c>
      <c r="D7" s="80">
        <v>42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5.3306810314595096E-2</v>
      </c>
      <c r="C8" s="187">
        <v>43831</v>
      </c>
      <c r="D8" s="80">
        <v>42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4.9379869889182568E-2</v>
      </c>
      <c r="C9" s="187">
        <v>43831</v>
      </c>
      <c r="D9" s="80">
        <v>42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6.1191399867534385E-2</v>
      </c>
      <c r="C10" s="187">
        <v>43831</v>
      </c>
      <c r="D10" s="80">
        <v>42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0.14104385928334306</v>
      </c>
      <c r="C11" s="187">
        <v>43831</v>
      </c>
      <c r="D11" s="80">
        <v>42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2.7722311510160327E-2</v>
      </c>
      <c r="C12" s="187">
        <v>43831</v>
      </c>
      <c r="D12" s="80">
        <v>42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3.6258388262997522E-2</v>
      </c>
      <c r="C13" s="187">
        <v>43831</v>
      </c>
      <c r="D13" s="80">
        <v>42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5.860775941380696E-3</v>
      </c>
      <c r="C14" s="187">
        <v>43831</v>
      </c>
      <c r="D14" s="80">
        <v>42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4.2584575888211205E-2</v>
      </c>
      <c r="C15" s="187">
        <v>43831</v>
      </c>
      <c r="D15" s="80">
        <v>42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8.8302404381703684E-2</v>
      </c>
      <c r="C16" s="187">
        <v>43831</v>
      </c>
      <c r="D16" s="80">
        <v>42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0.27816071941694398</v>
      </c>
      <c r="C17" s="187">
        <v>43831</v>
      </c>
      <c r="D17" s="80">
        <v>42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4.0166303938997477E-2</v>
      </c>
      <c r="C18" s="187">
        <v>43831</v>
      </c>
      <c r="D18" s="80">
        <v>42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7.7371279956630675E-3</v>
      </c>
      <c r="C19" s="187">
        <v>43831</v>
      </c>
      <c r="D19" s="80">
        <v>42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1.9990440930362039E-3</v>
      </c>
      <c r="C20" s="187">
        <v>43831</v>
      </c>
      <c r="D20" s="80">
        <v>42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4.1728030445174508E-8</v>
      </c>
      <c r="C21" s="187">
        <v>43831</v>
      </c>
      <c r="D21" s="80">
        <v>42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0.10331511452245505</v>
      </c>
      <c r="C22" s="187">
        <v>43831</v>
      </c>
      <c r="D22" s="80">
        <v>42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1.3706268993544297E-4</v>
      </c>
      <c r="C23" s="187">
        <v>43831</v>
      </c>
      <c r="D23" s="80">
        <v>42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1.3105334029892672E-8</v>
      </c>
      <c r="C24" s="187">
        <v>43831</v>
      </c>
      <c r="D24" s="80">
        <v>42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1.2933651727730904E-8</v>
      </c>
      <c r="C25" s="187">
        <v>43831</v>
      </c>
      <c r="D25" s="80">
        <v>42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0.19620519620798435</v>
      </c>
      <c r="C26" s="187">
        <v>43831</v>
      </c>
      <c r="D26" s="80">
        <v>42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1.2497751285558002E-4</v>
      </c>
      <c r="C27" s="187">
        <v>43831</v>
      </c>
      <c r="D27" s="80">
        <v>42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3.6448614458184323E-7</v>
      </c>
      <c r="C28" s="187">
        <v>43831</v>
      </c>
      <c r="D28" s="80">
        <v>42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0.19558915150349584</v>
      </c>
      <c r="C29" s="187">
        <v>43831</v>
      </c>
      <c r="D29" s="80">
        <v>42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1.3380774632272618E-13</v>
      </c>
      <c r="C30" s="187">
        <v>43831</v>
      </c>
      <c r="D30" s="80">
        <v>42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1.1760466106958783E-14</v>
      </c>
      <c r="C31" s="187">
        <v>43831</v>
      </c>
      <c r="D31" s="80">
        <v>42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4.1356833934528332E-11</v>
      </c>
      <c r="C32" s="187">
        <v>43831</v>
      </c>
      <c r="D32" s="80">
        <v>42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6.0546081635416356E-5</v>
      </c>
      <c r="C33" s="187">
        <v>43831</v>
      </c>
      <c r="D33" s="80">
        <v>42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7.2179193634961306E-45</v>
      </c>
      <c r="C34" s="187">
        <v>43831</v>
      </c>
      <c r="D34" s="80">
        <v>42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4.470284825538179E-4</v>
      </c>
      <c r="C35" s="187">
        <v>43831</v>
      </c>
      <c r="D35" s="80">
        <v>42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0.12984558416918848</v>
      </c>
      <c r="C36" s="187">
        <v>43831</v>
      </c>
      <c r="D36" s="80">
        <v>42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5.409964775574868E-2</v>
      </c>
      <c r="C37" s="187">
        <v>43831</v>
      </c>
      <c r="D37" s="80">
        <v>42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2.644467410832597E-6</v>
      </c>
      <c r="C38" s="187">
        <v>43831</v>
      </c>
      <c r="D38" s="80">
        <v>42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2.1756023267540905E-2</v>
      </c>
      <c r="C39" s="187">
        <v>43831</v>
      </c>
      <c r="D39" s="80">
        <v>42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2.2469164232303091E-8</v>
      </c>
      <c r="C40" s="187">
        <v>43831</v>
      </c>
      <c r="D40" s="80">
        <v>42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1.1416392889224314E-10</v>
      </c>
      <c r="C41" s="187">
        <v>43831</v>
      </c>
      <c r="D41" s="80">
        <v>42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1.7233883047879401E-6</v>
      </c>
      <c r="C42" s="187">
        <v>43831</v>
      </c>
      <c r="D42" s="80">
        <v>42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9.4987909191664637E-196</v>
      </c>
      <c r="C43" s="187">
        <v>43831</v>
      </c>
      <c r="D43" s="80">
        <v>42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0.10574971716522304</v>
      </c>
      <c r="C44" s="187">
        <v>43831</v>
      </c>
      <c r="D44" s="80">
        <v>42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0.11230947336560741</v>
      </c>
      <c r="C45" s="187">
        <v>43831</v>
      </c>
      <c r="D45" s="80">
        <v>42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5.9832584579477772E-2</v>
      </c>
      <c r="C46" s="187">
        <v>43831</v>
      </c>
      <c r="D46" s="80">
        <v>42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0.43571662179313114</v>
      </c>
      <c r="C47" s="187">
        <v>43831</v>
      </c>
      <c r="D47" s="80">
        <v>42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0.38320555996855959</v>
      </c>
      <c r="C48" s="187">
        <v>43831</v>
      </c>
      <c r="D48" s="80">
        <v>42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0.18824352490940222</v>
      </c>
      <c r="C49" s="187">
        <v>43831</v>
      </c>
      <c r="D49" s="80">
        <v>42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0.15407811673640795</v>
      </c>
      <c r="C50" s="187">
        <v>43831</v>
      </c>
      <c r="D50" s="80">
        <v>42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0.20822522348823222</v>
      </c>
      <c r="C51" s="187">
        <v>43831</v>
      </c>
      <c r="D51" s="80">
        <v>42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0.12289557505038196</v>
      </c>
      <c r="C52" s="187">
        <v>43831</v>
      </c>
      <c r="D52" s="80">
        <v>42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0.30483517342948402</v>
      </c>
      <c r="C53" s="187">
        <v>43831</v>
      </c>
      <c r="D53" s="80">
        <v>42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6.1949780872745282E-3</v>
      </c>
      <c r="C54" s="187">
        <v>43831</v>
      </c>
      <c r="D54" s="80">
        <v>42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0.13610497041114727</v>
      </c>
      <c r="C55" s="187">
        <v>43831</v>
      </c>
      <c r="D55" s="80">
        <v>42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0.1531176148335564</v>
      </c>
      <c r="C56" s="187">
        <v>43831</v>
      </c>
      <c r="D56" s="80">
        <v>42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1.0462102296323147E-6</v>
      </c>
      <c r="C57" s="187">
        <v>43831</v>
      </c>
      <c r="D57" s="80">
        <v>42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0.26741872386848015</v>
      </c>
      <c r="C58" s="187">
        <v>43831</v>
      </c>
      <c r="D58" s="80">
        <v>42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4.3553326471740053E-3</v>
      </c>
      <c r="C59" s="187">
        <v>43831</v>
      </c>
      <c r="D59" s="80">
        <v>42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6.9097576902890978E-2</v>
      </c>
      <c r="C60" s="187">
        <v>43831</v>
      </c>
      <c r="D60" s="80">
        <v>42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1.8441850649870124E-3</v>
      </c>
      <c r="C61" s="187">
        <v>43831</v>
      </c>
      <c r="D61" s="80">
        <v>42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1.9601717946898082E-2</v>
      </c>
      <c r="C62" s="187">
        <v>43831</v>
      </c>
      <c r="D62" s="80">
        <v>42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1.1424576571225375E-2</v>
      </c>
      <c r="C63" s="187">
        <v>43831</v>
      </c>
      <c r="D63" s="80">
        <v>42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6.4718993227976887E-5</v>
      </c>
      <c r="C64" s="187">
        <v>43831</v>
      </c>
      <c r="D64" s="80">
        <v>42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4.7531719719767182E-68</v>
      </c>
      <c r="C65" s="187">
        <v>43831</v>
      </c>
      <c r="D65" s="80">
        <v>42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9.6491126758053042E-78</v>
      </c>
      <c r="C66" s="187">
        <v>43831</v>
      </c>
      <c r="D66" s="80">
        <v>42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1.4382893080301259E-3</v>
      </c>
      <c r="C67" s="187">
        <v>43831</v>
      </c>
      <c r="D67" s="80">
        <v>42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2.2944315638719227E-44</v>
      </c>
      <c r="C68" s="187">
        <v>43831</v>
      </c>
      <c r="D68" s="80">
        <v>42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2.2419473805057377E-2</v>
      </c>
      <c r="C69" s="187">
        <v>43831</v>
      </c>
      <c r="D69" s="80">
        <v>42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1.1433512770244436E-11</v>
      </c>
      <c r="C70" s="187">
        <v>43831</v>
      </c>
      <c r="D70" s="80">
        <v>42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5.3500616298355328E-4</v>
      </c>
      <c r="C71" s="187">
        <v>43831</v>
      </c>
      <c r="D71" s="80">
        <v>42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7.5778312492592393E-3</v>
      </c>
      <c r="C72" s="187">
        <v>43831</v>
      </c>
      <c r="D72" s="80">
        <v>42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0.25334342003366633</v>
      </c>
      <c r="C73" s="187">
        <v>43831</v>
      </c>
      <c r="D73" s="80">
        <v>42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2.4005539214850529E-3</v>
      </c>
      <c r="C74" s="187">
        <v>43831</v>
      </c>
      <c r="D74" s="80">
        <v>42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1.0153721785489467E-9</v>
      </c>
      <c r="C75" s="187">
        <v>43831</v>
      </c>
      <c r="D75" s="80">
        <v>42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9.7343243619825567E-4</v>
      </c>
      <c r="C76" s="187">
        <v>43831</v>
      </c>
      <c r="D76" s="80">
        <v>42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4.3063098750426568E-4</v>
      </c>
      <c r="C77" s="187">
        <v>43831</v>
      </c>
      <c r="D77" s="80">
        <v>42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0.38523112180990476</v>
      </c>
      <c r="C78" s="187">
        <v>43831</v>
      </c>
      <c r="D78" s="80">
        <v>42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1.1826115459733925E-10</v>
      </c>
      <c r="C79" s="187">
        <v>43831</v>
      </c>
      <c r="D79" s="80">
        <v>42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2.7061190800195712E-27</v>
      </c>
      <c r="C80" s="187">
        <v>43831</v>
      </c>
      <c r="D80" s="80">
        <v>42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6.9505858693848999E-11</v>
      </c>
      <c r="C81" s="187">
        <v>43831</v>
      </c>
      <c r="D81" s="80">
        <v>42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4.1389046043843976E-8</v>
      </c>
      <c r="C82" s="187">
        <v>43831</v>
      </c>
      <c r="D82" s="80">
        <v>42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5.6799129236739634E-15</v>
      </c>
      <c r="C83" s="187">
        <v>43831</v>
      </c>
      <c r="D83" s="80">
        <v>42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 tint="0.39997558519241921"/>
  </sheetPr>
  <dimension ref="A1:R83"/>
  <sheetViews>
    <sheetView topLeftCell="H53" workbookViewId="0">
      <selection activeCell="R2" sqref="R2:R83"/>
    </sheetView>
  </sheetViews>
  <sheetFormatPr defaultRowHeight="15.75" x14ac:dyDescent="0.25"/>
  <cols>
    <col min="1" max="1" width="9.140625" style="80"/>
    <col min="2" max="2" width="35.42578125" style="80" customWidth="1"/>
    <col min="3" max="17" width="9.5703125" style="80" bestFit="1" customWidth="1"/>
    <col min="18" max="18" width="10" style="80" customWidth="1"/>
    <col min="19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107">
        <f>'15.1.1'!C2/1000</f>
        <v>30.178000000000001</v>
      </c>
      <c r="D2" s="107">
        <f>'15.1.1'!D2/1000</f>
        <v>41.398000000000003</v>
      </c>
      <c r="E2" s="107">
        <f>'15.1.1'!E2/1000</f>
        <v>55.488</v>
      </c>
      <c r="F2" s="107">
        <f>'15.1.1'!F2/1000</f>
        <v>74.650999999999996</v>
      </c>
      <c r="G2" s="107">
        <f>'15.1.1'!G2/1000</f>
        <v>82.216999999999999</v>
      </c>
      <c r="H2" s="107">
        <f>'15.1.1'!H2/1000</f>
        <v>93.527000000000001</v>
      </c>
      <c r="I2" s="107">
        <f>'15.1.1'!I2/1000</f>
        <v>108.563</v>
      </c>
      <c r="J2" s="107">
        <f>'15.1.1'!J2/1000</f>
        <v>129.904</v>
      </c>
      <c r="K2" s="107">
        <f>'15.1.1'!K2/1000</f>
        <v>144.99199999999999</v>
      </c>
      <c r="L2" s="107">
        <f>'15.1.1'!L2/1000</f>
        <v>164.07900000000001</v>
      </c>
      <c r="M2" s="107">
        <f>'15.1.1'!M2/1000</f>
        <v>178.09700000000001</v>
      </c>
      <c r="N2" s="107">
        <f>'15.1.1'!N2/1000</f>
        <v>192.50399999999999</v>
      </c>
      <c r="O2" s="107">
        <f>'15.1.1'!O2/1000</f>
        <v>203.298</v>
      </c>
      <c r="P2" s="107">
        <f>'15.1.1'!P2/1000</f>
        <v>217.059</v>
      </c>
      <c r="Q2" s="107">
        <f>'15.1.1'!Q2/1000</f>
        <v>230.70400000000001</v>
      </c>
      <c r="R2" s="107">
        <f>'15.1.1'!R2/1000</f>
        <v>237.07599999999999</v>
      </c>
    </row>
    <row r="3" spans="1:18" x14ac:dyDescent="0.25">
      <c r="A3" s="84">
        <v>2</v>
      </c>
      <c r="B3" s="84" t="s">
        <v>2</v>
      </c>
      <c r="C3" s="107">
        <f>'15.1.1'!C3/1000</f>
        <v>28.827000000000002</v>
      </c>
      <c r="D3" s="107">
        <f>'15.1.1'!D3/1000</f>
        <v>36.395000000000003</v>
      </c>
      <c r="E3" s="107">
        <f>'15.1.1'!E3/1000</f>
        <v>48.264000000000003</v>
      </c>
      <c r="F3" s="107">
        <f>'15.1.1'!F3/1000</f>
        <v>64.713999999999999</v>
      </c>
      <c r="G3" s="107">
        <f>'15.1.1'!G3/1000</f>
        <v>72.373999999999995</v>
      </c>
      <c r="H3" s="107">
        <f>'15.1.1'!H3/1000</f>
        <v>86.567999999999998</v>
      </c>
      <c r="I3" s="107">
        <f>'15.1.1'!I3/1000</f>
        <v>106.94</v>
      </c>
      <c r="J3" s="107">
        <f>'15.1.1'!J3/1000</f>
        <v>121.136</v>
      </c>
      <c r="K3" s="107">
        <f>'15.1.1'!K3/1000</f>
        <v>138.66900000000001</v>
      </c>
      <c r="L3" s="107">
        <f>'15.1.1'!L3/1000</f>
        <v>158.501</v>
      </c>
      <c r="M3" s="107">
        <f>'15.1.1'!M3/1000</f>
        <v>177.048</v>
      </c>
      <c r="N3" s="107">
        <f>'15.1.1'!N3/1000</f>
        <v>179.767</v>
      </c>
      <c r="O3" s="107">
        <f>'15.1.1'!O3/1000</f>
        <v>192.77500000000001</v>
      </c>
      <c r="P3" s="107">
        <f>'15.1.1'!P3/1000</f>
        <v>209.98699999999999</v>
      </c>
      <c r="Q3" s="107">
        <f>'15.1.1'!Q3/1000</f>
        <v>225.81800000000001</v>
      </c>
      <c r="R3" s="107">
        <f>'15.1.1'!R3/1000</f>
        <v>225.643</v>
      </c>
    </row>
    <row r="4" spans="1:18" x14ac:dyDescent="0.25">
      <c r="A4" s="84">
        <v>3</v>
      </c>
      <c r="B4" s="84" t="s">
        <v>3</v>
      </c>
      <c r="C4" s="107">
        <f>'15.1.1'!C4/1000</f>
        <v>21.312999999999999</v>
      </c>
      <c r="D4" s="107">
        <f>'15.1.1'!D4/1000</f>
        <v>27.774999999999999</v>
      </c>
      <c r="E4" s="107">
        <f>'15.1.1'!E4/1000</f>
        <v>42.987000000000002</v>
      </c>
      <c r="F4" s="107">
        <f>'15.1.1'!F4/1000</f>
        <v>57.642000000000003</v>
      </c>
      <c r="G4" s="107">
        <f>'15.1.1'!G4/1000</f>
        <v>59.697000000000003</v>
      </c>
      <c r="H4" s="107">
        <f>'15.1.1'!H4/1000</f>
        <v>67.241</v>
      </c>
      <c r="I4" s="107">
        <f>'15.1.1'!I4/1000</f>
        <v>85.265000000000001</v>
      </c>
      <c r="J4" s="107">
        <f>'15.1.1'!J4/1000</f>
        <v>103.848</v>
      </c>
      <c r="K4" s="107">
        <f>'15.1.1'!K4/1000</f>
        <v>116.202</v>
      </c>
      <c r="L4" s="107">
        <f>'15.1.1'!L4/1000</f>
        <v>129.56399999999999</v>
      </c>
      <c r="M4" s="107">
        <f>'15.1.1'!M4/1000</f>
        <v>139.40799999999999</v>
      </c>
      <c r="N4" s="107">
        <f>'15.1.1'!N4/1000</f>
        <v>143.643</v>
      </c>
      <c r="O4" s="107">
        <f>'15.1.1'!O4/1000</f>
        <v>153.08799999999999</v>
      </c>
      <c r="P4" s="107">
        <f>'15.1.1'!P4/1000</f>
        <v>164.51900000000001</v>
      </c>
      <c r="Q4" s="107">
        <f>'15.1.1'!Q4/1000</f>
        <v>175.251</v>
      </c>
      <c r="R4" s="107">
        <f>'15.1.1'!R4/1000</f>
        <v>177.68</v>
      </c>
    </row>
    <row r="5" spans="1:18" x14ac:dyDescent="0.25">
      <c r="A5" s="84">
        <v>4</v>
      </c>
      <c r="B5" s="84" t="s">
        <v>4</v>
      </c>
      <c r="C5" s="107">
        <f>'15.1.1'!C5/1000</f>
        <v>35.835999999999999</v>
      </c>
      <c r="D5" s="107">
        <f>'15.1.1'!D5/1000</f>
        <v>40.609000000000002</v>
      </c>
      <c r="E5" s="107">
        <f>'15.1.1'!E5/1000</f>
        <v>51.045999999999999</v>
      </c>
      <c r="F5" s="107">
        <f>'15.1.1'!F5/1000</f>
        <v>66.108000000000004</v>
      </c>
      <c r="G5" s="107">
        <f>'15.1.1'!G5/1000</f>
        <v>74.441000000000003</v>
      </c>
      <c r="H5" s="107">
        <f>'15.1.1'!H5/1000</f>
        <v>82.613</v>
      </c>
      <c r="I5" s="107">
        <f>'15.1.1'!I5/1000</f>
        <v>113.30500000000001</v>
      </c>
      <c r="J5" s="107">
        <f>'15.1.1'!J5/1000</f>
        <v>139.13300000000001</v>
      </c>
      <c r="K5" s="107">
        <f>'15.1.1'!K5/1000</f>
        <v>158.21799999999999</v>
      </c>
      <c r="L5" s="107">
        <f>'15.1.1'!L5/1000</f>
        <v>181.499</v>
      </c>
      <c r="M5" s="107">
        <f>'15.1.1'!M5/1000</f>
        <v>198.81399999999999</v>
      </c>
      <c r="N5" s="107">
        <f>'15.1.1'!N5/1000</f>
        <v>208.63800000000001</v>
      </c>
      <c r="O5" s="107">
        <f>'15.1.1'!O5/1000</f>
        <v>221.30199999999999</v>
      </c>
      <c r="P5" s="107">
        <f>'15.1.1'!P5/1000</f>
        <v>236.953</v>
      </c>
      <c r="Q5" s="107">
        <f>'15.1.1'!Q5/1000</f>
        <v>251.88200000000001</v>
      </c>
      <c r="R5" s="107">
        <f>'15.1.1'!R5/1000</f>
        <v>252.416</v>
      </c>
    </row>
    <row r="6" spans="1:18" x14ac:dyDescent="0.25">
      <c r="A6" s="84">
        <v>5</v>
      </c>
      <c r="B6" s="84" t="s">
        <v>5</v>
      </c>
      <c r="C6" s="107">
        <f>'15.1.1'!C6/1000</f>
        <v>19.097000000000001</v>
      </c>
      <c r="D6" s="107">
        <f>'15.1.1'!D6/1000</f>
        <v>26.859000000000002</v>
      </c>
      <c r="E6" s="107">
        <f>'15.1.1'!E6/1000</f>
        <v>35.040999999999997</v>
      </c>
      <c r="F6" s="107">
        <f>'15.1.1'!F6/1000</f>
        <v>53.750999999999998</v>
      </c>
      <c r="G6" s="107">
        <f>'15.1.1'!G6/1000</f>
        <v>55.298999999999999</v>
      </c>
      <c r="H6" s="107">
        <f>'15.1.1'!H6/1000</f>
        <v>66.664000000000001</v>
      </c>
      <c r="I6" s="107">
        <f>'15.1.1'!I6/1000</f>
        <v>86.034999999999997</v>
      </c>
      <c r="J6" s="107">
        <f>'15.1.1'!J6/1000</f>
        <v>109.822</v>
      </c>
      <c r="K6" s="107">
        <f>'15.1.1'!K6/1000</f>
        <v>121.813</v>
      </c>
      <c r="L6" s="107">
        <f>'15.1.1'!L6/1000</f>
        <v>138.185</v>
      </c>
      <c r="M6" s="107">
        <f>'15.1.1'!M6/1000</f>
        <v>143.34899999999999</v>
      </c>
      <c r="N6" s="107">
        <f>'15.1.1'!N6/1000</f>
        <v>143.56800000000001</v>
      </c>
      <c r="O6" s="107">
        <f>'15.1.1'!O6/1000</f>
        <v>153.99299999999999</v>
      </c>
      <c r="P6" s="107">
        <f>'15.1.1'!P6/1000</f>
        <v>163.29</v>
      </c>
      <c r="Q6" s="107">
        <f>'15.1.1'!Q6/1000</f>
        <v>178.517</v>
      </c>
      <c r="R6" s="107">
        <f>'15.1.1'!R6/1000</f>
        <v>180.31399999999999</v>
      </c>
    </row>
    <row r="7" spans="1:18" x14ac:dyDescent="0.25">
      <c r="A7" s="84">
        <v>6</v>
      </c>
      <c r="B7" s="84" t="s">
        <v>6</v>
      </c>
      <c r="C7" s="107">
        <f>'15.1.1'!C7/1000</f>
        <v>38.585000000000001</v>
      </c>
      <c r="D7" s="107">
        <f>'15.1.1'!D7/1000</f>
        <v>48.655999999999999</v>
      </c>
      <c r="E7" s="107">
        <f>'15.1.1'!E7/1000</f>
        <v>63.073999999999998</v>
      </c>
      <c r="F7" s="107">
        <f>'15.1.1'!F7/1000</f>
        <v>80.388999999999996</v>
      </c>
      <c r="G7" s="107">
        <f>'15.1.1'!G7/1000</f>
        <v>84.980999999999995</v>
      </c>
      <c r="H7" s="107">
        <f>'15.1.1'!H7/1000</f>
        <v>97.647000000000006</v>
      </c>
      <c r="I7" s="107">
        <f>'15.1.1'!I7/1000</f>
        <v>118.038</v>
      </c>
      <c r="J7" s="107">
        <f>'15.1.1'!J7/1000</f>
        <v>133.102</v>
      </c>
      <c r="K7" s="107">
        <f>'15.1.1'!K7/1000</f>
        <v>144.553</v>
      </c>
      <c r="L7" s="107">
        <f>'15.1.1'!L7/1000</f>
        <v>161.62299999999999</v>
      </c>
      <c r="M7" s="107">
        <f>'15.1.1'!M7/1000</f>
        <v>167.20400000000001</v>
      </c>
      <c r="N7" s="107">
        <f>'15.1.1'!N7/1000</f>
        <v>175.286</v>
      </c>
      <c r="O7" s="107">
        <f>'15.1.1'!O7/1000</f>
        <v>183.54900000000001</v>
      </c>
      <c r="P7" s="107">
        <f>'15.1.1'!P7/1000</f>
        <v>194.98699999999999</v>
      </c>
      <c r="Q7" s="107">
        <f>'15.1.1'!Q7/1000</f>
        <v>210.45400000000001</v>
      </c>
      <c r="R7" s="107">
        <f>'15.1.1'!R7/1000</f>
        <v>214.672</v>
      </c>
    </row>
    <row r="8" spans="1:18" x14ac:dyDescent="0.25">
      <c r="A8" s="84">
        <v>7</v>
      </c>
      <c r="B8" s="84" t="s">
        <v>7</v>
      </c>
      <c r="C8" s="107">
        <f>'15.1.1'!C8/1000</f>
        <v>26.175999999999998</v>
      </c>
      <c r="D8" s="107">
        <f>'15.1.1'!D8/1000</f>
        <v>32.302999999999997</v>
      </c>
      <c r="E8" s="107">
        <f>'15.1.1'!E8/1000</f>
        <v>41.92</v>
      </c>
      <c r="F8" s="107">
        <f>'15.1.1'!F8/1000</f>
        <v>54.905999999999999</v>
      </c>
      <c r="G8" s="107">
        <f>'15.1.1'!G8/1000</f>
        <v>58.441000000000003</v>
      </c>
      <c r="H8" s="107">
        <f>'15.1.1'!H8/1000</f>
        <v>68.917000000000002</v>
      </c>
      <c r="I8" s="107">
        <f>'15.1.1'!I8/1000</f>
        <v>86.738</v>
      </c>
      <c r="J8" s="107">
        <f>'15.1.1'!J8/1000</f>
        <v>95.792000000000002</v>
      </c>
      <c r="K8" s="107">
        <f>'15.1.1'!K8/1000</f>
        <v>104.94499999999999</v>
      </c>
      <c r="L8" s="107">
        <f>'15.1.1'!L8/1000</f>
        <v>114.959</v>
      </c>
      <c r="M8" s="107">
        <f>'15.1.1'!M8/1000</f>
        <v>131.00200000000001</v>
      </c>
      <c r="N8" s="107">
        <f>'15.1.1'!N8/1000</f>
        <v>144.11699999999999</v>
      </c>
      <c r="O8" s="107">
        <f>'15.1.1'!O8/1000</f>
        <v>150.715</v>
      </c>
      <c r="P8" s="107">
        <f>'15.1.1'!P8/1000</f>
        <v>159.01400000000001</v>
      </c>
      <c r="Q8" s="107">
        <f>'15.1.1'!Q8/1000</f>
        <v>171.56700000000001</v>
      </c>
      <c r="R8" s="107">
        <f>'15.1.1'!R8/1000</f>
        <v>179.58699999999999</v>
      </c>
    </row>
    <row r="9" spans="1:18" x14ac:dyDescent="0.25">
      <c r="A9" s="84">
        <v>8</v>
      </c>
      <c r="B9" s="84" t="s">
        <v>8</v>
      </c>
      <c r="C9" s="107">
        <f>'15.1.1'!C9/1000</f>
        <v>31.113</v>
      </c>
      <c r="D9" s="107">
        <f>'15.1.1'!D9/1000</f>
        <v>41.462000000000003</v>
      </c>
      <c r="E9" s="107">
        <f>'15.1.1'!E9/1000</f>
        <v>54.228999999999999</v>
      </c>
      <c r="F9" s="107">
        <f>'15.1.1'!F9/1000</f>
        <v>68.852000000000004</v>
      </c>
      <c r="G9" s="107">
        <f>'15.1.1'!G9/1000</f>
        <v>75.466999999999999</v>
      </c>
      <c r="H9" s="107">
        <f>'15.1.1'!H9/1000</f>
        <v>86.584000000000003</v>
      </c>
      <c r="I9" s="107">
        <f>'15.1.1'!I9/1000</f>
        <v>103.221</v>
      </c>
      <c r="J9" s="107">
        <f>'15.1.1'!J9/1000</f>
        <v>117.703</v>
      </c>
      <c r="K9" s="107">
        <f>'15.1.1'!K9/1000</f>
        <v>130.33699999999999</v>
      </c>
      <c r="L9" s="107">
        <f>'15.1.1'!L9/1000</f>
        <v>146.85</v>
      </c>
      <c r="M9" s="107">
        <f>'15.1.1'!M9/1000</f>
        <v>160.71199999999999</v>
      </c>
      <c r="N9" s="107">
        <f>'15.1.1'!N9/1000</f>
        <v>169.08199999999999</v>
      </c>
      <c r="O9" s="107">
        <f>'15.1.1'!O9/1000</f>
        <v>176.208</v>
      </c>
      <c r="P9" s="107">
        <f>'15.1.1'!P9/1000</f>
        <v>191.94499999999999</v>
      </c>
      <c r="Q9" s="107">
        <f>'15.1.1'!Q9/1000</f>
        <v>206.82900000000001</v>
      </c>
      <c r="R9" s="107">
        <f>'15.1.1'!R9/1000</f>
        <v>207.13399999999999</v>
      </c>
    </row>
    <row r="10" spans="1:18" x14ac:dyDescent="0.25">
      <c r="A10" s="84">
        <v>9</v>
      </c>
      <c r="B10" s="84" t="s">
        <v>9</v>
      </c>
      <c r="C10" s="107">
        <f>'15.1.1'!C10/1000</f>
        <v>35.444000000000003</v>
      </c>
      <c r="D10" s="107">
        <f>'15.1.1'!D10/1000</f>
        <v>45.121000000000002</v>
      </c>
      <c r="E10" s="107">
        <f>'15.1.1'!E10/1000</f>
        <v>58.668999999999997</v>
      </c>
      <c r="F10" s="107">
        <f>'15.1.1'!F10/1000</f>
        <v>80.075999999999993</v>
      </c>
      <c r="G10" s="107">
        <f>'15.1.1'!G10/1000</f>
        <v>89.974999999999994</v>
      </c>
      <c r="H10" s="107">
        <f>'15.1.1'!H10/1000</f>
        <v>100.29</v>
      </c>
      <c r="I10" s="107">
        <f>'15.1.1'!I10/1000</f>
        <v>118.54600000000001</v>
      </c>
      <c r="J10" s="107">
        <f>'15.1.1'!J10/1000</f>
        <v>134.04900000000001</v>
      </c>
      <c r="K10" s="107">
        <f>'15.1.1'!K10/1000</f>
        <v>151.358</v>
      </c>
      <c r="L10" s="107">
        <f>'15.1.1'!L10/1000</f>
        <v>171.096</v>
      </c>
      <c r="M10" s="107">
        <f>'15.1.1'!M10/1000</f>
        <v>186.60300000000001</v>
      </c>
      <c r="N10" s="107">
        <f>'15.1.1'!N10/1000</f>
        <v>195.51400000000001</v>
      </c>
      <c r="O10" s="107">
        <f>'15.1.1'!O10/1000</f>
        <v>205.49600000000001</v>
      </c>
      <c r="P10" s="107">
        <f>'15.1.1'!P10/1000</f>
        <v>223.73099999999999</v>
      </c>
      <c r="Q10" s="107">
        <f>'15.1.1'!Q10/1000</f>
        <v>241.566</v>
      </c>
      <c r="R10" s="107">
        <f>'15.1.1'!R10/1000</f>
        <v>236.55199999999999</v>
      </c>
    </row>
    <row r="11" spans="1:18" x14ac:dyDescent="0.25">
      <c r="A11" s="84">
        <v>10</v>
      </c>
      <c r="B11" s="84" t="s">
        <v>10</v>
      </c>
      <c r="C11" s="107">
        <f>'15.1.1'!C11/1000</f>
        <v>55.805999999999997</v>
      </c>
      <c r="D11" s="107">
        <f>'15.1.1'!D11/1000</f>
        <v>74.665999999999997</v>
      </c>
      <c r="E11" s="107">
        <f>'15.1.1'!E11/1000</f>
        <v>99.224000000000004</v>
      </c>
      <c r="F11" s="107">
        <f>'15.1.1'!F11/1000</f>
        <v>132.595</v>
      </c>
      <c r="G11" s="107">
        <f>'15.1.1'!G11/1000</f>
        <v>132.76599999999999</v>
      </c>
      <c r="H11" s="107">
        <f>'15.1.1'!H11/1000</f>
        <v>143.57900000000001</v>
      </c>
      <c r="I11" s="107">
        <f>'15.1.1'!I11/1000</f>
        <v>168.863</v>
      </c>
      <c r="J11" s="107">
        <f>'15.1.1'!J11/1000</f>
        <v>179.869</v>
      </c>
      <c r="K11" s="107">
        <f>'15.1.1'!K11/1000</f>
        <v>191.797</v>
      </c>
      <c r="L11" s="107">
        <f>'15.1.1'!L11/1000</f>
        <v>220.31399999999999</v>
      </c>
      <c r="M11" s="107">
        <f>'15.1.1'!M11/1000</f>
        <v>237.15199999999999</v>
      </c>
      <c r="N11" s="107">
        <f>'15.1.1'!N11/1000</f>
        <v>257.95100000000002</v>
      </c>
      <c r="O11" s="107">
        <f>'15.1.1'!O11/1000</f>
        <v>280.51499999999999</v>
      </c>
      <c r="P11" s="107">
        <f>'15.1.1'!P11/1000</f>
        <v>311.89299999999997</v>
      </c>
      <c r="Q11" s="107">
        <f>'15.1.1'!Q11/1000</f>
        <v>337.81400000000002</v>
      </c>
      <c r="R11" s="107">
        <f>'15.1.1'!R11/1000</f>
        <v>347.56599999999997</v>
      </c>
    </row>
    <row r="12" spans="1:18" x14ac:dyDescent="0.25">
      <c r="A12" s="84">
        <v>11</v>
      </c>
      <c r="B12" s="84" t="s">
        <v>11</v>
      </c>
      <c r="C12" s="107">
        <f>'15.1.1'!C12/1000</f>
        <v>31.120999999999999</v>
      </c>
      <c r="D12" s="107">
        <f>'15.1.1'!D12/1000</f>
        <v>35.432000000000002</v>
      </c>
      <c r="E12" s="107">
        <f>'15.1.1'!E12/1000</f>
        <v>46.792999999999999</v>
      </c>
      <c r="F12" s="107">
        <f>'15.1.1'!F12/1000</f>
        <v>64.320999999999998</v>
      </c>
      <c r="G12" s="107">
        <f>'15.1.1'!G12/1000</f>
        <v>65.834999999999994</v>
      </c>
      <c r="H12" s="107">
        <f>'15.1.1'!H12/1000</f>
        <v>79.641999999999996</v>
      </c>
      <c r="I12" s="107">
        <f>'15.1.1'!I12/1000</f>
        <v>94.27</v>
      </c>
      <c r="J12" s="107">
        <f>'15.1.1'!J12/1000</f>
        <v>105.501</v>
      </c>
      <c r="K12" s="107">
        <f>'15.1.1'!K12/1000</f>
        <v>116.988</v>
      </c>
      <c r="L12" s="107">
        <f>'15.1.1'!L12/1000</f>
        <v>131.43</v>
      </c>
      <c r="M12" s="107">
        <f>'15.1.1'!M12/1000</f>
        <v>150.709</v>
      </c>
      <c r="N12" s="107">
        <f>'15.1.1'!N12/1000</f>
        <v>156.328</v>
      </c>
      <c r="O12" s="107">
        <f>'15.1.1'!O12/1000</f>
        <v>166.01300000000001</v>
      </c>
      <c r="P12" s="107">
        <f>'15.1.1'!P12/1000</f>
        <v>177.75800000000001</v>
      </c>
      <c r="Q12" s="107">
        <f>'15.1.1'!Q12/1000</f>
        <v>188.964</v>
      </c>
      <c r="R12" s="107">
        <f>'15.1.1'!R12/1000</f>
        <v>194.977</v>
      </c>
    </row>
    <row r="13" spans="1:18" x14ac:dyDescent="0.25">
      <c r="A13" s="84">
        <v>12</v>
      </c>
      <c r="B13" s="84" t="s">
        <v>12</v>
      </c>
      <c r="C13" s="107">
        <f>'15.1.1'!C13/1000</f>
        <v>30.55</v>
      </c>
      <c r="D13" s="107">
        <f>'15.1.1'!D13/1000</f>
        <v>37.843000000000004</v>
      </c>
      <c r="E13" s="107">
        <f>'15.1.1'!E13/1000</f>
        <v>50.622</v>
      </c>
      <c r="F13" s="107">
        <f>'15.1.1'!F13/1000</f>
        <v>71.305000000000007</v>
      </c>
      <c r="G13" s="107">
        <f>'15.1.1'!G13/1000</f>
        <v>76.756</v>
      </c>
      <c r="H13" s="107">
        <f>'15.1.1'!H13/1000</f>
        <v>83.906000000000006</v>
      </c>
      <c r="I13" s="107">
        <f>'15.1.1'!I13/1000</f>
        <v>98.147000000000006</v>
      </c>
      <c r="J13" s="107">
        <f>'15.1.1'!J13/1000</f>
        <v>112.985</v>
      </c>
      <c r="K13" s="107">
        <f>'15.1.1'!K13/1000</f>
        <v>123.65600000000001</v>
      </c>
      <c r="L13" s="107">
        <f>'15.1.1'!L13/1000</f>
        <v>140.02600000000001</v>
      </c>
      <c r="M13" s="107">
        <f>'15.1.1'!M13/1000</f>
        <v>148.68700000000001</v>
      </c>
      <c r="N13" s="107">
        <f>'15.1.1'!N13/1000</f>
        <v>151.04900000000001</v>
      </c>
      <c r="O13" s="107">
        <f>'15.1.1'!O13/1000</f>
        <v>160.126</v>
      </c>
      <c r="P13" s="107">
        <f>'15.1.1'!P13/1000</f>
        <v>172.85400000000001</v>
      </c>
      <c r="Q13" s="107">
        <f>'15.1.1'!Q13/1000</f>
        <v>186.792</v>
      </c>
      <c r="R13" s="107">
        <f>'15.1.1'!R13/1000</f>
        <v>196.393</v>
      </c>
    </row>
    <row r="14" spans="1:18" x14ac:dyDescent="0.25">
      <c r="A14" s="84">
        <v>13</v>
      </c>
      <c r="B14" s="84" t="s">
        <v>13</v>
      </c>
      <c r="C14" s="107">
        <f>'15.1.1'!C14/1000</f>
        <v>38.551000000000002</v>
      </c>
      <c r="D14" s="107">
        <f>'15.1.1'!D14/1000</f>
        <v>46.895000000000003</v>
      </c>
      <c r="E14" s="107">
        <f>'15.1.1'!E14/1000</f>
        <v>58.987000000000002</v>
      </c>
      <c r="F14" s="107">
        <f>'15.1.1'!F14/1000</f>
        <v>78.966999999999999</v>
      </c>
      <c r="G14" s="107">
        <f>'15.1.1'!G14/1000</f>
        <v>87.947000000000003</v>
      </c>
      <c r="H14" s="107">
        <f>'15.1.1'!H14/1000</f>
        <v>103.123</v>
      </c>
      <c r="I14" s="107">
        <f>'15.1.1'!I14/1000</f>
        <v>111.64100000000001</v>
      </c>
      <c r="J14" s="107">
        <f>'15.1.1'!J14/1000</f>
        <v>123.289</v>
      </c>
      <c r="K14" s="107">
        <f>'15.1.1'!K14/1000</f>
        <v>134.88900000000001</v>
      </c>
      <c r="L14" s="107">
        <f>'15.1.1'!L14/1000</f>
        <v>150.00800000000001</v>
      </c>
      <c r="M14" s="107">
        <f>'15.1.1'!M14/1000</f>
        <v>163.62799999999999</v>
      </c>
      <c r="N14" s="107">
        <f>'15.1.1'!N14/1000</f>
        <v>159.96799999999999</v>
      </c>
      <c r="O14" s="107">
        <f>'15.1.1'!O14/1000</f>
        <v>166.35900000000001</v>
      </c>
      <c r="P14" s="107">
        <f>'15.1.1'!P14/1000</f>
        <v>179.43700000000001</v>
      </c>
      <c r="Q14" s="107">
        <f>'15.1.1'!Q14/1000</f>
        <v>188.80500000000001</v>
      </c>
      <c r="R14" s="107">
        <f>'15.1.1'!R14/1000</f>
        <v>186.15600000000001</v>
      </c>
    </row>
    <row r="15" spans="1:18" x14ac:dyDescent="0.25">
      <c r="A15" s="84">
        <v>14</v>
      </c>
      <c r="B15" s="84" t="s">
        <v>14</v>
      </c>
      <c r="C15" s="107">
        <f>'15.1.1'!C15/1000</f>
        <v>34.134999999999998</v>
      </c>
      <c r="D15" s="107">
        <f>'15.1.1'!D15/1000</f>
        <v>42.954000000000001</v>
      </c>
      <c r="E15" s="107">
        <f>'15.1.1'!E15/1000</f>
        <v>56.326000000000001</v>
      </c>
      <c r="F15" s="107">
        <f>'15.1.1'!F15/1000</f>
        <v>77.290000000000006</v>
      </c>
      <c r="G15" s="107">
        <f>'15.1.1'!G15/1000</f>
        <v>82.239000000000004</v>
      </c>
      <c r="H15" s="107">
        <f>'15.1.1'!H15/1000</f>
        <v>89.786000000000001</v>
      </c>
      <c r="I15" s="107">
        <f>'15.1.1'!I15/1000</f>
        <v>105.913</v>
      </c>
      <c r="J15" s="107">
        <f>'15.1.1'!J15/1000</f>
        <v>122.57599999999999</v>
      </c>
      <c r="K15" s="107">
        <f>'15.1.1'!K15/1000</f>
        <v>139.91200000000001</v>
      </c>
      <c r="L15" s="107">
        <f>'15.1.1'!L15/1000</f>
        <v>157.55600000000001</v>
      </c>
      <c r="M15" s="107">
        <f>'15.1.1'!M15/1000</f>
        <v>172.696</v>
      </c>
      <c r="N15" s="107">
        <f>'15.1.1'!N15/1000</f>
        <v>181.666</v>
      </c>
      <c r="O15" s="107">
        <f>'15.1.1'!O15/1000</f>
        <v>187.77600000000001</v>
      </c>
      <c r="P15" s="107">
        <f>'15.1.1'!P15/1000</f>
        <v>195.61199999999999</v>
      </c>
      <c r="Q15" s="107">
        <f>'15.1.1'!Q15/1000</f>
        <v>209.13200000000001</v>
      </c>
      <c r="R15" s="107">
        <f>'15.1.1'!R15/1000</f>
        <v>198.28200000000001</v>
      </c>
    </row>
    <row r="16" spans="1:18" x14ac:dyDescent="0.25">
      <c r="A16" s="84">
        <v>15</v>
      </c>
      <c r="B16" s="84" t="s">
        <v>15</v>
      </c>
      <c r="C16" s="107">
        <f>'15.1.1'!C16/1000</f>
        <v>41.311</v>
      </c>
      <c r="D16" s="107">
        <f>'15.1.1'!D16/1000</f>
        <v>50.207999999999998</v>
      </c>
      <c r="E16" s="107">
        <f>'15.1.1'!E16/1000</f>
        <v>57.845999999999997</v>
      </c>
      <c r="F16" s="107">
        <f>'15.1.1'!F16/1000</f>
        <v>75.569999999999993</v>
      </c>
      <c r="G16" s="107">
        <f>'15.1.1'!G16/1000</f>
        <v>81.597999999999999</v>
      </c>
      <c r="H16" s="107">
        <f>'15.1.1'!H16/1000</f>
        <v>93.442999999999998</v>
      </c>
      <c r="I16" s="107">
        <f>'15.1.1'!I16/1000</f>
        <v>105.711</v>
      </c>
      <c r="J16" s="107">
        <f>'15.1.1'!J16/1000</f>
        <v>120.84399999999999</v>
      </c>
      <c r="K16" s="107">
        <f>'15.1.1'!K16/1000</f>
        <v>133.17699999999999</v>
      </c>
      <c r="L16" s="107">
        <f>'15.1.1'!L16/1000</f>
        <v>153.13499999999999</v>
      </c>
      <c r="M16" s="107">
        <f>'15.1.1'!M16/1000</f>
        <v>161.161</v>
      </c>
      <c r="N16" s="107">
        <f>'15.1.1'!N16/1000</f>
        <v>164.63499999999999</v>
      </c>
      <c r="O16" s="107">
        <f>'15.1.1'!O16/1000</f>
        <v>167.51</v>
      </c>
      <c r="P16" s="107">
        <f>'15.1.1'!P16/1000</f>
        <v>175.21199999999999</v>
      </c>
      <c r="Q16" s="107">
        <f>'15.1.1'!Q16/1000</f>
        <v>192.87700000000001</v>
      </c>
      <c r="R16" s="107">
        <f>'15.1.1'!R16/1000</f>
        <v>199.73599999999999</v>
      </c>
    </row>
    <row r="17" spans="1:18" x14ac:dyDescent="0.25">
      <c r="A17" s="84">
        <v>16</v>
      </c>
      <c r="B17" s="84" t="s">
        <v>16</v>
      </c>
      <c r="C17" s="107">
        <f>'15.1.1'!C17/1000</f>
        <v>30.103000000000002</v>
      </c>
      <c r="D17" s="107">
        <f>'15.1.1'!D17/1000</f>
        <v>38.451000000000001</v>
      </c>
      <c r="E17" s="107">
        <f>'15.1.1'!E17/1000</f>
        <v>53.534999999999997</v>
      </c>
      <c r="F17" s="107">
        <f>'15.1.1'!F17/1000</f>
        <v>75.721999999999994</v>
      </c>
      <c r="G17" s="107">
        <f>'15.1.1'!G17/1000</f>
        <v>82.323999999999998</v>
      </c>
      <c r="H17" s="107">
        <f>'15.1.1'!H17/1000</f>
        <v>97.149000000000001</v>
      </c>
      <c r="I17" s="107">
        <f>'15.1.1'!I17/1000</f>
        <v>110.791</v>
      </c>
      <c r="J17" s="107">
        <f>'15.1.1'!J17/1000</f>
        <v>124.58</v>
      </c>
      <c r="K17" s="107">
        <f>'15.1.1'!K17/1000</f>
        <v>136.90899999999999</v>
      </c>
      <c r="L17" s="107">
        <f>'15.1.1'!L17/1000</f>
        <v>152.864</v>
      </c>
      <c r="M17" s="107">
        <f>'15.1.1'!M17/1000</f>
        <v>167.80199999999999</v>
      </c>
      <c r="N17" s="107">
        <f>'15.1.1'!N17/1000</f>
        <v>170.72499999999999</v>
      </c>
      <c r="O17" s="107">
        <f>'15.1.1'!O17/1000</f>
        <v>182.99299999999999</v>
      </c>
      <c r="P17" s="107">
        <f>'15.1.1'!P17/1000</f>
        <v>194.77799999999999</v>
      </c>
      <c r="Q17" s="107">
        <f>'15.1.1'!Q17/1000</f>
        <v>208.8</v>
      </c>
      <c r="R17" s="107">
        <f>'15.1.1'!R17/1000</f>
        <v>205.65199999999999</v>
      </c>
    </row>
    <row r="18" spans="1:18" x14ac:dyDescent="0.25">
      <c r="A18" s="84">
        <v>17</v>
      </c>
      <c r="B18" s="84" t="s">
        <v>17</v>
      </c>
      <c r="C18" s="107">
        <f>'15.1.1'!C18/1000</f>
        <v>30.178000000000001</v>
      </c>
      <c r="D18" s="107">
        <f>'15.1.1'!D18/1000</f>
        <v>39.781999999999996</v>
      </c>
      <c r="E18" s="107">
        <f>'15.1.1'!E18/1000</f>
        <v>51.848999999999997</v>
      </c>
      <c r="F18" s="107">
        <f>'15.1.1'!F18/1000</f>
        <v>69.876000000000005</v>
      </c>
      <c r="G18" s="107">
        <f>'15.1.1'!G18/1000</f>
        <v>71.238</v>
      </c>
      <c r="H18" s="107">
        <f>'15.1.1'!H18/1000</f>
        <v>82.742999999999995</v>
      </c>
      <c r="I18" s="107">
        <f>'15.1.1'!I18/1000</f>
        <v>100.762</v>
      </c>
      <c r="J18" s="107">
        <f>'15.1.1'!J18/1000</f>
        <v>114.121</v>
      </c>
      <c r="K18" s="107">
        <f>'15.1.1'!K18/1000</f>
        <v>131.399</v>
      </c>
      <c r="L18" s="107">
        <f>'15.1.1'!L18/1000</f>
        <v>149.62299999999999</v>
      </c>
      <c r="M18" s="107">
        <f>'15.1.1'!M18/1000</f>
        <v>160.85</v>
      </c>
      <c r="N18" s="107">
        <f>'15.1.1'!N18/1000</f>
        <v>161.88999999999999</v>
      </c>
      <c r="O18" s="107">
        <f>'15.1.1'!O18/1000</f>
        <v>177.01499999999999</v>
      </c>
      <c r="P18" s="107">
        <f>'15.1.1'!P18/1000</f>
        <v>186.66200000000001</v>
      </c>
      <c r="Q18" s="107">
        <f>'15.1.1'!Q18/1000</f>
        <v>199.96299999999999</v>
      </c>
      <c r="R18" s="107">
        <f>'15.1.1'!R18/1000</f>
        <v>204.40600000000001</v>
      </c>
    </row>
    <row r="19" spans="1:18" x14ac:dyDescent="0.25">
      <c r="A19" s="84">
        <v>18</v>
      </c>
      <c r="B19" s="84" t="s">
        <v>18</v>
      </c>
      <c r="C19" s="107">
        <f>'15.1.1'!C19/1000</f>
        <v>152.27699999999999</v>
      </c>
      <c r="D19" s="107">
        <f>'15.1.1'!D19/1000</f>
        <v>174.21799999999999</v>
      </c>
      <c r="E19" s="107">
        <f>'15.1.1'!E19/1000</f>
        <v>195.12100000000001</v>
      </c>
      <c r="F19" s="107">
        <f>'15.1.1'!F19/1000</f>
        <v>225.51599999999999</v>
      </c>
      <c r="G19" s="107">
        <f>'15.1.1'!G19/1000</f>
        <v>239.898</v>
      </c>
      <c r="H19" s="107">
        <f>'15.1.1'!H19/1000</f>
        <v>250.42500000000001</v>
      </c>
      <c r="I19" s="107">
        <f>'15.1.1'!I19/1000</f>
        <v>286.952</v>
      </c>
      <c r="J19" s="107">
        <f>'15.1.1'!J19/1000</f>
        <v>305.39499999999998</v>
      </c>
      <c r="K19" s="107">
        <f>'15.1.1'!K19/1000</f>
        <v>333.529</v>
      </c>
      <c r="L19" s="107">
        <f>'15.1.1'!L19/1000</f>
        <v>365.089</v>
      </c>
      <c r="M19" s="107">
        <f>'15.1.1'!M19/1000</f>
        <v>351.44799999999998</v>
      </c>
      <c r="N19" s="107">
        <f>'15.1.1'!N19/1000</f>
        <v>346.60199999999998</v>
      </c>
      <c r="O19" s="107">
        <f>'15.1.1'!O19/1000</f>
        <v>363.39100000000002</v>
      </c>
      <c r="P19" s="107">
        <f>'15.1.1'!P19/1000</f>
        <v>382.01600000000002</v>
      </c>
      <c r="Q19" s="107">
        <f>'15.1.1'!Q19/1000</f>
        <v>403.42599999999999</v>
      </c>
      <c r="R19" s="107">
        <f>'15.1.1'!R19/1000</f>
        <v>408.67399999999998</v>
      </c>
    </row>
    <row r="20" spans="1:18" x14ac:dyDescent="0.25">
      <c r="A20" s="84">
        <v>19</v>
      </c>
      <c r="B20" s="84" t="s">
        <v>19</v>
      </c>
      <c r="C20" s="107">
        <f>'15.1.1'!C20/1000</f>
        <v>41.170999999999999</v>
      </c>
      <c r="D20" s="107">
        <f>'15.1.1'!D20/1000</f>
        <v>50.087000000000003</v>
      </c>
      <c r="E20" s="107">
        <f>'15.1.1'!E20/1000</f>
        <v>59.753</v>
      </c>
      <c r="F20" s="107">
        <f>'15.1.1'!F20/1000</f>
        <v>73.685000000000002</v>
      </c>
      <c r="G20" s="107">
        <f>'15.1.1'!G20/1000</f>
        <v>77.918000000000006</v>
      </c>
      <c r="H20" s="107">
        <f>'15.1.1'!H20/1000</f>
        <v>92.918999999999997</v>
      </c>
      <c r="I20" s="107">
        <f>'15.1.1'!I20/1000</f>
        <v>109.057</v>
      </c>
      <c r="J20" s="107">
        <f>'15.1.1'!J20/1000</f>
        <v>122.886</v>
      </c>
      <c r="K20" s="107">
        <f>'15.1.1'!K20/1000</f>
        <v>136.58099999999999</v>
      </c>
      <c r="L20" s="107">
        <f>'15.1.1'!L20/1000</f>
        <v>153.65100000000001</v>
      </c>
      <c r="M20" s="107">
        <f>'15.1.1'!M20/1000</f>
        <v>164.57599999999999</v>
      </c>
      <c r="N20" s="107">
        <f>'15.1.1'!N20/1000</f>
        <v>170.77099999999999</v>
      </c>
      <c r="O20" s="107">
        <f>'15.1.1'!O20/1000</f>
        <v>180.29499999999999</v>
      </c>
      <c r="P20" s="107">
        <f>'15.1.1'!P20/1000</f>
        <v>196.38900000000001</v>
      </c>
      <c r="Q20" s="107">
        <f>'15.1.1'!Q20/1000</f>
        <v>209.59299999999999</v>
      </c>
      <c r="R20" s="107">
        <f>'15.1.1'!R20/1000</f>
        <v>226.56899999999999</v>
      </c>
    </row>
    <row r="21" spans="1:18" x14ac:dyDescent="0.25">
      <c r="A21" s="84">
        <v>20</v>
      </c>
      <c r="B21" s="84" t="s">
        <v>20</v>
      </c>
      <c r="C21" s="107">
        <f>'15.1.1'!C21/1000</f>
        <v>68.914000000000001</v>
      </c>
      <c r="D21" s="107">
        <f>'15.1.1'!D21/1000</f>
        <v>83.834999999999994</v>
      </c>
      <c r="E21" s="107">
        <f>'15.1.1'!E21/1000</f>
        <v>101.07599999999999</v>
      </c>
      <c r="F21" s="107">
        <f>'15.1.1'!F21/1000</f>
        <v>118.926</v>
      </c>
      <c r="G21" s="107">
        <f>'15.1.1'!G21/1000</f>
        <v>117.28700000000001</v>
      </c>
      <c r="H21" s="107">
        <f>'15.1.1'!H21/1000</f>
        <v>134.03</v>
      </c>
      <c r="I21" s="107">
        <f>'15.1.1'!I21/1000</f>
        <v>141.53299999999999</v>
      </c>
      <c r="J21" s="107">
        <f>'15.1.1'!J21/1000</f>
        <v>155.77600000000001</v>
      </c>
      <c r="K21" s="107">
        <f>'15.1.1'!K21/1000</f>
        <v>167.697</v>
      </c>
      <c r="L21" s="107">
        <f>'15.1.1'!L21/1000</f>
        <v>181.93700000000001</v>
      </c>
      <c r="M21" s="107">
        <f>'15.1.1'!M21/1000</f>
        <v>174.886</v>
      </c>
      <c r="N21" s="107">
        <f>'15.1.1'!N21/1000</f>
        <v>170.97900000000001</v>
      </c>
      <c r="O21" s="107">
        <f>'15.1.1'!O21/1000</f>
        <v>177.59899999999999</v>
      </c>
      <c r="P21" s="107">
        <f>'15.1.1'!P21/1000</f>
        <v>184.99299999999999</v>
      </c>
      <c r="Q21" s="107">
        <f>'15.1.1'!Q21/1000</f>
        <v>196.59200000000001</v>
      </c>
      <c r="R21" s="107">
        <f>'15.1.1'!R21/1000</f>
        <v>201.67500000000001</v>
      </c>
    </row>
    <row r="22" spans="1:18" x14ac:dyDescent="0.25">
      <c r="A22" s="84">
        <v>21</v>
      </c>
      <c r="B22" s="84" t="s">
        <v>21</v>
      </c>
      <c r="C22" s="107">
        <f>'15.1.1'!C22/1000</f>
        <v>41.466999999999999</v>
      </c>
      <c r="D22" s="107">
        <f>'15.1.1'!D22/1000</f>
        <v>50.326000000000001</v>
      </c>
      <c r="E22" s="107">
        <f>'15.1.1'!E22/1000</f>
        <v>60.743000000000002</v>
      </c>
      <c r="F22" s="107">
        <f>'15.1.1'!F22/1000</f>
        <v>79.025999999999996</v>
      </c>
      <c r="G22" s="107">
        <f>'15.1.1'!G22/1000</f>
        <v>86.625</v>
      </c>
      <c r="H22" s="107">
        <f>'15.1.1'!H22/1000</f>
        <v>97.646000000000001</v>
      </c>
      <c r="I22" s="107">
        <f>'15.1.1'!I22/1000</f>
        <v>118.709</v>
      </c>
      <c r="J22" s="107">
        <f>'15.1.1'!J22/1000</f>
        <v>135.625</v>
      </c>
      <c r="K22" s="107">
        <f>'15.1.1'!K22/1000</f>
        <v>154.32</v>
      </c>
      <c r="L22" s="107">
        <f>'15.1.1'!L22/1000</f>
        <v>176.49100000000001</v>
      </c>
      <c r="M22" s="107">
        <f>'15.1.1'!M22/1000</f>
        <v>194.26599999999999</v>
      </c>
      <c r="N22" s="107">
        <f>'15.1.1'!N22/1000</f>
        <v>203.01900000000001</v>
      </c>
      <c r="O22" s="107">
        <f>'15.1.1'!O22/1000</f>
        <v>217.24100000000001</v>
      </c>
      <c r="P22" s="107">
        <f>'15.1.1'!P22/1000</f>
        <v>229.57599999999999</v>
      </c>
      <c r="Q22" s="107">
        <f>'15.1.1'!Q22/1000</f>
        <v>239.51599999999999</v>
      </c>
      <c r="R22" s="107">
        <f>'15.1.1'!R22/1000</f>
        <v>249.101</v>
      </c>
    </row>
    <row r="23" spans="1:18" x14ac:dyDescent="0.25">
      <c r="A23" s="84">
        <v>22</v>
      </c>
      <c r="B23" s="84" t="s">
        <v>22</v>
      </c>
      <c r="C23" s="107">
        <f>'15.1.1'!C23/1000</f>
        <v>28.597999999999999</v>
      </c>
      <c r="D23" s="107">
        <f>'15.1.1'!D23/1000</f>
        <v>36.423999999999999</v>
      </c>
      <c r="E23" s="107">
        <f>'15.1.1'!E23/1000</f>
        <v>46.603000000000002</v>
      </c>
      <c r="F23" s="107">
        <f>'15.1.1'!F23/1000</f>
        <v>58.042999999999999</v>
      </c>
      <c r="G23" s="107">
        <f>'15.1.1'!G23/1000</f>
        <v>57.256999999999998</v>
      </c>
      <c r="H23" s="107">
        <f>'15.1.1'!H23/1000</f>
        <v>70.995999999999995</v>
      </c>
      <c r="I23" s="107">
        <f>'15.1.1'!I23/1000</f>
        <v>83.363</v>
      </c>
      <c r="J23" s="107">
        <f>'15.1.1'!J23/1000</f>
        <v>104.96599999999999</v>
      </c>
      <c r="K23" s="107">
        <f>'15.1.1'!K23/1000</f>
        <v>112.774</v>
      </c>
      <c r="L23" s="107">
        <f>'15.1.1'!L23/1000</f>
        <v>125.014</v>
      </c>
      <c r="M23" s="107">
        <f>'15.1.1'!M23/1000</f>
        <v>132.285</v>
      </c>
      <c r="N23" s="107">
        <f>'15.1.1'!N23/1000</f>
        <v>136.22399999999999</v>
      </c>
      <c r="O23" s="107">
        <f>'15.1.1'!O23/1000</f>
        <v>145.71100000000001</v>
      </c>
      <c r="P23" s="107">
        <f>'15.1.1'!P23/1000</f>
        <v>159.08500000000001</v>
      </c>
      <c r="Q23" s="107">
        <f>'15.1.1'!Q23/1000</f>
        <v>170.17400000000001</v>
      </c>
      <c r="R23" s="107">
        <f>'15.1.1'!R23/1000</f>
        <v>182.92</v>
      </c>
    </row>
    <row r="24" spans="1:18" x14ac:dyDescent="0.25">
      <c r="A24" s="84">
        <v>23</v>
      </c>
      <c r="B24" s="84" t="s">
        <v>23</v>
      </c>
      <c r="C24" s="107">
        <f>'15.1.1'!C24/1000</f>
        <v>38.764000000000003</v>
      </c>
      <c r="D24" s="107">
        <f>'15.1.1'!D24/1000</f>
        <v>47.468000000000004</v>
      </c>
      <c r="E24" s="107">
        <f>'15.1.1'!E24/1000</f>
        <v>61.512</v>
      </c>
      <c r="F24" s="107">
        <f>'15.1.1'!F24/1000</f>
        <v>81.396000000000001</v>
      </c>
      <c r="G24" s="107">
        <f>'15.1.1'!G24/1000</f>
        <v>91.668000000000006</v>
      </c>
      <c r="H24" s="107">
        <f>'15.1.1'!H24/1000</f>
        <v>96.244</v>
      </c>
      <c r="I24" s="107">
        <f>'15.1.1'!I24/1000</f>
        <v>106.845</v>
      </c>
      <c r="J24" s="107">
        <f>'15.1.1'!J24/1000</f>
        <v>114.98</v>
      </c>
      <c r="K24" s="107">
        <f>'15.1.1'!K24/1000</f>
        <v>123.113</v>
      </c>
      <c r="L24" s="107">
        <f>'15.1.1'!L24/1000</f>
        <v>136.62700000000001</v>
      </c>
      <c r="M24" s="107">
        <f>'15.1.1'!M24/1000</f>
        <v>145.94399999999999</v>
      </c>
      <c r="N24" s="107">
        <f>'15.1.1'!N24/1000</f>
        <v>153.16499999999999</v>
      </c>
      <c r="O24" s="107">
        <f>'15.1.1'!O24/1000</f>
        <v>158.572</v>
      </c>
      <c r="P24" s="107">
        <f>'15.1.1'!P24/1000</f>
        <v>170.47</v>
      </c>
      <c r="Q24" s="107">
        <f>'15.1.1'!Q24/1000</f>
        <v>179.94900000000001</v>
      </c>
      <c r="R24" s="107">
        <f>'15.1.1'!R24/1000</f>
        <v>183.286</v>
      </c>
    </row>
    <row r="25" spans="1:18" x14ac:dyDescent="0.25">
      <c r="A25" s="84">
        <v>24</v>
      </c>
      <c r="B25" s="84" t="s">
        <v>24</v>
      </c>
      <c r="C25" s="107">
        <f>'15.1.1'!C25/1000</f>
        <v>38.008000000000003</v>
      </c>
      <c r="D25" s="107">
        <f>'15.1.1'!D25/1000</f>
        <v>48.247999999999998</v>
      </c>
      <c r="E25" s="107">
        <f>'15.1.1'!E25/1000</f>
        <v>61.274999999999999</v>
      </c>
      <c r="F25" s="107">
        <f>'15.1.1'!F25/1000</f>
        <v>74.245999999999995</v>
      </c>
      <c r="G25" s="107">
        <f>'15.1.1'!G25/1000</f>
        <v>86.656000000000006</v>
      </c>
      <c r="H25" s="107">
        <f>'15.1.1'!H25/1000</f>
        <v>98.885999999999996</v>
      </c>
      <c r="I25" s="107">
        <f>'15.1.1'!I25/1000</f>
        <v>121.46899999999999</v>
      </c>
      <c r="J25" s="107">
        <f>'15.1.1'!J25/1000</f>
        <v>132.297</v>
      </c>
      <c r="K25" s="107">
        <f>'15.1.1'!K25/1000</f>
        <v>141.1</v>
      </c>
      <c r="L25" s="107">
        <f>'15.1.1'!L25/1000</f>
        <v>156.78</v>
      </c>
      <c r="M25" s="107">
        <f>'15.1.1'!M25/1000</f>
        <v>175.173</v>
      </c>
      <c r="N25" s="107">
        <f>'15.1.1'!N25/1000</f>
        <v>191.917</v>
      </c>
      <c r="O25" s="107">
        <f>'15.1.1'!O25/1000</f>
        <v>205.60400000000001</v>
      </c>
      <c r="P25" s="107">
        <f>'15.1.1'!P25/1000</f>
        <v>221.47900000000001</v>
      </c>
      <c r="Q25" s="107">
        <f>'15.1.1'!Q25/1000</f>
        <v>235.709</v>
      </c>
      <c r="R25" s="107">
        <f>'15.1.1'!R25/1000</f>
        <v>255.64599999999999</v>
      </c>
    </row>
    <row r="26" spans="1:18" x14ac:dyDescent="0.25">
      <c r="A26" s="84">
        <v>25</v>
      </c>
      <c r="B26" s="84" t="s">
        <v>25</v>
      </c>
      <c r="C26" s="107">
        <f>'15.1.1'!C26/1000</f>
        <v>52.542000000000002</v>
      </c>
      <c r="D26" s="107">
        <f>'15.1.1'!D26/1000</f>
        <v>61.704999999999998</v>
      </c>
      <c r="E26" s="107">
        <f>'15.1.1'!E26/1000</f>
        <v>76.31</v>
      </c>
      <c r="F26" s="107">
        <f>'15.1.1'!F26/1000</f>
        <v>99.524000000000001</v>
      </c>
      <c r="G26" s="107">
        <f>'15.1.1'!G26/1000</f>
        <v>109.65</v>
      </c>
      <c r="H26" s="107">
        <f>'15.1.1'!H26/1000</f>
        <v>128.86500000000001</v>
      </c>
      <c r="I26" s="107">
        <f>'15.1.1'!I26/1000</f>
        <v>142.53899999999999</v>
      </c>
      <c r="J26" s="107">
        <f>'15.1.1'!J26/1000</f>
        <v>157.47999999999999</v>
      </c>
      <c r="K26" s="107">
        <f>'15.1.1'!K26/1000</f>
        <v>177.3</v>
      </c>
      <c r="L26" s="107">
        <f>'15.1.1'!L26/1000</f>
        <v>196.946</v>
      </c>
      <c r="M26" s="107">
        <f>'15.1.1'!M26/1000</f>
        <v>201.07900000000001</v>
      </c>
      <c r="N26" s="107">
        <f>'15.1.1'!N26/1000</f>
        <v>203.655</v>
      </c>
      <c r="O26" s="107">
        <f>'15.1.1'!O26/1000</f>
        <v>216.42500000000001</v>
      </c>
      <c r="P26" s="107">
        <f>'15.1.1'!P26/1000</f>
        <v>225.99199999999999</v>
      </c>
      <c r="Q26" s="107">
        <f>'15.1.1'!Q26/1000</f>
        <v>240.35300000000001</v>
      </c>
      <c r="R26" s="107">
        <f>'15.1.1'!R26/1000</f>
        <v>242.84399999999999</v>
      </c>
    </row>
    <row r="27" spans="1:18" x14ac:dyDescent="0.25">
      <c r="A27" s="84">
        <v>26</v>
      </c>
      <c r="B27" s="84" t="s">
        <v>26</v>
      </c>
      <c r="C27" s="107">
        <f>'15.1.1'!C27/1000</f>
        <v>33.323999999999998</v>
      </c>
      <c r="D27" s="107">
        <f>'15.1.1'!D27/1000</f>
        <v>41.408000000000001</v>
      </c>
      <c r="E27" s="107">
        <f>'15.1.1'!E27/1000</f>
        <v>52.521999999999998</v>
      </c>
      <c r="F27" s="107">
        <f>'15.1.1'!F27/1000</f>
        <v>74.135000000000005</v>
      </c>
      <c r="G27" s="107">
        <f>'15.1.1'!G27/1000</f>
        <v>84.384</v>
      </c>
      <c r="H27" s="107">
        <f>'15.1.1'!H27/1000</f>
        <v>94.036000000000001</v>
      </c>
      <c r="I27" s="107">
        <f>'15.1.1'!I27/1000</f>
        <v>107.316</v>
      </c>
      <c r="J27" s="107">
        <f>'15.1.1'!J27/1000</f>
        <v>122.628</v>
      </c>
      <c r="K27" s="107">
        <f>'15.1.1'!K27/1000</f>
        <v>136.77199999999999</v>
      </c>
      <c r="L27" s="107">
        <f>'15.1.1'!L27/1000</f>
        <v>155.32400000000001</v>
      </c>
      <c r="M27" s="107">
        <f>'15.1.1'!M27/1000</f>
        <v>173.38</v>
      </c>
      <c r="N27" s="107">
        <f>'15.1.1'!N27/1000</f>
        <v>176.74</v>
      </c>
      <c r="O27" s="107">
        <f>'15.1.1'!O27/1000</f>
        <v>183.565</v>
      </c>
      <c r="P27" s="107">
        <f>'15.1.1'!P27/1000</f>
        <v>191.13499999999999</v>
      </c>
      <c r="Q27" s="107">
        <f>'15.1.1'!Q27/1000</f>
        <v>201.392</v>
      </c>
      <c r="R27" s="107">
        <f>'15.1.1'!R27/1000</f>
        <v>204.547</v>
      </c>
    </row>
    <row r="28" spans="1:18" x14ac:dyDescent="0.25">
      <c r="A28" s="84">
        <v>27</v>
      </c>
      <c r="B28" s="84" t="s">
        <v>27</v>
      </c>
      <c r="C28" s="107">
        <f>'15.1.1'!C28/1000</f>
        <v>38.658999999999999</v>
      </c>
      <c r="D28" s="107">
        <f>'15.1.1'!D28/1000</f>
        <v>46.122</v>
      </c>
      <c r="E28" s="107">
        <f>'15.1.1'!E28/1000</f>
        <v>54.984000000000002</v>
      </c>
      <c r="F28" s="107">
        <f>'15.1.1'!F28/1000</f>
        <v>72.668999999999997</v>
      </c>
      <c r="G28" s="107">
        <f>'15.1.1'!G28/1000</f>
        <v>76.161000000000001</v>
      </c>
      <c r="H28" s="107">
        <f>'15.1.1'!H28/1000</f>
        <v>86.44</v>
      </c>
      <c r="I28" s="107">
        <f>'15.1.1'!I28/1000</f>
        <v>103.06699999999999</v>
      </c>
      <c r="J28" s="107">
        <f>'15.1.1'!J28/1000</f>
        <v>115.337</v>
      </c>
      <c r="K28" s="107">
        <f>'15.1.1'!K28/1000</f>
        <v>127.898</v>
      </c>
      <c r="L28" s="107">
        <f>'15.1.1'!L28/1000</f>
        <v>144.79900000000001</v>
      </c>
      <c r="M28" s="107">
        <f>'15.1.1'!M28/1000</f>
        <v>156.702</v>
      </c>
      <c r="N28" s="107">
        <f>'15.1.1'!N28/1000</f>
        <v>154.488</v>
      </c>
      <c r="O28" s="107">
        <f>'15.1.1'!O28/1000</f>
        <v>166.75299999999999</v>
      </c>
      <c r="P28" s="107">
        <f>'15.1.1'!P28/1000</f>
        <v>177.12899999999999</v>
      </c>
      <c r="Q28" s="107">
        <f>'15.1.1'!Q28/1000</f>
        <v>192.571</v>
      </c>
      <c r="R28" s="107">
        <f>'15.1.1'!R28/1000</f>
        <v>200.916</v>
      </c>
    </row>
    <row r="29" spans="1:18" x14ac:dyDescent="0.25">
      <c r="A29" s="84">
        <v>28</v>
      </c>
      <c r="B29" s="84" t="s">
        <v>28</v>
      </c>
      <c r="C29" s="107">
        <f>'15.1.1'!C29/1000</f>
        <v>63.722000000000001</v>
      </c>
      <c r="D29" s="107">
        <f>'15.1.1'!D29/1000</f>
        <v>77.549000000000007</v>
      </c>
      <c r="E29" s="107">
        <f>'15.1.1'!E29/1000</f>
        <v>98.022999999999996</v>
      </c>
      <c r="F29" s="107">
        <f>'15.1.1'!F29/1000</f>
        <v>127.26600000000001</v>
      </c>
      <c r="G29" s="107">
        <f>'15.1.1'!G29/1000</f>
        <v>131.928</v>
      </c>
      <c r="H29" s="107">
        <f>'15.1.1'!H29/1000</f>
        <v>141.27199999999999</v>
      </c>
      <c r="I29" s="107">
        <f>'15.1.1'!I29/1000</f>
        <v>150.642</v>
      </c>
      <c r="J29" s="107">
        <f>'15.1.1'!J29/1000</f>
        <v>169.27</v>
      </c>
      <c r="K29" s="107">
        <f>'15.1.1'!K29/1000</f>
        <v>181.245</v>
      </c>
      <c r="L29" s="107">
        <f>'15.1.1'!L29/1000</f>
        <v>197.14400000000001</v>
      </c>
      <c r="M29" s="107">
        <f>'15.1.1'!M29/1000</f>
        <v>219.75</v>
      </c>
      <c r="N29" s="107">
        <f>'15.1.1'!N29/1000</f>
        <v>234.947</v>
      </c>
      <c r="O29" s="107">
        <f>'15.1.1'!O29/1000</f>
        <v>249.46</v>
      </c>
      <c r="P29" s="107">
        <f>'15.1.1'!P29/1000</f>
        <v>263.12</v>
      </c>
      <c r="Q29" s="107">
        <f>'15.1.1'!Q29/1000</f>
        <v>278.02699999999999</v>
      </c>
      <c r="R29" s="107">
        <f>'15.1.1'!R29/1000</f>
        <v>283.49400000000003</v>
      </c>
    </row>
    <row r="30" spans="1:18" x14ac:dyDescent="0.25">
      <c r="A30" s="84">
        <v>29</v>
      </c>
      <c r="B30" s="84" t="s">
        <v>29</v>
      </c>
      <c r="C30" s="107">
        <f>'15.1.1'!C30/1000</f>
        <v>25.047000000000001</v>
      </c>
      <c r="D30" s="107">
        <f>'15.1.1'!D30/1000</f>
        <v>29.616</v>
      </c>
      <c r="E30" s="107">
        <f>'15.1.1'!E30/1000</f>
        <v>37.106000000000002</v>
      </c>
      <c r="F30" s="107">
        <f>'15.1.1'!F30/1000</f>
        <v>58.024000000000001</v>
      </c>
      <c r="G30" s="107">
        <f>'15.1.1'!G30/1000</f>
        <v>70.986999999999995</v>
      </c>
      <c r="H30" s="107">
        <f>'15.1.1'!H30/1000</f>
        <v>83.165000000000006</v>
      </c>
      <c r="I30" s="107">
        <f>'15.1.1'!I30/1000</f>
        <v>101.944</v>
      </c>
      <c r="J30" s="107">
        <f>'15.1.1'!J30/1000</f>
        <v>129.374</v>
      </c>
      <c r="K30" s="107">
        <f>'15.1.1'!K30/1000</f>
        <v>151.23599999999999</v>
      </c>
      <c r="L30" s="107">
        <f>'15.1.1'!L30/1000</f>
        <v>164.97499999999999</v>
      </c>
      <c r="M30" s="107">
        <f>'15.1.1'!M30/1000</f>
        <v>162.62100000000001</v>
      </c>
      <c r="N30" s="107">
        <f>'15.1.1'!N30/1000</f>
        <v>177.11500000000001</v>
      </c>
      <c r="O30" s="107">
        <f>'15.1.1'!O30/1000</f>
        <v>190.24</v>
      </c>
      <c r="P30" s="107">
        <f>'15.1.1'!P30/1000</f>
        <v>209.58600000000001</v>
      </c>
      <c r="Q30" s="107">
        <f>'15.1.1'!Q30/1000</f>
        <v>221.46799999999999</v>
      </c>
      <c r="R30" s="107">
        <f>'15.1.1'!R30/1000</f>
        <v>231.447</v>
      </c>
    </row>
    <row r="31" spans="1:18" x14ac:dyDescent="0.25">
      <c r="A31" s="84">
        <v>30</v>
      </c>
      <c r="B31" s="84" t="s">
        <v>30</v>
      </c>
      <c r="C31" s="107">
        <f>'15.1.1'!C31/1000</f>
        <v>13.404999999999999</v>
      </c>
      <c r="D31" s="107">
        <f>'15.1.1'!D31/1000</f>
        <v>17.972000000000001</v>
      </c>
      <c r="E31" s="107">
        <f>'15.1.1'!E31/1000</f>
        <v>21.388999999999999</v>
      </c>
      <c r="F31" s="107">
        <f>'15.1.1'!F31/1000</f>
        <v>25.873999999999999</v>
      </c>
      <c r="G31" s="107">
        <f>'15.1.1'!G31/1000</f>
        <v>29.931000000000001</v>
      </c>
      <c r="H31" s="107">
        <f>'15.1.1'!H31/1000</f>
        <v>33.927</v>
      </c>
      <c r="I31" s="107">
        <f>'15.1.1'!I31/1000</f>
        <v>42.953000000000003</v>
      </c>
      <c r="J31" s="107">
        <f>'15.1.1'!J31/1000</f>
        <v>51.125</v>
      </c>
      <c r="K31" s="107">
        <f>'15.1.1'!K31/1000</f>
        <v>56.381999999999998</v>
      </c>
      <c r="L31" s="107">
        <f>'15.1.1'!L31/1000</f>
        <v>62.779000000000003</v>
      </c>
      <c r="M31" s="107">
        <f>'15.1.1'!M31/1000</f>
        <v>64.025000000000006</v>
      </c>
      <c r="N31" s="107">
        <f>'15.1.1'!N31/1000</f>
        <v>67.572000000000003</v>
      </c>
      <c r="O31" s="107">
        <f>'15.1.1'!O31/1000</f>
        <v>70.974000000000004</v>
      </c>
      <c r="P31" s="107">
        <f>'15.1.1'!P31/1000</f>
        <v>77.849999999999994</v>
      </c>
      <c r="Q31" s="107">
        <f>'15.1.1'!Q31/1000</f>
        <v>83.233999999999995</v>
      </c>
      <c r="R31" s="107">
        <f>'15.1.1'!R31/1000</f>
        <v>86.001999999999995</v>
      </c>
    </row>
    <row r="32" spans="1:18" x14ac:dyDescent="0.25">
      <c r="A32" s="84">
        <v>31</v>
      </c>
      <c r="B32" s="84" t="s">
        <v>31</v>
      </c>
      <c r="C32" s="107">
        <f>'15.1.1'!C32/1000</f>
        <v>0</v>
      </c>
      <c r="D32" s="107">
        <f>'15.1.1'!D32/1000</f>
        <v>0</v>
      </c>
      <c r="E32" s="107">
        <f>'15.1.1'!E32/1000</f>
        <v>0</v>
      </c>
      <c r="F32" s="107">
        <f>'15.1.1'!F32/1000</f>
        <v>0</v>
      </c>
      <c r="G32" s="107">
        <f>'15.1.1'!G32/1000</f>
        <v>0</v>
      </c>
      <c r="H32" s="107">
        <f>'15.1.1'!H32/1000</f>
        <v>0</v>
      </c>
      <c r="I32" s="107">
        <f>'15.1.1'!I32/1000</f>
        <v>0</v>
      </c>
      <c r="J32" s="107">
        <f>'15.1.1'!J32/1000</f>
        <v>0</v>
      </c>
      <c r="K32" s="107">
        <f>'15.1.1'!K32/1000</f>
        <v>0</v>
      </c>
      <c r="L32" s="107">
        <f>'15.1.1'!L32/1000</f>
        <v>79.010000000000005</v>
      </c>
      <c r="M32" s="107">
        <f>'15.1.1'!M32/1000</f>
        <v>112.916</v>
      </c>
      <c r="N32" s="107">
        <f>'15.1.1'!N32/1000</f>
        <v>115.133</v>
      </c>
      <c r="O32" s="107">
        <f>'15.1.1'!O32/1000</f>
        <v>120.17700000000001</v>
      </c>
      <c r="P32" s="107">
        <f>'15.1.1'!P32/1000</f>
        <v>133.94</v>
      </c>
      <c r="Q32" s="107">
        <f>'15.1.1'!Q32/1000</f>
        <v>143.66</v>
      </c>
      <c r="R32" s="107">
        <f>'15.1.1'!R32/1000</f>
        <v>148.071</v>
      </c>
    </row>
    <row r="33" spans="1:18" x14ac:dyDescent="0.25">
      <c r="A33" s="84">
        <v>32</v>
      </c>
      <c r="B33" s="84" t="s">
        <v>32</v>
      </c>
      <c r="C33" s="107">
        <f>'15.1.1'!C33/1000</f>
        <v>41.997999999999998</v>
      </c>
      <c r="D33" s="107">
        <f>'15.1.1'!D33/1000</f>
        <v>53.874000000000002</v>
      </c>
      <c r="E33" s="107">
        <f>'15.1.1'!E33/1000</f>
        <v>74.018000000000001</v>
      </c>
      <c r="F33" s="107">
        <f>'15.1.1'!F33/1000</f>
        <v>97.566000000000003</v>
      </c>
      <c r="G33" s="107">
        <f>'15.1.1'!G33/1000</f>
        <v>107.227</v>
      </c>
      <c r="H33" s="107">
        <f>'15.1.1'!H33/1000</f>
        <v>123.824</v>
      </c>
      <c r="I33" s="107">
        <f>'15.1.1'!I33/1000</f>
        <v>139.124</v>
      </c>
      <c r="J33" s="107">
        <f>'15.1.1'!J33/1000</f>
        <v>153.80600000000001</v>
      </c>
      <c r="K33" s="107">
        <f>'15.1.1'!K33/1000</f>
        <v>170.77199999999999</v>
      </c>
      <c r="L33" s="107">
        <f>'15.1.1'!L33/1000</f>
        <v>196.892</v>
      </c>
      <c r="M33" s="107">
        <f>'15.1.1'!M33/1000</f>
        <v>211.64400000000001</v>
      </c>
      <c r="N33" s="107">
        <f>'15.1.1'!N33/1000</f>
        <v>225.15899999999999</v>
      </c>
      <c r="O33" s="107">
        <f>'15.1.1'!O33/1000</f>
        <v>233.90899999999999</v>
      </c>
      <c r="P33" s="107">
        <f>'15.1.1'!P33/1000</f>
        <v>243.18600000000001</v>
      </c>
      <c r="Q33" s="107">
        <f>'15.1.1'!Q33/1000</f>
        <v>258.28800000000001</v>
      </c>
      <c r="R33" s="107">
        <f>'15.1.1'!R33/1000</f>
        <v>261.85700000000003</v>
      </c>
    </row>
    <row r="34" spans="1:18" x14ac:dyDescent="0.25">
      <c r="A34" s="84">
        <v>33</v>
      </c>
      <c r="B34" s="84" t="s">
        <v>33</v>
      </c>
      <c r="C34" s="107">
        <f>'15.1.1'!C34/1000</f>
        <v>32.988999999999997</v>
      </c>
      <c r="D34" s="107">
        <f>'15.1.1'!D34/1000</f>
        <v>42.334000000000003</v>
      </c>
      <c r="E34" s="107">
        <f>'15.1.1'!E34/1000</f>
        <v>56.095999999999997</v>
      </c>
      <c r="F34" s="107">
        <f>'15.1.1'!F34/1000</f>
        <v>77.429000000000002</v>
      </c>
      <c r="G34" s="107">
        <f>'15.1.1'!G34/1000</f>
        <v>83.391000000000005</v>
      </c>
      <c r="H34" s="107">
        <f>'15.1.1'!H34/1000</f>
        <v>99.251000000000005</v>
      </c>
      <c r="I34" s="107">
        <f>'15.1.1'!I34/1000</f>
        <v>115.357</v>
      </c>
      <c r="J34" s="107">
        <f>'15.1.1'!J34/1000</f>
        <v>131.101</v>
      </c>
      <c r="K34" s="107">
        <f>'15.1.1'!K34/1000</f>
        <v>147.95400000000001</v>
      </c>
      <c r="L34" s="107">
        <f>'15.1.1'!L34/1000</f>
        <v>162.393</v>
      </c>
      <c r="M34" s="107">
        <f>'15.1.1'!M34/1000</f>
        <v>170.88300000000001</v>
      </c>
      <c r="N34" s="107">
        <f>'15.1.1'!N34/1000</f>
        <v>164.24100000000001</v>
      </c>
      <c r="O34" s="107">
        <f>'15.1.1'!O34/1000</f>
        <v>163.82900000000001</v>
      </c>
      <c r="P34" s="107">
        <f>'15.1.1'!P34/1000</f>
        <v>170.71</v>
      </c>
      <c r="Q34" s="107">
        <f>'15.1.1'!Q34/1000</f>
        <v>179.15299999999999</v>
      </c>
      <c r="R34" s="107">
        <f>'15.1.1'!R34/1000</f>
        <v>174.52699999999999</v>
      </c>
    </row>
    <row r="35" spans="1:18" x14ac:dyDescent="0.25">
      <c r="A35" s="84">
        <v>34</v>
      </c>
      <c r="B35" s="84" t="s">
        <v>34</v>
      </c>
      <c r="C35" s="107">
        <f>'15.1.1'!C35/1000</f>
        <v>38.381999999999998</v>
      </c>
      <c r="D35" s="107">
        <f>'15.1.1'!D35/1000</f>
        <v>44.853999999999999</v>
      </c>
      <c r="E35" s="107">
        <f>'15.1.1'!E35/1000</f>
        <v>56.499000000000002</v>
      </c>
      <c r="F35" s="107">
        <f>'15.1.1'!F35/1000</f>
        <v>71.468999999999994</v>
      </c>
      <c r="G35" s="107">
        <f>'15.1.1'!G35/1000</f>
        <v>77.734999999999999</v>
      </c>
      <c r="H35" s="107">
        <f>'15.1.1'!H35/1000</f>
        <v>87.701999999999998</v>
      </c>
      <c r="I35" s="107">
        <f>'15.1.1'!I35/1000</f>
        <v>97.8</v>
      </c>
      <c r="J35" s="107">
        <f>'15.1.1'!J35/1000</f>
        <v>107.858</v>
      </c>
      <c r="K35" s="107">
        <f>'15.1.1'!K35/1000</f>
        <v>117.07299999999999</v>
      </c>
      <c r="L35" s="107">
        <f>'15.1.1'!L35/1000</f>
        <v>126.85599999999999</v>
      </c>
      <c r="M35" s="107">
        <f>'15.1.1'!M35/1000</f>
        <v>135.94999999999999</v>
      </c>
      <c r="N35" s="107">
        <f>'15.1.1'!N35/1000</f>
        <v>136.05500000000001</v>
      </c>
      <c r="O35" s="107">
        <f>'15.1.1'!O35/1000</f>
        <v>145.18600000000001</v>
      </c>
      <c r="P35" s="107">
        <f>'15.1.1'!P35/1000</f>
        <v>154.934</v>
      </c>
      <c r="Q35" s="107">
        <f>'15.1.1'!Q35/1000</f>
        <v>166.99799999999999</v>
      </c>
      <c r="R35" s="107">
        <f>'15.1.1'!R35/1000</f>
        <v>167.446</v>
      </c>
    </row>
    <row r="36" spans="1:18" x14ac:dyDescent="0.25">
      <c r="A36" s="84">
        <v>35</v>
      </c>
      <c r="B36" s="84" t="s">
        <v>35</v>
      </c>
      <c r="C36" s="107">
        <f>'15.1.1'!C36/1000</f>
        <v>45.325000000000003</v>
      </c>
      <c r="D36" s="107">
        <f>'15.1.1'!D36/1000</f>
        <v>55.808999999999997</v>
      </c>
      <c r="E36" s="107">
        <f>'15.1.1'!E36/1000</f>
        <v>74.909000000000006</v>
      </c>
      <c r="F36" s="107">
        <f>'15.1.1'!F36/1000</f>
        <v>99.674000000000007</v>
      </c>
      <c r="G36" s="107">
        <f>'15.1.1'!G36/1000</f>
        <v>93.652000000000001</v>
      </c>
      <c r="H36" s="107">
        <f>'15.1.1'!H36/1000</f>
        <v>108.33799999999999</v>
      </c>
      <c r="I36" s="107">
        <f>'15.1.1'!I36/1000</f>
        <v>127.111</v>
      </c>
      <c r="J36" s="107">
        <f>'15.1.1'!J36/1000</f>
        <v>145.41900000000001</v>
      </c>
      <c r="K36" s="107">
        <f>'15.1.1'!K36/1000</f>
        <v>160.68299999999999</v>
      </c>
      <c r="L36" s="107">
        <f>'15.1.1'!L36/1000</f>
        <v>177.702</v>
      </c>
      <c r="M36" s="107">
        <f>'15.1.1'!M36/1000</f>
        <v>194.59899999999999</v>
      </c>
      <c r="N36" s="107">
        <f>'15.1.1'!N36/1000</f>
        <v>201.548</v>
      </c>
      <c r="O36" s="107">
        <f>'15.1.1'!O36/1000</f>
        <v>208.339</v>
      </c>
      <c r="P36" s="107">
        <f>'15.1.1'!P36/1000</f>
        <v>218.637</v>
      </c>
      <c r="Q36" s="107">
        <f>'15.1.1'!Q36/1000</f>
        <v>232.28200000000001</v>
      </c>
      <c r="R36" s="107">
        <f>'15.1.1'!R36/1000</f>
        <v>232.86</v>
      </c>
    </row>
    <row r="37" spans="1:18" x14ac:dyDescent="0.25">
      <c r="A37" s="84">
        <v>36</v>
      </c>
      <c r="B37" s="84" t="s">
        <v>36</v>
      </c>
      <c r="C37" s="107">
        <f>'15.1.1'!C37/1000</f>
        <v>0</v>
      </c>
      <c r="D37" s="107">
        <f>'15.1.1'!D37/1000</f>
        <v>0</v>
      </c>
      <c r="E37" s="107">
        <f>'15.1.1'!E37/1000</f>
        <v>0</v>
      </c>
      <c r="F37" s="107">
        <f>'15.1.1'!F37/1000</f>
        <v>0</v>
      </c>
      <c r="G37" s="107">
        <f>'15.1.1'!G37/1000</f>
        <v>0</v>
      </c>
      <c r="H37" s="107">
        <f>'15.1.1'!H37/1000</f>
        <v>0</v>
      </c>
      <c r="I37" s="107">
        <f>'15.1.1'!I37/1000</f>
        <v>0</v>
      </c>
      <c r="J37" s="107">
        <f>'15.1.1'!J37/1000</f>
        <v>0</v>
      </c>
      <c r="K37" s="107">
        <f>'15.1.1'!K37/1000</f>
        <v>0</v>
      </c>
      <c r="L37" s="107">
        <f>'15.1.1'!L37/1000</f>
        <v>90.459000000000003</v>
      </c>
      <c r="M37" s="107">
        <f>'15.1.1'!M37/1000</f>
        <v>94.36</v>
      </c>
      <c r="N37" s="107">
        <f>'15.1.1'!N37/1000</f>
        <v>145.57499999999999</v>
      </c>
      <c r="O37" s="107">
        <f>'15.1.1'!O37/1000</f>
        <v>146.26400000000001</v>
      </c>
      <c r="P37" s="107">
        <f>'15.1.1'!P37/1000</f>
        <v>149.255</v>
      </c>
      <c r="Q37" s="107">
        <f>'15.1.1'!Q37/1000</f>
        <v>154.73400000000001</v>
      </c>
      <c r="R37" s="107">
        <f>'15.1.1'!R37/1000</f>
        <v>141.38300000000001</v>
      </c>
    </row>
    <row r="38" spans="1:18" x14ac:dyDescent="0.25">
      <c r="A38" s="84">
        <v>37</v>
      </c>
      <c r="B38" s="84" t="s">
        <v>37</v>
      </c>
      <c r="C38" s="107">
        <f>'15.1.1'!C38/1000</f>
        <v>31.218</v>
      </c>
      <c r="D38" s="107">
        <f>'15.1.1'!D38/1000</f>
        <v>41.000999999999998</v>
      </c>
      <c r="E38" s="107">
        <f>'15.1.1'!E38/1000</f>
        <v>54.857999999999997</v>
      </c>
      <c r="F38" s="107">
        <f>'15.1.1'!F38/1000</f>
        <v>80.504999999999995</v>
      </c>
      <c r="G38" s="107">
        <f>'15.1.1'!G38/1000</f>
        <v>100.98399999999999</v>
      </c>
      <c r="H38" s="107">
        <f>'15.1.1'!H38/1000</f>
        <v>106.84399999999999</v>
      </c>
      <c r="I38" s="107">
        <f>'15.1.1'!I38/1000</f>
        <v>122.57899999999999</v>
      </c>
      <c r="J38" s="107">
        <f>'15.1.1'!J38/1000</f>
        <v>135.86000000000001</v>
      </c>
      <c r="K38" s="107">
        <f>'15.1.1'!K38/1000</f>
        <v>152.84100000000001</v>
      </c>
      <c r="L38" s="107">
        <f>'15.1.1'!L38/1000</f>
        <v>171.054</v>
      </c>
      <c r="M38" s="107">
        <f>'15.1.1'!M38/1000</f>
        <v>205.89</v>
      </c>
      <c r="N38" s="107">
        <f>'15.1.1'!N38/1000</f>
        <v>217.69399999999999</v>
      </c>
      <c r="O38" s="107">
        <f>'15.1.1'!O38/1000</f>
        <v>203.36099999999999</v>
      </c>
      <c r="P38" s="107">
        <f>'15.1.1'!P38/1000</f>
        <v>183.87799999999999</v>
      </c>
      <c r="Q38" s="107">
        <f>'15.1.1'!Q38/1000</f>
        <v>191.48</v>
      </c>
      <c r="R38" s="107">
        <f>'15.1.1'!R38/1000</f>
        <v>188.32499999999999</v>
      </c>
    </row>
    <row r="39" spans="1:18" x14ac:dyDescent="0.25">
      <c r="A39" s="84">
        <v>38</v>
      </c>
      <c r="B39" s="84" t="s">
        <v>38</v>
      </c>
      <c r="C39" s="107">
        <f>'15.1.1'!C39/1000</f>
        <v>0</v>
      </c>
      <c r="D39" s="107">
        <f>'15.1.1'!D39/1000</f>
        <v>0</v>
      </c>
      <c r="E39" s="107">
        <f>'15.1.1'!E39/1000</f>
        <v>0</v>
      </c>
      <c r="F39" s="107">
        <f>'15.1.1'!F39/1000</f>
        <v>0</v>
      </c>
      <c r="G39" s="107">
        <f>'15.1.1'!G39/1000</f>
        <v>0</v>
      </c>
      <c r="H39" s="107">
        <f>'15.1.1'!H39/1000</f>
        <v>0</v>
      </c>
      <c r="I39" s="107">
        <f>'15.1.1'!I39/1000</f>
        <v>0</v>
      </c>
      <c r="J39" s="107">
        <f>'15.1.1'!J39/1000</f>
        <v>0</v>
      </c>
      <c r="K39" s="107">
        <f>'15.1.1'!K39/1000</f>
        <v>36.954999999999998</v>
      </c>
      <c r="L39" s="107">
        <f>'15.1.1'!L39/1000</f>
        <v>41.805</v>
      </c>
      <c r="M39" s="107">
        <f>'15.1.1'!M39/1000</f>
        <v>46.597999999999999</v>
      </c>
      <c r="N39" s="107">
        <f>'15.1.1'!N39/1000</f>
        <v>45.965000000000003</v>
      </c>
      <c r="O39" s="107">
        <f>'15.1.1'!O39/1000</f>
        <v>46.463999999999999</v>
      </c>
      <c r="P39" s="107">
        <f>'15.1.1'!P39/1000</f>
        <v>51.027000000000001</v>
      </c>
      <c r="Q39" s="107">
        <f>'15.1.1'!Q39/1000</f>
        <v>51.701999999999998</v>
      </c>
      <c r="R39" s="107">
        <f>'15.1.1'!R39/1000</f>
        <v>50.713000000000001</v>
      </c>
    </row>
    <row r="40" spans="1:18" x14ac:dyDescent="0.25">
      <c r="A40" s="84">
        <v>39</v>
      </c>
      <c r="B40" s="84" t="s">
        <v>42</v>
      </c>
      <c r="C40" s="107">
        <f>'15.1.1'!C40/1000</f>
        <v>26.17</v>
      </c>
      <c r="D40" s="107">
        <f>'15.1.1'!D40/1000</f>
        <v>31.815999999999999</v>
      </c>
      <c r="E40" s="107">
        <f>'15.1.1'!E40/1000</f>
        <v>39.884</v>
      </c>
      <c r="F40" s="107">
        <f>'15.1.1'!F40/1000</f>
        <v>53.783999999999999</v>
      </c>
      <c r="G40" s="107">
        <f>'15.1.1'!G40/1000</f>
        <v>61.472999999999999</v>
      </c>
      <c r="H40" s="107">
        <f>'15.1.1'!H40/1000</f>
        <v>73.168999999999997</v>
      </c>
      <c r="I40" s="107">
        <f>'15.1.1'!I40/1000</f>
        <v>85.069000000000003</v>
      </c>
      <c r="J40" s="107">
        <f>'15.1.1'!J40/1000</f>
        <v>93.771000000000001</v>
      </c>
      <c r="K40" s="107">
        <f>'15.1.1'!K40/1000</f>
        <v>104.645</v>
      </c>
      <c r="L40" s="107">
        <f>'15.1.1'!L40/1000</f>
        <v>116.477</v>
      </c>
      <c r="M40" s="107">
        <f>'15.1.1'!M40/1000</f>
        <v>131.108</v>
      </c>
      <c r="N40" s="107">
        <f>'15.1.1'!N40/1000</f>
        <v>136.994</v>
      </c>
      <c r="O40" s="107">
        <f>'15.1.1'!O40/1000</f>
        <v>143.28899999999999</v>
      </c>
      <c r="P40" s="107">
        <f>'15.1.1'!P40/1000</f>
        <v>147.24600000000001</v>
      </c>
      <c r="Q40" s="107">
        <f>'15.1.1'!Q40/1000</f>
        <v>155.18199999999999</v>
      </c>
      <c r="R40" s="107">
        <f>'15.1.1'!R40/1000</f>
        <v>154.476</v>
      </c>
    </row>
    <row r="41" spans="1:18" x14ac:dyDescent="0.25">
      <c r="A41" s="84">
        <v>40</v>
      </c>
      <c r="B41" s="84" t="s">
        <v>39</v>
      </c>
      <c r="C41" s="107">
        <f>'15.1.1'!C41/1000</f>
        <v>28.891999999999999</v>
      </c>
      <c r="D41" s="107">
        <f>'15.1.1'!D41/1000</f>
        <v>36.530999999999999</v>
      </c>
      <c r="E41" s="107">
        <f>'15.1.1'!E41/1000</f>
        <v>42.154000000000003</v>
      </c>
      <c r="F41" s="107">
        <f>'15.1.1'!F41/1000</f>
        <v>52.831000000000003</v>
      </c>
      <c r="G41" s="107">
        <f>'15.1.1'!G41/1000</f>
        <v>59.250999999999998</v>
      </c>
      <c r="H41" s="107">
        <f>'15.1.1'!H41/1000</f>
        <v>57.765000000000001</v>
      </c>
      <c r="I41" s="107">
        <f>'15.1.1'!I41/1000</f>
        <v>65.195999999999998</v>
      </c>
      <c r="J41" s="107">
        <f>'15.1.1'!J41/1000</f>
        <v>70.974000000000004</v>
      </c>
      <c r="K41" s="107">
        <f>'15.1.1'!K41/1000</f>
        <v>73.742000000000004</v>
      </c>
      <c r="L41" s="107">
        <f>'15.1.1'!L41/1000</f>
        <v>78.421999999999997</v>
      </c>
      <c r="M41" s="107">
        <f>'15.1.1'!M41/1000</f>
        <v>74.891000000000005</v>
      </c>
      <c r="N41" s="107">
        <f>'15.1.1'!N41/1000</f>
        <v>76.432000000000002</v>
      </c>
      <c r="O41" s="107">
        <f>'15.1.1'!O41/1000</f>
        <v>79.498000000000005</v>
      </c>
      <c r="P41" s="107">
        <f>'15.1.1'!P41/1000</f>
        <v>82.338999999999999</v>
      </c>
      <c r="Q41" s="107">
        <f>'15.1.1'!Q41/1000</f>
        <v>86.605000000000004</v>
      </c>
      <c r="R41" s="107">
        <f>'15.1.1'!R41/1000</f>
        <v>83.515000000000001</v>
      </c>
    </row>
    <row r="42" spans="1:18" x14ac:dyDescent="0.25">
      <c r="A42" s="84">
        <v>41</v>
      </c>
      <c r="B42" s="84" t="s">
        <v>43</v>
      </c>
      <c r="C42" s="107">
        <f>'15.1.1'!C42/1000</f>
        <v>24.317</v>
      </c>
      <c r="D42" s="107">
        <f>'15.1.1'!D42/1000</f>
        <v>32.902000000000001</v>
      </c>
      <c r="E42" s="107">
        <f>'15.1.1'!E42/1000</f>
        <v>41.08</v>
      </c>
      <c r="F42" s="107">
        <f>'15.1.1'!F42/1000</f>
        <v>53.281999999999996</v>
      </c>
      <c r="G42" s="107">
        <f>'15.1.1'!G42/1000</f>
        <v>63.722000000000001</v>
      </c>
      <c r="H42" s="107">
        <f>'15.1.1'!H42/1000</f>
        <v>76.292000000000002</v>
      </c>
      <c r="I42" s="107">
        <f>'15.1.1'!I42/1000</f>
        <v>94.777000000000001</v>
      </c>
      <c r="J42" s="107">
        <f>'15.1.1'!J42/1000</f>
        <v>108.101</v>
      </c>
      <c r="K42" s="107">
        <f>'15.1.1'!K42/1000</f>
        <v>119.453</v>
      </c>
      <c r="L42" s="107">
        <f>'15.1.1'!L42/1000</f>
        <v>131.84</v>
      </c>
      <c r="M42" s="107">
        <f>'15.1.1'!M42/1000</f>
        <v>144.655</v>
      </c>
      <c r="N42" s="107">
        <f>'15.1.1'!N42/1000</f>
        <v>149.749</v>
      </c>
      <c r="O42" s="107">
        <f>'15.1.1'!O42/1000</f>
        <v>156.18600000000001</v>
      </c>
      <c r="P42" s="107">
        <f>'15.1.1'!P42/1000</f>
        <v>163.733</v>
      </c>
      <c r="Q42" s="107">
        <f>'15.1.1'!Q42/1000</f>
        <v>170.755</v>
      </c>
      <c r="R42" s="107">
        <f>'15.1.1'!R42/1000</f>
        <v>163.46799999999999</v>
      </c>
    </row>
    <row r="43" spans="1:18" x14ac:dyDescent="0.25">
      <c r="A43" s="84">
        <v>42</v>
      </c>
      <c r="B43" s="84" t="s">
        <v>40</v>
      </c>
      <c r="C43" s="107">
        <f>'15.1.1'!C43/1000</f>
        <v>0</v>
      </c>
      <c r="D43" s="107">
        <f>'15.1.1'!D43/1000</f>
        <v>0</v>
      </c>
      <c r="E43" s="107">
        <f>'15.1.1'!E43/1000</f>
        <v>0</v>
      </c>
      <c r="F43" s="107">
        <f>'15.1.1'!F43/1000</f>
        <v>0</v>
      </c>
      <c r="G43" s="107">
        <f>'15.1.1'!G43/1000</f>
        <v>0</v>
      </c>
      <c r="H43" s="107">
        <f>'15.1.1'!H43/1000</f>
        <v>43.981999999999999</v>
      </c>
      <c r="I43" s="107">
        <f>'15.1.1'!I43/1000</f>
        <v>56.713000000000001</v>
      </c>
      <c r="J43" s="107">
        <f>'15.1.1'!J43/1000</f>
        <v>69.224999999999994</v>
      </c>
      <c r="K43" s="107">
        <f>'15.1.1'!K43/1000</f>
        <v>77.087999999999994</v>
      </c>
      <c r="L43" s="107">
        <f>'15.1.1'!L43/1000</f>
        <v>88.31</v>
      </c>
      <c r="M43" s="107">
        <f>'15.1.1'!M43/1000</f>
        <v>106.136</v>
      </c>
      <c r="N43" s="107">
        <f>'15.1.1'!N43/1000</f>
        <v>108.53400000000001</v>
      </c>
      <c r="O43" s="107">
        <f>'15.1.1'!O43/1000</f>
        <v>111.074</v>
      </c>
      <c r="P43" s="107">
        <f>'15.1.1'!P43/1000</f>
        <v>115.78100000000001</v>
      </c>
      <c r="Q43" s="107">
        <f>'15.1.1'!Q43/1000</f>
        <v>120.05800000000001</v>
      </c>
      <c r="R43" s="107">
        <f>'15.1.1'!R43/1000</f>
        <v>123.955</v>
      </c>
    </row>
    <row r="44" spans="1:18" x14ac:dyDescent="0.25">
      <c r="A44" s="84">
        <v>43</v>
      </c>
      <c r="B44" s="84" t="s">
        <v>41</v>
      </c>
      <c r="C44" s="107">
        <f>'15.1.1'!C44/1000</f>
        <v>37.351999999999997</v>
      </c>
      <c r="D44" s="107">
        <f>'15.1.1'!D44/1000</f>
        <v>45.79</v>
      </c>
      <c r="E44" s="107">
        <f>'15.1.1'!E44/1000</f>
        <v>58.713999999999999</v>
      </c>
      <c r="F44" s="107">
        <f>'15.1.1'!F44/1000</f>
        <v>75.218999999999994</v>
      </c>
      <c r="G44" s="107">
        <f>'15.1.1'!G44/1000</f>
        <v>84.510999999999996</v>
      </c>
      <c r="H44" s="107">
        <f>'15.1.1'!H44/1000</f>
        <v>98.542000000000002</v>
      </c>
      <c r="I44" s="107">
        <f>'15.1.1'!I44/1000</f>
        <v>119.286</v>
      </c>
      <c r="J44" s="107">
        <f>'15.1.1'!J44/1000</f>
        <v>142.20500000000001</v>
      </c>
      <c r="K44" s="107">
        <f>'15.1.1'!K44/1000</f>
        <v>153.77199999999999</v>
      </c>
      <c r="L44" s="107">
        <f>'15.1.1'!L44/1000</f>
        <v>165.22800000000001</v>
      </c>
      <c r="M44" s="107">
        <f>'15.1.1'!M44/1000</f>
        <v>166.62200000000001</v>
      </c>
      <c r="N44" s="107">
        <f>'15.1.1'!N44/1000</f>
        <v>158.762</v>
      </c>
      <c r="O44" s="107">
        <f>'15.1.1'!O44/1000</f>
        <v>170.83699999999999</v>
      </c>
      <c r="P44" s="107">
        <f>'15.1.1'!P44/1000</f>
        <v>182.28399999999999</v>
      </c>
      <c r="Q44" s="107">
        <f>'15.1.1'!Q44/1000</f>
        <v>191.60599999999999</v>
      </c>
      <c r="R44" s="107">
        <f>'15.1.1'!R44/1000</f>
        <v>185.994</v>
      </c>
    </row>
    <row r="45" spans="1:18" x14ac:dyDescent="0.25">
      <c r="A45" s="84">
        <v>44</v>
      </c>
      <c r="B45" s="84" t="s">
        <v>44</v>
      </c>
      <c r="C45" s="107">
        <f>'15.1.1'!C45/1000</f>
        <v>43.57</v>
      </c>
      <c r="D45" s="107">
        <f>'15.1.1'!D45/1000</f>
        <v>58.938000000000002</v>
      </c>
      <c r="E45" s="107">
        <f>'15.1.1'!E45/1000</f>
        <v>79.819999999999993</v>
      </c>
      <c r="F45" s="107">
        <f>'15.1.1'!F45/1000</f>
        <v>105.77</v>
      </c>
      <c r="G45" s="107">
        <f>'15.1.1'!G45/1000</f>
        <v>112.996</v>
      </c>
      <c r="H45" s="107">
        <f>'15.1.1'!H45/1000</f>
        <v>125.821</v>
      </c>
      <c r="I45" s="107">
        <f>'15.1.1'!I45/1000</f>
        <v>142.07599999999999</v>
      </c>
      <c r="J45" s="107">
        <f>'15.1.1'!J45/1000</f>
        <v>156.04400000000001</v>
      </c>
      <c r="K45" s="107">
        <f>'15.1.1'!K45/1000</f>
        <v>177.55500000000001</v>
      </c>
      <c r="L45" s="107">
        <f>'15.1.1'!L45/1000</f>
        <v>191.935</v>
      </c>
      <c r="M45" s="107">
        <f>'15.1.1'!M45/1000</f>
        <v>192.72</v>
      </c>
      <c r="N45" s="107">
        <f>'15.1.1'!N45/1000</f>
        <v>197.4</v>
      </c>
      <c r="O45" s="107">
        <f>'15.1.1'!O45/1000</f>
        <v>206.91300000000001</v>
      </c>
      <c r="P45" s="107">
        <f>'15.1.1'!P45/1000</f>
        <v>216.774</v>
      </c>
      <c r="Q45" s="107">
        <f>'15.1.1'!Q45/1000</f>
        <v>230.315</v>
      </c>
      <c r="R45" s="107">
        <f>'15.1.1'!R45/1000</f>
        <v>226.691</v>
      </c>
    </row>
    <row r="46" spans="1:18" x14ac:dyDescent="0.25">
      <c r="A46" s="84">
        <v>45</v>
      </c>
      <c r="B46" s="84" t="s">
        <v>45</v>
      </c>
      <c r="C46" s="107">
        <f>'15.1.1'!C46/1000</f>
        <v>19.536000000000001</v>
      </c>
      <c r="D46" s="107">
        <f>'15.1.1'!D46/1000</f>
        <v>28.634</v>
      </c>
      <c r="E46" s="107">
        <f>'15.1.1'!E46/1000</f>
        <v>37.348999999999997</v>
      </c>
      <c r="F46" s="107">
        <f>'15.1.1'!F46/1000</f>
        <v>51.576000000000001</v>
      </c>
      <c r="G46" s="107">
        <f>'15.1.1'!G46/1000</f>
        <v>57.104999999999997</v>
      </c>
      <c r="H46" s="107">
        <f>'15.1.1'!H46/1000</f>
        <v>62.585999999999999</v>
      </c>
      <c r="I46" s="107">
        <f>'15.1.1'!I46/1000</f>
        <v>72.457999999999998</v>
      </c>
      <c r="J46" s="107">
        <f>'15.1.1'!J46/1000</f>
        <v>81.094999999999999</v>
      </c>
      <c r="K46" s="107">
        <f>'15.1.1'!K46/1000</f>
        <v>92.5</v>
      </c>
      <c r="L46" s="107">
        <f>'15.1.1'!L46/1000</f>
        <v>106.277</v>
      </c>
      <c r="M46" s="107">
        <f>'15.1.1'!M46/1000</f>
        <v>111.526</v>
      </c>
      <c r="N46" s="107">
        <f>'15.1.1'!N46/1000</f>
        <v>114.54900000000001</v>
      </c>
      <c r="O46" s="107">
        <f>'15.1.1'!O46/1000</f>
        <v>119.956</v>
      </c>
      <c r="P46" s="107">
        <f>'15.1.1'!P46/1000</f>
        <v>127.087</v>
      </c>
      <c r="Q46" s="107">
        <f>'15.1.1'!Q46/1000</f>
        <v>133.49299999999999</v>
      </c>
      <c r="R46" s="107">
        <f>'15.1.1'!R46/1000</f>
        <v>134.69200000000001</v>
      </c>
    </row>
    <row r="47" spans="1:18" x14ac:dyDescent="0.25">
      <c r="A47" s="84">
        <v>46</v>
      </c>
      <c r="B47" s="84" t="s">
        <v>46</v>
      </c>
      <c r="C47" s="107">
        <f>'15.1.1'!C47/1000</f>
        <v>21.603000000000002</v>
      </c>
      <c r="D47" s="107">
        <f>'15.1.1'!D47/1000</f>
        <v>26.361000000000001</v>
      </c>
      <c r="E47" s="107">
        <f>'15.1.1'!E47/1000</f>
        <v>34.570999999999998</v>
      </c>
      <c r="F47" s="107">
        <f>'15.1.1'!F47/1000</f>
        <v>47.231999999999999</v>
      </c>
      <c r="G47" s="107">
        <f>'15.1.1'!G47/1000</f>
        <v>53.161999999999999</v>
      </c>
      <c r="H47" s="107">
        <f>'15.1.1'!H47/1000</f>
        <v>57.838999999999999</v>
      </c>
      <c r="I47" s="107">
        <f>'15.1.1'!I47/1000</f>
        <v>63.899000000000001</v>
      </c>
      <c r="J47" s="107">
        <f>'15.1.1'!J47/1000</f>
        <v>70.185000000000002</v>
      </c>
      <c r="K47" s="107">
        <f>'15.1.1'!K47/1000</f>
        <v>77.284000000000006</v>
      </c>
      <c r="L47" s="107">
        <f>'15.1.1'!L47/1000</f>
        <v>89.808000000000007</v>
      </c>
      <c r="M47" s="107">
        <f>'15.1.1'!M47/1000</f>
        <v>96.376999999999995</v>
      </c>
      <c r="N47" s="107">
        <f>'15.1.1'!N47/1000</f>
        <v>101.59</v>
      </c>
      <c r="O47" s="107">
        <f>'15.1.1'!O47/1000</f>
        <v>108.32599999999999</v>
      </c>
      <c r="P47" s="107">
        <f>'15.1.1'!P47/1000</f>
        <v>114.694</v>
      </c>
      <c r="Q47" s="107">
        <f>'15.1.1'!Q47/1000</f>
        <v>123.273</v>
      </c>
      <c r="R47" s="107">
        <f>'15.1.1'!R47/1000</f>
        <v>127.327</v>
      </c>
    </row>
    <row r="48" spans="1:18" x14ac:dyDescent="0.25">
      <c r="A48" s="84">
        <v>47</v>
      </c>
      <c r="B48" s="84" t="s">
        <v>47</v>
      </c>
      <c r="C48" s="107">
        <f>'15.1.1'!C48/1000</f>
        <v>42.878999999999998</v>
      </c>
      <c r="D48" s="107">
        <f>'15.1.1'!D48/1000</f>
        <v>56.884999999999998</v>
      </c>
      <c r="E48" s="107">
        <f>'15.1.1'!E48/1000</f>
        <v>73.494</v>
      </c>
      <c r="F48" s="107">
        <f>'15.1.1'!F48/1000</f>
        <v>98.069000000000003</v>
      </c>
      <c r="G48" s="107">
        <f>'15.1.1'!G48/1000</f>
        <v>104.386</v>
      </c>
      <c r="H48" s="107">
        <f>'15.1.1'!H48/1000</f>
        <v>120.036</v>
      </c>
      <c r="I48" s="107">
        <f>'15.1.1'!I48/1000</f>
        <v>140.93</v>
      </c>
      <c r="J48" s="107">
        <f>'15.1.1'!J48/1000</f>
        <v>170.67</v>
      </c>
      <c r="K48" s="107">
        <f>'15.1.1'!K48/1000</f>
        <v>186.14699999999999</v>
      </c>
      <c r="L48" s="107">
        <f>'15.1.1'!L48/1000</f>
        <v>203.03800000000001</v>
      </c>
      <c r="M48" s="107">
        <f>'15.1.1'!M48/1000</f>
        <v>200.999</v>
      </c>
      <c r="N48" s="107">
        <f>'15.1.1'!N48/1000</f>
        <v>206.76900000000001</v>
      </c>
      <c r="O48" s="107">
        <f>'15.1.1'!O48/1000</f>
        <v>216.965</v>
      </c>
      <c r="P48" s="107">
        <f>'15.1.1'!P48/1000</f>
        <v>235.33500000000001</v>
      </c>
      <c r="Q48" s="107">
        <f>'15.1.1'!Q48/1000</f>
        <v>244.232</v>
      </c>
      <c r="R48" s="107">
        <f>'15.1.1'!R48/1000</f>
        <v>238.322</v>
      </c>
    </row>
    <row r="49" spans="1:18" x14ac:dyDescent="0.25">
      <c r="A49" s="84">
        <v>48</v>
      </c>
      <c r="B49" s="84" t="s">
        <v>48</v>
      </c>
      <c r="C49" s="107">
        <f>'15.1.1'!C49/1000</f>
        <v>25.241</v>
      </c>
      <c r="D49" s="107">
        <f>'15.1.1'!D49/1000</f>
        <v>32.273000000000003</v>
      </c>
      <c r="E49" s="107">
        <f>'15.1.1'!E49/1000</f>
        <v>42.923999999999999</v>
      </c>
      <c r="F49" s="107">
        <f>'15.1.1'!F49/1000</f>
        <v>60.354999999999997</v>
      </c>
      <c r="G49" s="107">
        <f>'15.1.1'!G49/1000</f>
        <v>64.227000000000004</v>
      </c>
      <c r="H49" s="107">
        <f>'15.1.1'!H49/1000</f>
        <v>72.387</v>
      </c>
      <c r="I49" s="107">
        <f>'15.1.1'!I49/1000</f>
        <v>92.161000000000001</v>
      </c>
      <c r="J49" s="107">
        <f>'15.1.1'!J49/1000</f>
        <v>103.38800000000001</v>
      </c>
      <c r="K49" s="107">
        <f>'15.1.1'!K49/1000</f>
        <v>116.96899999999999</v>
      </c>
      <c r="L49" s="107">
        <f>'15.1.1'!L49/1000</f>
        <v>129.66</v>
      </c>
      <c r="M49" s="107">
        <f>'15.1.1'!M49/1000</f>
        <v>136.441</v>
      </c>
      <c r="N49" s="107">
        <f>'15.1.1'!N49/1000</f>
        <v>139.15100000000001</v>
      </c>
      <c r="O49" s="107">
        <f>'15.1.1'!O49/1000</f>
        <v>146.18299999999999</v>
      </c>
      <c r="P49" s="107">
        <f>'15.1.1'!P49/1000</f>
        <v>154.63999999999999</v>
      </c>
      <c r="Q49" s="107">
        <f>'15.1.1'!Q49/1000</f>
        <v>161.54400000000001</v>
      </c>
      <c r="R49" s="107">
        <f>'15.1.1'!R49/1000</f>
        <v>160.08500000000001</v>
      </c>
    </row>
    <row r="50" spans="1:18" x14ac:dyDescent="0.25">
      <c r="A50" s="84">
        <v>49</v>
      </c>
      <c r="B50" s="84" t="s">
        <v>49</v>
      </c>
      <c r="C50" s="107">
        <f>'15.1.1'!C50/1000</f>
        <v>23.001999999999999</v>
      </c>
      <c r="D50" s="107">
        <f>'15.1.1'!D50/1000</f>
        <v>28.864000000000001</v>
      </c>
      <c r="E50" s="107">
        <f>'15.1.1'!E50/1000</f>
        <v>37.646000000000001</v>
      </c>
      <c r="F50" s="107">
        <f>'15.1.1'!F50/1000</f>
        <v>52.872</v>
      </c>
      <c r="G50" s="107">
        <f>'15.1.1'!G50/1000</f>
        <v>56.767000000000003</v>
      </c>
      <c r="H50" s="107">
        <f>'15.1.1'!H50/1000</f>
        <v>65.691000000000003</v>
      </c>
      <c r="I50" s="107">
        <f>'15.1.1'!I50/1000</f>
        <v>77.712999999999994</v>
      </c>
      <c r="J50" s="107">
        <f>'15.1.1'!J50/1000</f>
        <v>87.331000000000003</v>
      </c>
      <c r="K50" s="107">
        <f>'15.1.1'!K50/1000</f>
        <v>96.534999999999997</v>
      </c>
      <c r="L50" s="107">
        <f>'15.1.1'!L50/1000</f>
        <v>106.444</v>
      </c>
      <c r="M50" s="107">
        <f>'15.1.1'!M50/1000</f>
        <v>110.509</v>
      </c>
      <c r="N50" s="107">
        <f>'15.1.1'!N50/1000</f>
        <v>110.95399999999999</v>
      </c>
      <c r="O50" s="107">
        <f>'15.1.1'!O50/1000</f>
        <v>115.27200000000001</v>
      </c>
      <c r="P50" s="107">
        <f>'15.1.1'!P50/1000</f>
        <v>124.48</v>
      </c>
      <c r="Q50" s="107">
        <f>'15.1.1'!Q50/1000</f>
        <v>136.291</v>
      </c>
      <c r="R50" s="107">
        <f>'15.1.1'!R50/1000</f>
        <v>141.56399999999999</v>
      </c>
    </row>
    <row r="51" spans="1:18" x14ac:dyDescent="0.25">
      <c r="A51" s="84">
        <v>50</v>
      </c>
      <c r="B51" s="84" t="s">
        <v>50</v>
      </c>
      <c r="C51" s="107">
        <f>'15.1.1'!C51/1000</f>
        <v>47.204000000000001</v>
      </c>
      <c r="D51" s="107">
        <f>'15.1.1'!D51/1000</f>
        <v>64.984999999999999</v>
      </c>
      <c r="E51" s="107">
        <f>'15.1.1'!E51/1000</f>
        <v>80.896000000000001</v>
      </c>
      <c r="F51" s="107">
        <f>'15.1.1'!F51/1000</f>
        <v>102.553</v>
      </c>
      <c r="G51" s="107">
        <f>'15.1.1'!G51/1000</f>
        <v>107.289</v>
      </c>
      <c r="H51" s="107">
        <f>'15.1.1'!H51/1000</f>
        <v>119.864</v>
      </c>
      <c r="I51" s="107">
        <f>'15.1.1'!I51/1000</f>
        <v>138.994</v>
      </c>
      <c r="J51" s="107">
        <f>'15.1.1'!J51/1000</f>
        <v>152.58699999999999</v>
      </c>
      <c r="K51" s="107">
        <f>'15.1.1'!K51/1000</f>
        <v>172.00800000000001</v>
      </c>
      <c r="L51" s="107">
        <f>'15.1.1'!L51/1000</f>
        <v>184.84899999999999</v>
      </c>
      <c r="M51" s="107">
        <f>'15.1.1'!M51/1000</f>
        <v>181.37299999999999</v>
      </c>
      <c r="N51" s="107">
        <f>'15.1.1'!N51/1000</f>
        <v>183.39699999999999</v>
      </c>
      <c r="O51" s="107">
        <f>'15.1.1'!O51/1000</f>
        <v>191.17500000000001</v>
      </c>
      <c r="P51" s="107">
        <f>'15.1.1'!P51/1000</f>
        <v>205.33500000000001</v>
      </c>
      <c r="Q51" s="107">
        <f>'15.1.1'!Q51/1000</f>
        <v>216.51599999999999</v>
      </c>
      <c r="R51" s="107">
        <f>'15.1.1'!R51/1000</f>
        <v>214.16200000000001</v>
      </c>
    </row>
    <row r="52" spans="1:18" x14ac:dyDescent="0.25">
      <c r="A52" s="84">
        <v>51</v>
      </c>
      <c r="B52" s="84" t="s">
        <v>51</v>
      </c>
      <c r="C52" s="107">
        <f>'15.1.1'!C52/1000</f>
        <v>25.021999999999998</v>
      </c>
      <c r="D52" s="107">
        <f>'15.1.1'!D52/1000</f>
        <v>30.614999999999998</v>
      </c>
      <c r="E52" s="107">
        <f>'15.1.1'!E52/1000</f>
        <v>40.58</v>
      </c>
      <c r="F52" s="107">
        <f>'15.1.1'!F52/1000</f>
        <v>55.526000000000003</v>
      </c>
      <c r="G52" s="107">
        <f>'15.1.1'!G52/1000</f>
        <v>56.874000000000002</v>
      </c>
      <c r="H52" s="107">
        <f>'15.1.1'!H52/1000</f>
        <v>71.155000000000001</v>
      </c>
      <c r="I52" s="107">
        <f>'15.1.1'!I52/1000</f>
        <v>87.462999999999994</v>
      </c>
      <c r="J52" s="107">
        <f>'15.1.1'!J52/1000</f>
        <v>99.19</v>
      </c>
      <c r="K52" s="107">
        <f>'15.1.1'!K52/1000</f>
        <v>113.482</v>
      </c>
      <c r="L52" s="107">
        <f>'15.1.1'!L52/1000</f>
        <v>126.23099999999999</v>
      </c>
      <c r="M52" s="107">
        <f>'15.1.1'!M52/1000</f>
        <v>134.42599999999999</v>
      </c>
      <c r="N52" s="107">
        <f>'15.1.1'!N52/1000</f>
        <v>136.87</v>
      </c>
      <c r="O52" s="107">
        <f>'15.1.1'!O52/1000</f>
        <v>143.191</v>
      </c>
      <c r="P52" s="107">
        <f>'15.1.1'!P52/1000</f>
        <v>153.012</v>
      </c>
      <c r="Q52" s="107">
        <f>'15.1.1'!Q52/1000</f>
        <v>161.37</v>
      </c>
      <c r="R52" s="107">
        <f>'15.1.1'!R52/1000</f>
        <v>163.22399999999999</v>
      </c>
    </row>
    <row r="53" spans="1:18" x14ac:dyDescent="0.25">
      <c r="A53" s="84">
        <v>52</v>
      </c>
      <c r="B53" s="84" t="s">
        <v>52</v>
      </c>
      <c r="C53" s="107">
        <f>'15.1.1'!C53/1000</f>
        <v>40.825000000000003</v>
      </c>
      <c r="D53" s="107">
        <f>'15.1.1'!D53/1000</f>
        <v>4.0825E-2</v>
      </c>
      <c r="E53" s="107">
        <f>'15.1.1'!E53/1000</f>
        <v>4.0825E-2</v>
      </c>
      <c r="F53" s="107">
        <f>'15.1.1'!F53/1000</f>
        <v>4.0825E-2</v>
      </c>
      <c r="G53" s="107">
        <f>'15.1.1'!G53/1000</f>
        <v>4.0825E-2</v>
      </c>
      <c r="H53" s="107">
        <f>'15.1.1'!H53/1000</f>
        <v>4.0825E-2</v>
      </c>
      <c r="I53" s="107">
        <f>'15.1.1'!I53/1000</f>
        <v>4.0825E-2</v>
      </c>
      <c r="J53" s="107">
        <f>'15.1.1'!J53/1000</f>
        <v>4.0825E-2</v>
      </c>
      <c r="K53" s="107">
        <f>'15.1.1'!K53/1000</f>
        <v>4.0825E-2</v>
      </c>
      <c r="L53" s="107">
        <f>'15.1.1'!L53/1000</f>
        <v>40.825000000000003</v>
      </c>
      <c r="M53" s="107">
        <f>'15.1.1'!M53/1000</f>
        <v>4.0825E-2</v>
      </c>
      <c r="N53" s="107">
        <f>'15.1.1'!N53/1000</f>
        <v>4.0825E-2</v>
      </c>
      <c r="O53" s="107">
        <f>'15.1.1'!O53/1000</f>
        <v>4.0825E-2</v>
      </c>
      <c r="P53" s="107">
        <f>'15.1.1'!P53/1000</f>
        <v>229.16200000000001</v>
      </c>
      <c r="Q53" s="107">
        <f>'15.1.1'!Q53/1000</f>
        <v>243.303</v>
      </c>
      <c r="R53" s="107">
        <f>'15.1.1'!R53/1000</f>
        <v>237.00800000000001</v>
      </c>
    </row>
    <row r="54" spans="1:18" x14ac:dyDescent="0.25">
      <c r="A54" s="84">
        <v>53</v>
      </c>
      <c r="B54" s="84" t="s">
        <v>53</v>
      </c>
      <c r="C54" s="107">
        <f>'15.1.1'!C54/1000</f>
        <v>25.376000000000001</v>
      </c>
      <c r="D54" s="107">
        <f>'15.1.1'!D54/1000</f>
        <v>32.597000000000001</v>
      </c>
      <c r="E54" s="107">
        <f>'15.1.1'!E54/1000</f>
        <v>42.533000000000001</v>
      </c>
      <c r="F54" s="107">
        <f>'15.1.1'!F54/1000</f>
        <v>59.548000000000002</v>
      </c>
      <c r="G54" s="107">
        <f>'15.1.1'!G54/1000</f>
        <v>64.611000000000004</v>
      </c>
      <c r="H54" s="107">
        <f>'15.1.1'!H54/1000</f>
        <v>77.543999999999997</v>
      </c>
      <c r="I54" s="107">
        <f>'15.1.1'!I54/1000</f>
        <v>92.277000000000001</v>
      </c>
      <c r="J54" s="107">
        <f>'15.1.1'!J54/1000</f>
        <v>105.992</v>
      </c>
      <c r="K54" s="107">
        <f>'15.1.1'!K54/1000</f>
        <v>119.649</v>
      </c>
      <c r="L54" s="107">
        <f>'15.1.1'!L54/1000</f>
        <v>134.482</v>
      </c>
      <c r="M54" s="107">
        <f>'15.1.1'!M54/1000</f>
        <v>139.328</v>
      </c>
      <c r="N54" s="107">
        <f>'15.1.1'!N54/1000</f>
        <v>138.012</v>
      </c>
      <c r="O54" s="107">
        <f>'15.1.1'!O54/1000</f>
        <v>148.21</v>
      </c>
      <c r="P54" s="107">
        <f>'15.1.1'!P54/1000</f>
        <v>156.28899999999999</v>
      </c>
      <c r="Q54" s="107">
        <f>'15.1.1'!Q54/1000</f>
        <v>167.197</v>
      </c>
      <c r="R54" s="107">
        <f>'15.1.1'!R54/1000</f>
        <v>169.416</v>
      </c>
    </row>
    <row r="55" spans="1:18" x14ac:dyDescent="0.25">
      <c r="A55" s="84">
        <v>54</v>
      </c>
      <c r="B55" s="84" t="s">
        <v>54</v>
      </c>
      <c r="C55" s="107">
        <f>'15.1.1'!C55/1000</f>
        <v>28.44</v>
      </c>
      <c r="D55" s="107">
        <f>'15.1.1'!D55/1000</f>
        <v>33.890999999999998</v>
      </c>
      <c r="E55" s="107">
        <f>'15.1.1'!E55/1000</f>
        <v>53.009</v>
      </c>
      <c r="F55" s="107">
        <f>'15.1.1'!F55/1000</f>
        <v>67.978999999999999</v>
      </c>
      <c r="G55" s="107">
        <f>'15.1.1'!G55/1000</f>
        <v>74.745000000000005</v>
      </c>
      <c r="H55" s="107">
        <f>'15.1.1'!H55/1000</f>
        <v>81.754000000000005</v>
      </c>
      <c r="I55" s="107">
        <f>'15.1.1'!I55/1000</f>
        <v>94.921000000000006</v>
      </c>
      <c r="J55" s="107">
        <f>'15.1.1'!J55/1000</f>
        <v>102.798</v>
      </c>
      <c r="K55" s="107">
        <f>'15.1.1'!K55/1000</f>
        <v>118.598</v>
      </c>
      <c r="L55" s="107">
        <f>'15.1.1'!L55/1000</f>
        <v>133.25899999999999</v>
      </c>
      <c r="M55" s="107">
        <f>'15.1.1'!M55/1000</f>
        <v>141.52699999999999</v>
      </c>
      <c r="N55" s="107">
        <f>'15.1.1'!N55/1000</f>
        <v>149.53</v>
      </c>
      <c r="O55" s="107">
        <f>'15.1.1'!O55/1000</f>
        <v>149.02000000000001</v>
      </c>
      <c r="P55" s="107">
        <f>'15.1.1'!P55/1000</f>
        <v>155.71</v>
      </c>
      <c r="Q55" s="107">
        <f>'15.1.1'!Q55/1000</f>
        <v>165.85499999999999</v>
      </c>
      <c r="R55" s="107">
        <f>'15.1.1'!R55/1000</f>
        <v>171.267</v>
      </c>
    </row>
    <row r="56" spans="1:18" x14ac:dyDescent="0.25">
      <c r="A56" s="84">
        <v>55</v>
      </c>
      <c r="B56" s="84" t="s">
        <v>55</v>
      </c>
      <c r="C56" s="107">
        <f>'15.1.1'!C56/1000</f>
        <v>70.688999999999993</v>
      </c>
      <c r="D56" s="107">
        <f>'15.1.1'!D56/1000</f>
        <v>82.578000000000003</v>
      </c>
      <c r="E56" s="107">
        <f>'15.1.1'!E56/1000</f>
        <v>98.316000000000003</v>
      </c>
      <c r="F56" s="107">
        <f>'15.1.1'!F56/1000</f>
        <v>122.069</v>
      </c>
      <c r="G56" s="107">
        <f>'15.1.1'!G56/1000</f>
        <v>122.51900000000001</v>
      </c>
      <c r="H56" s="107">
        <f>'15.1.1'!H56/1000</f>
        <v>131.63999999999999</v>
      </c>
      <c r="I56" s="107">
        <f>'15.1.1'!I56/1000</f>
        <v>144.316</v>
      </c>
      <c r="J56" s="107">
        <f>'15.1.1'!J56/1000</f>
        <v>156.22</v>
      </c>
      <c r="K56" s="107">
        <f>'15.1.1'!K56/1000</f>
        <v>173.881</v>
      </c>
      <c r="L56" s="107">
        <f>'15.1.1'!L56/1000</f>
        <v>194.18799999999999</v>
      </c>
      <c r="M56" s="107">
        <f>'15.1.1'!M56/1000</f>
        <v>183.83600000000001</v>
      </c>
      <c r="N56" s="107">
        <f>'15.1.1'!N56/1000</f>
        <v>187.02</v>
      </c>
      <c r="O56" s="107">
        <f>'15.1.1'!O56/1000</f>
        <v>191.827</v>
      </c>
      <c r="P56" s="107">
        <f>'15.1.1'!P56/1000</f>
        <v>203.369</v>
      </c>
      <c r="Q56" s="107">
        <f>'15.1.1'!Q56/1000</f>
        <v>216.113</v>
      </c>
      <c r="R56" s="107">
        <f>'15.1.1'!R56/1000</f>
        <v>213.03200000000001</v>
      </c>
    </row>
    <row r="57" spans="1:18" x14ac:dyDescent="0.25">
      <c r="A57" s="84">
        <v>56</v>
      </c>
      <c r="B57" s="84" t="s">
        <v>56</v>
      </c>
      <c r="C57" s="107">
        <f>'15.1.1'!C57/1000</f>
        <v>31.658999999999999</v>
      </c>
      <c r="D57" s="107">
        <f>'15.1.1'!D57/1000</f>
        <v>38.396999999999998</v>
      </c>
      <c r="E57" s="107">
        <f>'15.1.1'!E57/1000</f>
        <v>47.045000000000002</v>
      </c>
      <c r="F57" s="107">
        <f>'15.1.1'!F57/1000</f>
        <v>61.712000000000003</v>
      </c>
      <c r="G57" s="107">
        <f>'15.1.1'!G57/1000</f>
        <v>63.658999999999999</v>
      </c>
      <c r="H57" s="107">
        <f>'15.1.1'!H57/1000</f>
        <v>72.855999999999995</v>
      </c>
      <c r="I57" s="107">
        <f>'15.1.1'!I57/1000</f>
        <v>85.311999999999998</v>
      </c>
      <c r="J57" s="107">
        <f>'15.1.1'!J57/1000</f>
        <v>97.34</v>
      </c>
      <c r="K57" s="107">
        <f>'15.1.1'!K57/1000</f>
        <v>106.88</v>
      </c>
      <c r="L57" s="107">
        <f>'15.1.1'!L57/1000</f>
        <v>120.72499999999999</v>
      </c>
      <c r="M57" s="107">
        <f>'15.1.1'!M57/1000</f>
        <v>126.139</v>
      </c>
      <c r="N57" s="107">
        <f>'15.1.1'!N57/1000</f>
        <v>128.60400000000001</v>
      </c>
      <c r="O57" s="107">
        <f>'15.1.1'!O57/1000</f>
        <v>134.84299999999999</v>
      </c>
      <c r="P57" s="107">
        <f>'15.1.1'!P57/1000</f>
        <v>145.738</v>
      </c>
      <c r="Q57" s="107">
        <f>'15.1.1'!Q57/1000</f>
        <v>155.017</v>
      </c>
      <c r="R57" s="107">
        <f>'15.1.1'!R57/1000</f>
        <v>164.66499999999999</v>
      </c>
    </row>
    <row r="58" spans="1:18" x14ac:dyDescent="0.25">
      <c r="A58" s="84">
        <v>57</v>
      </c>
      <c r="B58" s="84" t="s">
        <v>57</v>
      </c>
      <c r="C58" s="107">
        <f>'15.1.1'!C58/1000</f>
        <v>30.247</v>
      </c>
      <c r="D58" s="107">
        <f>'15.1.1'!D58/1000</f>
        <v>40.625</v>
      </c>
      <c r="E58" s="107">
        <f>'15.1.1'!E58/1000</f>
        <v>54.073</v>
      </c>
      <c r="F58" s="107">
        <f>'15.1.1'!F58/1000</f>
        <v>65.34</v>
      </c>
      <c r="G58" s="107">
        <f>'15.1.1'!G58/1000</f>
        <v>67.441999999999993</v>
      </c>
      <c r="H58" s="107">
        <f>'15.1.1'!H58/1000</f>
        <v>80.081000000000003</v>
      </c>
      <c r="I58" s="107">
        <f>'15.1.1'!I58/1000</f>
        <v>89.748999999999995</v>
      </c>
      <c r="J58" s="107">
        <f>'15.1.1'!J58/1000</f>
        <v>103.846</v>
      </c>
      <c r="K58" s="107">
        <f>'15.1.1'!K58/1000</f>
        <v>116.681</v>
      </c>
      <c r="L58" s="107">
        <f>'15.1.1'!L58/1000</f>
        <v>129.143</v>
      </c>
      <c r="M58" s="107">
        <f>'15.1.1'!M58/1000</f>
        <v>134.072</v>
      </c>
      <c r="N58" s="107">
        <f>'15.1.1'!N58/1000</f>
        <v>134.607</v>
      </c>
      <c r="O58" s="107">
        <f>'15.1.1'!O58/1000</f>
        <v>142.64099999999999</v>
      </c>
      <c r="P58" s="107">
        <f>'15.1.1'!P58/1000</f>
        <v>150.86000000000001</v>
      </c>
      <c r="Q58" s="107">
        <f>'15.1.1'!Q58/1000</f>
        <v>161.005</v>
      </c>
      <c r="R58" s="107">
        <f>'15.1.1'!R58/1000</f>
        <v>165.29900000000001</v>
      </c>
    </row>
    <row r="59" spans="1:18" x14ac:dyDescent="0.25">
      <c r="A59" s="84">
        <v>58</v>
      </c>
      <c r="B59" s="84" t="s">
        <v>58</v>
      </c>
      <c r="C59" s="107">
        <f>'15.1.1'!C59/1000</f>
        <v>29.687000000000001</v>
      </c>
      <c r="D59" s="107">
        <f>'15.1.1'!D59/1000</f>
        <v>40.917999999999999</v>
      </c>
      <c r="E59" s="107">
        <f>'15.1.1'!E59/1000</f>
        <v>56.607999999999997</v>
      </c>
      <c r="F59" s="107">
        <f>'15.1.1'!F59/1000</f>
        <v>76.631</v>
      </c>
      <c r="G59" s="107">
        <f>'15.1.1'!G59/1000</f>
        <v>71.894999999999996</v>
      </c>
      <c r="H59" s="107">
        <f>'15.1.1'!H59/1000</f>
        <v>79.459000000000003</v>
      </c>
      <c r="I59" s="107">
        <f>'15.1.1'!I59/1000</f>
        <v>88.641000000000005</v>
      </c>
      <c r="J59" s="107">
        <f>'15.1.1'!J59/1000</f>
        <v>98.07</v>
      </c>
      <c r="K59" s="107">
        <f>'15.1.1'!K59/1000</f>
        <v>107.661</v>
      </c>
      <c r="L59" s="107">
        <f>'15.1.1'!L59/1000</f>
        <v>117.095</v>
      </c>
      <c r="M59" s="107">
        <f>'15.1.1'!M59/1000</f>
        <v>122.152</v>
      </c>
      <c r="N59" s="107">
        <f>'15.1.1'!N59/1000</f>
        <v>121.596</v>
      </c>
      <c r="O59" s="107">
        <f>'15.1.1'!O59/1000</f>
        <v>127.864</v>
      </c>
      <c r="P59" s="107">
        <f>'15.1.1'!P59/1000</f>
        <v>136.191</v>
      </c>
      <c r="Q59" s="107">
        <f>'15.1.1'!Q59/1000</f>
        <v>144.80199999999999</v>
      </c>
      <c r="R59" s="107">
        <f>'15.1.1'!R59/1000</f>
        <v>147.33199999999999</v>
      </c>
    </row>
    <row r="60" spans="1:18" x14ac:dyDescent="0.25">
      <c r="A60" s="84">
        <v>59</v>
      </c>
      <c r="B60" s="84" t="s">
        <v>59</v>
      </c>
      <c r="C60" s="107">
        <f>'15.1.1'!C60/1000</f>
        <v>53.598999999999997</v>
      </c>
      <c r="D60" s="107">
        <f>'15.1.1'!D60/1000</f>
        <v>68.875</v>
      </c>
      <c r="E60" s="107">
        <f>'15.1.1'!E60/1000</f>
        <v>91.251000000000005</v>
      </c>
      <c r="F60" s="107">
        <f>'15.1.1'!F60/1000</f>
        <v>119.95399999999999</v>
      </c>
      <c r="G60" s="107">
        <f>'15.1.1'!G60/1000</f>
        <v>125.889</v>
      </c>
      <c r="H60" s="107">
        <f>'15.1.1'!H60/1000</f>
        <v>150.322</v>
      </c>
      <c r="I60" s="107">
        <f>'15.1.1'!I60/1000</f>
        <v>177.70500000000001</v>
      </c>
      <c r="J60" s="107">
        <f>'15.1.1'!J60/1000</f>
        <v>199.179</v>
      </c>
      <c r="K60" s="107">
        <f>'15.1.1'!K60/1000</f>
        <v>220.916</v>
      </c>
      <c r="L60" s="107">
        <f>'15.1.1'!L60/1000</f>
        <v>230.94900000000001</v>
      </c>
      <c r="M60" s="107">
        <f>'15.1.1'!M60/1000</f>
        <v>239.28299999999999</v>
      </c>
      <c r="N60" s="107">
        <f>'15.1.1'!N60/1000</f>
        <v>243.477</v>
      </c>
      <c r="O60" s="107">
        <f>'15.1.1'!O60/1000</f>
        <v>249.17</v>
      </c>
      <c r="P60" s="107">
        <f>'15.1.1'!P60/1000</f>
        <v>261.70800000000003</v>
      </c>
      <c r="Q60" s="107">
        <f>'15.1.1'!Q60/1000</f>
        <v>277.50900000000001</v>
      </c>
      <c r="R60" s="107">
        <f>'15.1.1'!R60/1000</f>
        <v>259.875</v>
      </c>
    </row>
    <row r="61" spans="1:18" x14ac:dyDescent="0.25">
      <c r="A61" s="84">
        <v>60</v>
      </c>
      <c r="B61" s="84" t="s">
        <v>60</v>
      </c>
      <c r="C61" s="107">
        <f>'15.1.1'!C61/1000</f>
        <v>73.48</v>
      </c>
      <c r="D61" s="107">
        <f>'15.1.1'!D61/1000</f>
        <v>97.382000000000005</v>
      </c>
      <c r="E61" s="107">
        <f>'15.1.1'!E61/1000</f>
        <v>125.393</v>
      </c>
      <c r="F61" s="107">
        <f>'15.1.1'!F61/1000</f>
        <v>163.387</v>
      </c>
      <c r="G61" s="107">
        <f>'15.1.1'!G61/1000</f>
        <v>149.553</v>
      </c>
      <c r="H61" s="107">
        <f>'15.1.1'!H61/1000</f>
        <v>149.45099999999999</v>
      </c>
      <c r="I61" s="107">
        <f>'15.1.1'!I61/1000</f>
        <v>167.35900000000001</v>
      </c>
      <c r="J61" s="107">
        <f>'15.1.1'!J61/1000</f>
        <v>187.416</v>
      </c>
      <c r="K61" s="107">
        <f>'15.1.1'!K61/1000</f>
        <v>211.81200000000001</v>
      </c>
      <c r="L61" s="107">
        <f>'15.1.1'!L61/1000</f>
        <v>223.26499999999999</v>
      </c>
      <c r="M61" s="107">
        <f>'15.1.1'!M61/1000</f>
        <v>230.50399999999999</v>
      </c>
      <c r="N61" s="107">
        <f>'15.1.1'!N61/1000</f>
        <v>226.30699999999999</v>
      </c>
      <c r="O61" s="107">
        <f>'15.1.1'!O61/1000</f>
        <v>238.40100000000001</v>
      </c>
      <c r="P61" s="107">
        <f>'15.1.1'!P61/1000</f>
        <v>254.256</v>
      </c>
      <c r="Q61" s="107">
        <f>'15.1.1'!Q61/1000</f>
        <v>262.51400000000001</v>
      </c>
      <c r="R61" s="107">
        <f>'15.1.1'!R61/1000</f>
        <v>262.97000000000003</v>
      </c>
    </row>
    <row r="62" spans="1:18" x14ac:dyDescent="0.25">
      <c r="A62" s="84">
        <v>61</v>
      </c>
      <c r="B62" s="84" t="s">
        <v>61</v>
      </c>
      <c r="C62" s="107">
        <f>'15.1.1'!C62/1000</f>
        <v>41.497</v>
      </c>
      <c r="D62" s="107">
        <f>'15.1.1'!D62/1000</f>
        <v>56.384</v>
      </c>
      <c r="E62" s="107">
        <f>'15.1.1'!E62/1000</f>
        <v>71.632000000000005</v>
      </c>
      <c r="F62" s="107">
        <f>'15.1.1'!F62/1000</f>
        <v>98.99</v>
      </c>
      <c r="G62" s="107">
        <f>'15.1.1'!G62/1000</f>
        <v>99.272000000000006</v>
      </c>
      <c r="H62" s="107">
        <f>'15.1.1'!H62/1000</f>
        <v>107.348</v>
      </c>
      <c r="I62" s="107">
        <f>'15.1.1'!I62/1000</f>
        <v>121.151</v>
      </c>
      <c r="J62" s="107">
        <f>'15.1.1'!J62/1000</f>
        <v>133.71700000000001</v>
      </c>
      <c r="K62" s="107">
        <f>'15.1.1'!K62/1000</f>
        <v>145.19800000000001</v>
      </c>
      <c r="L62" s="107">
        <f>'15.1.1'!L62/1000</f>
        <v>154.226</v>
      </c>
      <c r="M62" s="107">
        <f>'15.1.1'!M62/1000</f>
        <v>146.636</v>
      </c>
      <c r="N62" s="107">
        <f>'15.1.1'!N62/1000</f>
        <v>140.989</v>
      </c>
      <c r="O62" s="107">
        <f>'15.1.1'!O62/1000</f>
        <v>140.78200000000001</v>
      </c>
      <c r="P62" s="107">
        <f>'15.1.1'!P62/1000</f>
        <v>148.83799999999999</v>
      </c>
      <c r="Q62" s="107">
        <f>'15.1.1'!Q62/1000</f>
        <v>158.47999999999999</v>
      </c>
      <c r="R62" s="107">
        <f>'15.1.1'!R62/1000</f>
        <v>173.36699999999999</v>
      </c>
    </row>
    <row r="63" spans="1:18" x14ac:dyDescent="0.25">
      <c r="A63" s="84">
        <v>62</v>
      </c>
      <c r="B63" s="84" t="s">
        <v>62</v>
      </c>
      <c r="C63" s="107">
        <f>'15.1.1'!C63/1000</f>
        <v>19.396999999999998</v>
      </c>
      <c r="D63" s="107">
        <f>'15.1.1'!D63/1000</f>
        <v>25.204000000000001</v>
      </c>
      <c r="E63" s="107">
        <f>'15.1.1'!E63/1000</f>
        <v>35.405999999999999</v>
      </c>
      <c r="F63" s="107">
        <f>'15.1.1'!F63/1000</f>
        <v>50.712000000000003</v>
      </c>
      <c r="G63" s="107">
        <f>'15.1.1'!G63/1000</f>
        <v>51.895000000000003</v>
      </c>
      <c r="H63" s="107">
        <f>'15.1.1'!H63/1000</f>
        <v>58.829000000000001</v>
      </c>
      <c r="I63" s="107">
        <f>'15.1.1'!I63/1000</f>
        <v>68.980999999999995</v>
      </c>
      <c r="J63" s="107">
        <f>'15.1.1'!J63/1000</f>
        <v>75.582999999999998</v>
      </c>
      <c r="K63" s="107">
        <f>'15.1.1'!K63/1000</f>
        <v>83.988</v>
      </c>
      <c r="L63" s="107">
        <f>'15.1.1'!L63/1000</f>
        <v>97.474000000000004</v>
      </c>
      <c r="M63" s="107">
        <f>'15.1.1'!M63/1000</f>
        <v>100.956</v>
      </c>
      <c r="N63" s="107">
        <f>'15.1.1'!N63/1000</f>
        <v>105.669</v>
      </c>
      <c r="O63" s="107">
        <f>'15.1.1'!O63/1000</f>
        <v>112.03400000000001</v>
      </c>
      <c r="P63" s="107">
        <f>'15.1.1'!P63/1000</f>
        <v>118.964</v>
      </c>
      <c r="Q63" s="107">
        <f>'15.1.1'!Q63/1000</f>
        <v>132.25700000000001</v>
      </c>
      <c r="R63" s="107">
        <f>'15.1.1'!R63/1000</f>
        <v>135.351</v>
      </c>
    </row>
    <row r="64" spans="1:18" x14ac:dyDescent="0.25">
      <c r="A64" s="84">
        <v>63</v>
      </c>
      <c r="B64" s="84" t="s">
        <v>63</v>
      </c>
      <c r="C64" s="107">
        <f>'15.1.1'!C64/1000</f>
        <v>36.576000000000001</v>
      </c>
      <c r="D64" s="107">
        <f>'15.1.1'!D64/1000</f>
        <v>43.956000000000003</v>
      </c>
      <c r="E64" s="107">
        <f>'15.1.1'!E64/1000</f>
        <v>56.726999999999997</v>
      </c>
      <c r="F64" s="107">
        <f>'15.1.1'!F64/1000</f>
        <v>71.073999999999998</v>
      </c>
      <c r="G64" s="107">
        <f>'15.1.1'!G64/1000</f>
        <v>78.332999999999998</v>
      </c>
      <c r="H64" s="107">
        <f>'15.1.1'!H64/1000</f>
        <v>87.923000000000002</v>
      </c>
      <c r="I64" s="107">
        <f>'15.1.1'!I64/1000</f>
        <v>103.90300000000001</v>
      </c>
      <c r="J64" s="107">
        <f>'15.1.1'!J64/1000</f>
        <v>116.893</v>
      </c>
      <c r="K64" s="107">
        <f>'15.1.1'!K64/1000</f>
        <v>134.06</v>
      </c>
      <c r="L64" s="107">
        <f>'15.1.1'!L64/1000</f>
        <v>141.49600000000001</v>
      </c>
      <c r="M64" s="107">
        <f>'15.1.1'!M64/1000</f>
        <v>165.81200000000001</v>
      </c>
      <c r="N64" s="107">
        <f>'15.1.1'!N64/1000</f>
        <v>170.767</v>
      </c>
      <c r="O64" s="107">
        <f>'15.1.1'!O64/1000</f>
        <v>173.58600000000001</v>
      </c>
      <c r="P64" s="107">
        <f>'15.1.1'!P64/1000</f>
        <v>180.02199999999999</v>
      </c>
      <c r="Q64" s="107">
        <f>'15.1.1'!Q64/1000</f>
        <v>192.07</v>
      </c>
      <c r="R64" s="107">
        <f>'15.1.1'!R64/1000</f>
        <v>199.74700000000001</v>
      </c>
    </row>
    <row r="65" spans="1:18" x14ac:dyDescent="0.25">
      <c r="A65" s="84">
        <v>64</v>
      </c>
      <c r="B65" s="84" t="s">
        <v>64</v>
      </c>
      <c r="C65" s="107">
        <f>'15.1.1'!C65/1000</f>
        <v>18.170000000000002</v>
      </c>
      <c r="D65" s="107">
        <f>'15.1.1'!D65/1000</f>
        <v>21.821999999999999</v>
      </c>
      <c r="E65" s="107">
        <f>'15.1.1'!E65/1000</f>
        <v>25.594000000000001</v>
      </c>
      <c r="F65" s="107">
        <f>'15.1.1'!F65/1000</f>
        <v>29.887</v>
      </c>
      <c r="G65" s="107">
        <f>'15.1.1'!G65/1000</f>
        <v>32.469000000000001</v>
      </c>
      <c r="H65" s="107">
        <f>'15.1.1'!H65/1000</f>
        <v>38.643000000000001</v>
      </c>
      <c r="I65" s="107">
        <f>'15.1.1'!I65/1000</f>
        <v>44.509</v>
      </c>
      <c r="J65" s="107">
        <f>'15.1.1'!J65/1000</f>
        <v>48.948999999999998</v>
      </c>
      <c r="K65" s="107">
        <f>'15.1.1'!K65/1000</f>
        <v>54.095999999999997</v>
      </c>
      <c r="L65" s="107">
        <f>'15.1.1'!L65/1000</f>
        <v>60.063000000000002</v>
      </c>
      <c r="M65" s="107">
        <f>'15.1.1'!M65/1000</f>
        <v>68.575999999999993</v>
      </c>
      <c r="N65" s="107">
        <f>'15.1.1'!N65/1000</f>
        <v>67.775000000000006</v>
      </c>
      <c r="O65" s="107">
        <f>'15.1.1'!O65/1000</f>
        <v>69.158000000000001</v>
      </c>
      <c r="P65" s="107">
        <f>'15.1.1'!P65/1000</f>
        <v>73.213999999999999</v>
      </c>
      <c r="Q65" s="107">
        <f>'15.1.1'!Q65/1000</f>
        <v>80.283000000000001</v>
      </c>
      <c r="R65" s="107">
        <f>'15.1.1'!R65/1000</f>
        <v>76.921000000000006</v>
      </c>
    </row>
    <row r="66" spans="1:18" x14ac:dyDescent="0.25">
      <c r="A66" s="84">
        <v>65</v>
      </c>
      <c r="B66" s="84" t="s">
        <v>65</v>
      </c>
      <c r="C66" s="107">
        <f>'15.1.1'!C66/1000</f>
        <v>22.684999999999999</v>
      </c>
      <c r="D66" s="107">
        <f>'15.1.1'!D66/1000</f>
        <v>30.111999999999998</v>
      </c>
      <c r="E66" s="107">
        <f>'15.1.1'!E66/1000</f>
        <v>39.695</v>
      </c>
      <c r="F66" s="107">
        <f>'15.1.1'!F66/1000</f>
        <v>45.472999999999999</v>
      </c>
      <c r="G66" s="107">
        <f>'15.1.1'!G66/1000</f>
        <v>46.847999999999999</v>
      </c>
      <c r="H66" s="107">
        <f>'15.1.1'!H66/1000</f>
        <v>48.127000000000002</v>
      </c>
      <c r="I66" s="107">
        <f>'15.1.1'!I66/1000</f>
        <v>86.495999999999995</v>
      </c>
      <c r="J66" s="107">
        <f>'15.1.1'!J66/1000</f>
        <v>106.164</v>
      </c>
      <c r="K66" s="107">
        <f>'15.1.1'!K66/1000</f>
        <v>113.937</v>
      </c>
      <c r="L66" s="107">
        <f>'15.1.1'!L66/1000</f>
        <v>123.176</v>
      </c>
      <c r="M66" s="107">
        <f>'15.1.1'!M66/1000</f>
        <v>137.261</v>
      </c>
      <c r="N66" s="107">
        <f>'15.1.1'!N66/1000</f>
        <v>138.946</v>
      </c>
      <c r="O66" s="107">
        <f>'15.1.1'!O66/1000</f>
        <v>147.255</v>
      </c>
      <c r="P66" s="107">
        <f>'15.1.1'!P66/1000</f>
        <v>156.273</v>
      </c>
      <c r="Q66" s="107">
        <f>'15.1.1'!Q66/1000</f>
        <v>170.197</v>
      </c>
      <c r="R66" s="107">
        <f>'15.1.1'!R66/1000</f>
        <v>175.577</v>
      </c>
    </row>
    <row r="67" spans="1:18" x14ac:dyDescent="0.25">
      <c r="A67" s="84">
        <v>66</v>
      </c>
      <c r="B67" s="84" t="s">
        <v>66</v>
      </c>
      <c r="C67" s="107">
        <f>'15.1.1'!C67/1000</f>
        <v>32.124000000000002</v>
      </c>
      <c r="D67" s="107">
        <f>'15.1.1'!D67/1000</f>
        <v>41.69</v>
      </c>
      <c r="E67" s="107">
        <f>'15.1.1'!E67/1000</f>
        <v>52.808</v>
      </c>
      <c r="F67" s="107">
        <f>'15.1.1'!F67/1000</f>
        <v>68.721999999999994</v>
      </c>
      <c r="G67" s="107">
        <f>'15.1.1'!G67/1000</f>
        <v>63.761000000000003</v>
      </c>
      <c r="H67" s="107">
        <f>'15.1.1'!H67/1000</f>
        <v>74.477999999999994</v>
      </c>
      <c r="I67" s="107">
        <f>'15.1.1'!I67/1000</f>
        <v>90.402000000000001</v>
      </c>
      <c r="J67" s="107">
        <f>'15.1.1'!J67/1000</f>
        <v>105.754</v>
      </c>
      <c r="K67" s="107">
        <f>'15.1.1'!K67/1000</f>
        <v>118.096</v>
      </c>
      <c r="L67" s="107">
        <f>'15.1.1'!L67/1000</f>
        <v>128.376</v>
      </c>
      <c r="M67" s="107">
        <f>'15.1.1'!M67/1000</f>
        <v>134.92500000000001</v>
      </c>
      <c r="N67" s="107">
        <f>'15.1.1'!N67/1000</f>
        <v>137.84399999999999</v>
      </c>
      <c r="O67" s="107">
        <f>'15.1.1'!O67/1000</f>
        <v>143.87299999999999</v>
      </c>
      <c r="P67" s="107">
        <f>'15.1.1'!P67/1000</f>
        <v>150.44399999999999</v>
      </c>
      <c r="Q67" s="107">
        <f>'15.1.1'!Q67/1000</f>
        <v>159.51400000000001</v>
      </c>
      <c r="R67" s="107">
        <f>'15.1.1'!R67/1000</f>
        <v>153.60499999999999</v>
      </c>
    </row>
    <row r="68" spans="1:18" x14ac:dyDescent="0.25">
      <c r="A68" s="84">
        <v>67</v>
      </c>
      <c r="B68" s="84" t="s">
        <v>73</v>
      </c>
      <c r="C68" s="107">
        <f>'15.1.1'!C68/1000</f>
        <v>34.880000000000003</v>
      </c>
      <c r="D68" s="107">
        <f>'15.1.1'!D68/1000</f>
        <v>42.079000000000001</v>
      </c>
      <c r="E68" s="107">
        <f>'15.1.1'!E68/1000</f>
        <v>50.863</v>
      </c>
      <c r="F68" s="107">
        <f>'15.1.1'!F68/1000</f>
        <v>67.415999999999997</v>
      </c>
      <c r="G68" s="107">
        <f>'15.1.1'!G68/1000</f>
        <v>75.346999999999994</v>
      </c>
      <c r="H68" s="107">
        <f>'15.1.1'!H68/1000</f>
        <v>84.944000000000003</v>
      </c>
      <c r="I68" s="107">
        <f>'15.1.1'!I68/1000</f>
        <v>96.453000000000003</v>
      </c>
      <c r="J68" s="107">
        <f>'15.1.1'!J68/1000</f>
        <v>105.86</v>
      </c>
      <c r="K68" s="107">
        <f>'15.1.1'!K68/1000</f>
        <v>116.14</v>
      </c>
      <c r="L68" s="107">
        <f>'15.1.1'!L68/1000</f>
        <v>124.928</v>
      </c>
      <c r="M68" s="107">
        <f>'15.1.1'!M68/1000</f>
        <v>135.4</v>
      </c>
      <c r="N68" s="107">
        <f>'15.1.1'!N68/1000</f>
        <v>142.227</v>
      </c>
      <c r="O68" s="107">
        <f>'15.1.1'!O68/1000</f>
        <v>147.01599999999999</v>
      </c>
      <c r="P68" s="107">
        <f>'15.1.1'!P68/1000</f>
        <v>154.25700000000001</v>
      </c>
      <c r="Q68" s="107">
        <f>'15.1.1'!Q68/1000</f>
        <v>163.26400000000001</v>
      </c>
      <c r="R68" s="107">
        <f>'15.1.1'!R68/1000</f>
        <v>164.74100000000001</v>
      </c>
    </row>
    <row r="69" spans="1:18" x14ac:dyDescent="0.25">
      <c r="A69" s="84">
        <v>68</v>
      </c>
      <c r="B69" s="84" t="s">
        <v>67</v>
      </c>
      <c r="C69" s="107">
        <f>'15.1.1'!C69/1000</f>
        <v>43.427999999999997</v>
      </c>
      <c r="D69" s="107">
        <f>'15.1.1'!D69/1000</f>
        <v>51.277000000000001</v>
      </c>
      <c r="E69" s="107">
        <f>'15.1.1'!E69/1000</f>
        <v>73.88</v>
      </c>
      <c r="F69" s="107">
        <f>'15.1.1'!F69/1000</f>
        <v>95.504000000000005</v>
      </c>
      <c r="G69" s="107">
        <f>'15.1.1'!G69/1000</f>
        <v>96.54</v>
      </c>
      <c r="H69" s="107">
        <f>'15.1.1'!H69/1000</f>
        <v>110.435</v>
      </c>
      <c r="I69" s="107">
        <f>'15.1.1'!I69/1000</f>
        <v>127.607</v>
      </c>
      <c r="J69" s="107">
        <f>'15.1.1'!J69/1000</f>
        <v>149.11199999999999</v>
      </c>
      <c r="K69" s="107">
        <f>'15.1.1'!K69/1000</f>
        <v>162.148</v>
      </c>
      <c r="L69" s="107">
        <f>'15.1.1'!L69/1000</f>
        <v>171.79599999999999</v>
      </c>
      <c r="M69" s="107">
        <f>'15.1.1'!M69/1000</f>
        <v>165.37200000000001</v>
      </c>
      <c r="N69" s="107">
        <f>'15.1.1'!N69/1000</f>
        <v>174.88499999999999</v>
      </c>
      <c r="O69" s="107">
        <f>'15.1.1'!O69/1000</f>
        <v>177.69200000000001</v>
      </c>
      <c r="P69" s="107">
        <f>'15.1.1'!P69/1000</f>
        <v>187.102</v>
      </c>
      <c r="Q69" s="107">
        <f>'15.1.1'!Q69/1000</f>
        <v>201.66499999999999</v>
      </c>
      <c r="R69" s="107">
        <f>'15.1.1'!R69/1000</f>
        <v>196.88800000000001</v>
      </c>
    </row>
    <row r="70" spans="1:18" x14ac:dyDescent="0.25">
      <c r="A70" s="84">
        <v>69</v>
      </c>
      <c r="B70" s="84" t="s">
        <v>68</v>
      </c>
      <c r="C70" s="107">
        <f>'15.1.1'!C70/1000</f>
        <v>41.128</v>
      </c>
      <c r="D70" s="107">
        <f>'15.1.1'!D70/1000</f>
        <v>50.792000000000002</v>
      </c>
      <c r="E70" s="107">
        <f>'15.1.1'!E70/1000</f>
        <v>60.256999999999998</v>
      </c>
      <c r="F70" s="107">
        <f>'15.1.1'!F70/1000</f>
        <v>76.620999999999995</v>
      </c>
      <c r="G70" s="107">
        <f>'15.1.1'!G70/1000</f>
        <v>76.417000000000002</v>
      </c>
      <c r="H70" s="107">
        <f>'15.1.1'!H70/1000</f>
        <v>81.19</v>
      </c>
      <c r="I70" s="107">
        <f>'15.1.1'!I70/1000</f>
        <v>93.087999999999994</v>
      </c>
      <c r="J70" s="107">
        <f>'15.1.1'!J70/1000</f>
        <v>103.16500000000001</v>
      </c>
      <c r="K70" s="107">
        <f>'15.1.1'!K70/1000</f>
        <v>110.126</v>
      </c>
      <c r="L70" s="107">
        <f>'15.1.1'!L70/1000</f>
        <v>118.28700000000001</v>
      </c>
      <c r="M70" s="107">
        <f>'15.1.1'!M70/1000</f>
        <v>120.49</v>
      </c>
      <c r="N70" s="107">
        <f>'15.1.1'!N70/1000</f>
        <v>126.55800000000001</v>
      </c>
      <c r="O70" s="107">
        <f>'15.1.1'!O70/1000</f>
        <v>133.79</v>
      </c>
      <c r="P70" s="107">
        <f>'15.1.1'!P70/1000</f>
        <v>144.95099999999999</v>
      </c>
      <c r="Q70" s="107">
        <f>'15.1.1'!Q70/1000</f>
        <v>160.56200000000001</v>
      </c>
      <c r="R70" s="107">
        <f>'15.1.1'!R70/1000</f>
        <v>164.87899999999999</v>
      </c>
    </row>
    <row r="71" spans="1:18" x14ac:dyDescent="0.25">
      <c r="A71" s="84">
        <v>70</v>
      </c>
      <c r="B71" s="84" t="s">
        <v>69</v>
      </c>
      <c r="C71" s="107">
        <f>'15.1.1'!C71/1000</f>
        <v>49.496000000000002</v>
      </c>
      <c r="D71" s="107">
        <f>'15.1.1'!D71/1000</f>
        <v>63.19</v>
      </c>
      <c r="E71" s="107">
        <f>'15.1.1'!E71/1000</f>
        <v>79.191999999999993</v>
      </c>
      <c r="F71" s="107">
        <f>'15.1.1'!F71/1000</f>
        <v>97.010999999999996</v>
      </c>
      <c r="G71" s="107">
        <f>'15.1.1'!G71/1000</f>
        <v>83.025999999999996</v>
      </c>
      <c r="H71" s="107">
        <f>'15.1.1'!H71/1000</f>
        <v>93.649000000000001</v>
      </c>
      <c r="I71" s="107">
        <f>'15.1.1'!I71/1000</f>
        <v>104.236</v>
      </c>
      <c r="J71" s="107">
        <f>'15.1.1'!J71/1000</f>
        <v>115.68600000000001</v>
      </c>
      <c r="K71" s="107">
        <f>'15.1.1'!K71/1000</f>
        <v>125.935</v>
      </c>
      <c r="L71" s="107">
        <f>'15.1.1'!L71/1000</f>
        <v>122.765</v>
      </c>
      <c r="M71" s="107">
        <f>'15.1.1'!M71/1000</f>
        <v>126.178</v>
      </c>
      <c r="N71" s="107">
        <f>'15.1.1'!N71/1000</f>
        <v>124.997</v>
      </c>
      <c r="O71" s="107">
        <f>'15.1.1'!O71/1000</f>
        <v>131.40100000000001</v>
      </c>
      <c r="P71" s="107">
        <f>'15.1.1'!P71/1000</f>
        <v>140.292</v>
      </c>
      <c r="Q71" s="107">
        <f>'15.1.1'!Q71/1000</f>
        <v>150.97300000000001</v>
      </c>
      <c r="R71" s="107">
        <f>'15.1.1'!R71/1000</f>
        <v>153.03299999999999</v>
      </c>
    </row>
    <row r="72" spans="1:18" x14ac:dyDescent="0.25">
      <c r="A72" s="84">
        <v>71</v>
      </c>
      <c r="B72" s="84" t="s">
        <v>70</v>
      </c>
      <c r="C72" s="107">
        <f>'15.1.1'!C72/1000</f>
        <v>52.658000000000001</v>
      </c>
      <c r="D72" s="107">
        <f>'15.1.1'!D72/1000</f>
        <v>66.745000000000005</v>
      </c>
      <c r="E72" s="107">
        <f>'15.1.1'!E72/1000</f>
        <v>80.947999999999993</v>
      </c>
      <c r="F72" s="107">
        <f>'15.1.1'!F72/1000</f>
        <v>102.349</v>
      </c>
      <c r="G72" s="107">
        <f>'15.1.1'!G72/1000</f>
        <v>105.27500000000001</v>
      </c>
      <c r="H72" s="107">
        <f>'15.1.1'!H72/1000</f>
        <v>117.18300000000001</v>
      </c>
      <c r="I72" s="107">
        <f>'15.1.1'!I72/1000</f>
        <v>137.59399999999999</v>
      </c>
      <c r="J72" s="107">
        <f>'15.1.1'!J72/1000</f>
        <v>147.816</v>
      </c>
      <c r="K72" s="107">
        <f>'15.1.1'!K72/1000</f>
        <v>159.36799999999999</v>
      </c>
      <c r="L72" s="107">
        <f>'15.1.1'!L72/1000</f>
        <v>168.58099999999999</v>
      </c>
      <c r="M72" s="107">
        <f>'15.1.1'!M72/1000</f>
        <v>161.31700000000001</v>
      </c>
      <c r="N72" s="107">
        <f>'15.1.1'!N72/1000</f>
        <v>162.4</v>
      </c>
      <c r="O72" s="107">
        <f>'15.1.1'!O72/1000</f>
        <v>170.03</v>
      </c>
      <c r="P72" s="107">
        <f>'15.1.1'!P72/1000</f>
        <v>179.643</v>
      </c>
      <c r="Q72" s="107">
        <f>'15.1.1'!Q72/1000</f>
        <v>191.41300000000001</v>
      </c>
      <c r="R72" s="107">
        <f>'15.1.1'!R72/1000</f>
        <v>197.02799999999999</v>
      </c>
    </row>
    <row r="73" spans="1:18" x14ac:dyDescent="0.25">
      <c r="A73" s="84">
        <v>72</v>
      </c>
      <c r="B73" s="84" t="s">
        <v>71</v>
      </c>
      <c r="C73" s="107">
        <f>'15.1.1'!C73/1000</f>
        <v>40.857999999999997</v>
      </c>
      <c r="D73" s="107">
        <f>'15.1.1'!D73/1000</f>
        <v>50.003999999999998</v>
      </c>
      <c r="E73" s="107">
        <f>'15.1.1'!E73/1000</f>
        <v>63.487000000000002</v>
      </c>
      <c r="F73" s="107">
        <f>'15.1.1'!F73/1000</f>
        <v>81.518000000000001</v>
      </c>
      <c r="G73" s="107">
        <f>'15.1.1'!G73/1000</f>
        <v>83.335999999999999</v>
      </c>
      <c r="H73" s="107">
        <f>'15.1.1'!H73/1000</f>
        <v>93.63</v>
      </c>
      <c r="I73" s="107">
        <f>'15.1.1'!I73/1000</f>
        <v>115.70399999999999</v>
      </c>
      <c r="J73" s="107">
        <f>'15.1.1'!J73/1000</f>
        <v>133.66800000000001</v>
      </c>
      <c r="K73" s="107">
        <f>'15.1.1'!K73/1000</f>
        <v>149.22999999999999</v>
      </c>
      <c r="L73" s="107">
        <f>'15.1.1'!L73/1000</f>
        <v>158.99</v>
      </c>
      <c r="M73" s="107">
        <f>'15.1.1'!M73/1000</f>
        <v>155.02600000000001</v>
      </c>
      <c r="N73" s="107">
        <f>'15.1.1'!N73/1000</f>
        <v>147.73500000000001</v>
      </c>
      <c r="O73" s="107">
        <f>'15.1.1'!O73/1000</f>
        <v>161.071</v>
      </c>
      <c r="P73" s="107">
        <f>'15.1.1'!P73/1000</f>
        <v>169.33500000000001</v>
      </c>
      <c r="Q73" s="107">
        <f>'15.1.1'!Q73/1000</f>
        <v>184.179</v>
      </c>
      <c r="R73" s="107">
        <f>'15.1.1'!R73/1000</f>
        <v>185.76900000000001</v>
      </c>
    </row>
    <row r="74" spans="1:18" x14ac:dyDescent="0.25">
      <c r="A74" s="84">
        <v>73</v>
      </c>
      <c r="B74" s="84" t="s">
        <v>72</v>
      </c>
      <c r="C74" s="107">
        <f>'15.1.1'!C74/1000</f>
        <v>45.133000000000003</v>
      </c>
      <c r="D74" s="107">
        <f>'15.1.1'!D74/1000</f>
        <v>54.808999999999997</v>
      </c>
      <c r="E74" s="107">
        <f>'15.1.1'!E74/1000</f>
        <v>62.258000000000003</v>
      </c>
      <c r="F74" s="107">
        <f>'15.1.1'!F74/1000</f>
        <v>72.698999999999998</v>
      </c>
      <c r="G74" s="107">
        <f>'15.1.1'!G74/1000</f>
        <v>72.665000000000006</v>
      </c>
      <c r="H74" s="107">
        <f>'15.1.1'!H74/1000</f>
        <v>79.010000000000005</v>
      </c>
      <c r="I74" s="107">
        <f>'15.1.1'!I74/1000</f>
        <v>88.355000000000004</v>
      </c>
      <c r="J74" s="107">
        <f>'15.1.1'!J74/1000</f>
        <v>99.138999999999996</v>
      </c>
      <c r="K74" s="107">
        <f>'15.1.1'!K74/1000</f>
        <v>110.583</v>
      </c>
      <c r="L74" s="107">
        <f>'15.1.1'!L74/1000</f>
        <v>115.05200000000001</v>
      </c>
      <c r="M74" s="107">
        <f>'15.1.1'!M74/1000</f>
        <v>124.791</v>
      </c>
      <c r="N74" s="107">
        <f>'15.1.1'!N74/1000</f>
        <v>131.13800000000001</v>
      </c>
      <c r="O74" s="107">
        <f>'15.1.1'!O74/1000</f>
        <v>137.30699999999999</v>
      </c>
      <c r="P74" s="107">
        <f>'15.1.1'!P74/1000</f>
        <v>147.08500000000001</v>
      </c>
      <c r="Q74" s="107">
        <f>'15.1.1'!Q74/1000</f>
        <v>158.96799999999999</v>
      </c>
      <c r="R74" s="107">
        <f>'15.1.1'!R74/1000</f>
        <v>162.35900000000001</v>
      </c>
    </row>
    <row r="75" spans="1:18" x14ac:dyDescent="0.25">
      <c r="A75" s="84">
        <v>74</v>
      </c>
      <c r="B75" s="84" t="s">
        <v>74</v>
      </c>
      <c r="C75" s="107">
        <f>'15.1.1'!C75/1000</f>
        <v>55.048999999999999</v>
      </c>
      <c r="D75" s="107">
        <f>'15.1.1'!D75/1000</f>
        <v>66.994</v>
      </c>
      <c r="E75" s="107">
        <f>'15.1.1'!E75/1000</f>
        <v>77.91</v>
      </c>
      <c r="F75" s="107">
        <f>'15.1.1'!F75/1000</f>
        <v>92.409000000000006</v>
      </c>
      <c r="G75" s="107">
        <f>'15.1.1'!G75/1000</f>
        <v>105.565</v>
      </c>
      <c r="H75" s="107">
        <f>'15.1.1'!H75/1000</f>
        <v>113.874</v>
      </c>
      <c r="I75" s="107">
        <f>'15.1.1'!I75/1000</f>
        <v>124.938</v>
      </c>
      <c r="J75" s="107">
        <f>'15.1.1'!J75/1000</f>
        <v>135.10599999999999</v>
      </c>
      <c r="K75" s="107">
        <f>'15.1.1'!K75/1000</f>
        <v>149.55600000000001</v>
      </c>
      <c r="L75" s="107">
        <f>'15.1.1'!L75/1000</f>
        <v>173.477</v>
      </c>
      <c r="M75" s="107">
        <f>'15.1.1'!M75/1000</f>
        <v>196.68799999999999</v>
      </c>
      <c r="N75" s="107">
        <f>'15.1.1'!N75/1000</f>
        <v>211.75800000000001</v>
      </c>
      <c r="O75" s="107">
        <f>'15.1.1'!O75/1000</f>
        <v>220.7</v>
      </c>
      <c r="P75" s="107">
        <f>'15.1.1'!P75/1000</f>
        <v>236.87200000000001</v>
      </c>
      <c r="Q75" s="107">
        <f>'15.1.1'!Q75/1000</f>
        <v>254.68100000000001</v>
      </c>
      <c r="R75" s="107">
        <f>'15.1.1'!R75/1000</f>
        <v>250.679</v>
      </c>
    </row>
    <row r="76" spans="1:18" x14ac:dyDescent="0.25">
      <c r="A76" s="84">
        <v>75</v>
      </c>
      <c r="B76" s="84" t="s">
        <v>75</v>
      </c>
      <c r="C76" s="107">
        <f>'15.1.1'!C76/1000</f>
        <v>41.124000000000002</v>
      </c>
      <c r="D76" s="107">
        <f>'15.1.1'!D76/1000</f>
        <v>50.607999999999997</v>
      </c>
      <c r="E76" s="107">
        <f>'15.1.1'!E76/1000</f>
        <v>62.402999999999999</v>
      </c>
      <c r="F76" s="107">
        <f>'15.1.1'!F76/1000</f>
        <v>77.19</v>
      </c>
      <c r="G76" s="107">
        <f>'15.1.1'!G76/1000</f>
        <v>89.248999999999995</v>
      </c>
      <c r="H76" s="107">
        <f>'15.1.1'!H76/1000</f>
        <v>104.578</v>
      </c>
      <c r="I76" s="107">
        <f>'15.1.1'!I76/1000</f>
        <v>117.384</v>
      </c>
      <c r="J76" s="107">
        <f>'15.1.1'!J76/1000</f>
        <v>125.60299999999999</v>
      </c>
      <c r="K76" s="107">
        <f>'15.1.1'!K76/1000</f>
        <v>132.31399999999999</v>
      </c>
      <c r="L76" s="107">
        <f>'15.1.1'!L76/1000</f>
        <v>143.851</v>
      </c>
      <c r="M76" s="107">
        <f>'15.1.1'!M76/1000</f>
        <v>159.24700000000001</v>
      </c>
      <c r="N76" s="107">
        <f>'15.1.1'!N76/1000</f>
        <v>164.97800000000001</v>
      </c>
      <c r="O76" s="107">
        <f>'15.1.1'!O76/1000</f>
        <v>171.25899999999999</v>
      </c>
      <c r="P76" s="107">
        <f>'15.1.1'!P76/1000</f>
        <v>181.49100000000001</v>
      </c>
      <c r="Q76" s="107">
        <f>'15.1.1'!Q76/1000</f>
        <v>197.44800000000001</v>
      </c>
      <c r="R76" s="107">
        <f>'15.1.1'!R76/1000</f>
        <v>202.352</v>
      </c>
    </row>
    <row r="77" spans="1:18" x14ac:dyDescent="0.25">
      <c r="A77" s="84">
        <v>76</v>
      </c>
      <c r="B77" s="84" t="s">
        <v>76</v>
      </c>
      <c r="C77" s="107">
        <f>'15.1.1'!C77/1000</f>
        <v>41.463999999999999</v>
      </c>
      <c r="D77" s="107">
        <f>'15.1.1'!D77/1000</f>
        <v>50.468000000000004</v>
      </c>
      <c r="E77" s="107">
        <f>'15.1.1'!E77/1000</f>
        <v>60.393000000000001</v>
      </c>
      <c r="F77" s="107">
        <f>'15.1.1'!F77/1000</f>
        <v>75.31</v>
      </c>
      <c r="G77" s="107">
        <f>'15.1.1'!G77/1000</f>
        <v>82.912999999999997</v>
      </c>
      <c r="H77" s="107">
        <f>'15.1.1'!H77/1000</f>
        <v>90.591999999999999</v>
      </c>
      <c r="I77" s="107">
        <f>'15.1.1'!I77/1000</f>
        <v>100.306</v>
      </c>
      <c r="J77" s="107">
        <f>'15.1.1'!J77/1000</f>
        <v>110.1</v>
      </c>
      <c r="K77" s="107">
        <f>'15.1.1'!K77/1000</f>
        <v>128.066</v>
      </c>
      <c r="L77" s="107">
        <f>'15.1.1'!L77/1000</f>
        <v>147.68299999999999</v>
      </c>
      <c r="M77" s="107">
        <f>'15.1.1'!M77/1000</f>
        <v>176.96299999999999</v>
      </c>
      <c r="N77" s="107">
        <f>'15.1.1'!N77/1000</f>
        <v>183.78700000000001</v>
      </c>
      <c r="O77" s="107">
        <f>'15.1.1'!O77/1000</f>
        <v>195.52500000000001</v>
      </c>
      <c r="P77" s="107">
        <f>'15.1.1'!P77/1000</f>
        <v>212.958</v>
      </c>
      <c r="Q77" s="107">
        <f>'15.1.1'!Q77/1000</f>
        <v>235.572</v>
      </c>
      <c r="R77" s="107">
        <f>'15.1.1'!R77/1000</f>
        <v>230.37799999999999</v>
      </c>
    </row>
    <row r="78" spans="1:18" x14ac:dyDescent="0.25">
      <c r="A78" s="84">
        <v>77</v>
      </c>
      <c r="B78" s="84" t="s">
        <v>77</v>
      </c>
      <c r="C78" s="107">
        <f>'15.1.1'!C78/1000</f>
        <v>42.703000000000003</v>
      </c>
      <c r="D78" s="107">
        <f>'15.1.1'!D78/1000</f>
        <v>52.744999999999997</v>
      </c>
      <c r="E78" s="107">
        <f>'15.1.1'!E78/1000</f>
        <v>65.075999999999993</v>
      </c>
      <c r="F78" s="107">
        <f>'15.1.1'!F78/1000</f>
        <v>79.111000000000004</v>
      </c>
      <c r="G78" s="107">
        <f>'15.1.1'!G78/1000</f>
        <v>91.733000000000004</v>
      </c>
      <c r="H78" s="107">
        <f>'15.1.1'!H78/1000</f>
        <v>107.73099999999999</v>
      </c>
      <c r="I78" s="107">
        <f>'15.1.1'!I78/1000</f>
        <v>124.477</v>
      </c>
      <c r="J78" s="107">
        <f>'15.1.1'!J78/1000</f>
        <v>137.596</v>
      </c>
      <c r="K78" s="107">
        <f>'15.1.1'!K78/1000</f>
        <v>156.90799999999999</v>
      </c>
      <c r="L78" s="107">
        <f>'15.1.1'!L78/1000</f>
        <v>178.673</v>
      </c>
      <c r="M78" s="107">
        <f>'15.1.1'!M78/1000</f>
        <v>203.2</v>
      </c>
      <c r="N78" s="107">
        <f>'15.1.1'!N78/1000</f>
        <v>218.227</v>
      </c>
      <c r="O78" s="107">
        <f>'15.1.1'!O78/1000</f>
        <v>231.13399999999999</v>
      </c>
      <c r="P78" s="107">
        <f>'15.1.1'!P78/1000</f>
        <v>244.59100000000001</v>
      </c>
      <c r="Q78" s="107">
        <f>'15.1.1'!Q78/1000</f>
        <v>262.32100000000003</v>
      </c>
      <c r="R78" s="107">
        <f>'15.1.1'!R78/1000</f>
        <v>277.94200000000001</v>
      </c>
    </row>
    <row r="79" spans="1:18" x14ac:dyDescent="0.25">
      <c r="A79" s="84">
        <v>78</v>
      </c>
      <c r="B79" s="84" t="s">
        <v>78</v>
      </c>
      <c r="C79" s="107">
        <f>'15.1.1'!C79/1000</f>
        <v>32.207000000000001</v>
      </c>
      <c r="D79" s="107">
        <f>'15.1.1'!D79/1000</f>
        <v>39.917999999999999</v>
      </c>
      <c r="E79" s="107">
        <f>'15.1.1'!E79/1000</f>
        <v>48.012</v>
      </c>
      <c r="F79" s="107">
        <f>'15.1.1'!F79/1000</f>
        <v>62.198999999999998</v>
      </c>
      <c r="G79" s="107">
        <f>'15.1.1'!G79/1000</f>
        <v>68.968999999999994</v>
      </c>
      <c r="H79" s="107">
        <f>'15.1.1'!H79/1000</f>
        <v>80.622</v>
      </c>
      <c r="I79" s="107">
        <f>'15.1.1'!I79/1000</f>
        <v>104.233</v>
      </c>
      <c r="J79" s="107">
        <f>'15.1.1'!J79/1000</f>
        <v>127.2</v>
      </c>
      <c r="K79" s="107">
        <f>'15.1.1'!K79/1000</f>
        <v>145.30099999999999</v>
      </c>
      <c r="L79" s="107">
        <f>'15.1.1'!L79/1000</f>
        <v>163.78100000000001</v>
      </c>
      <c r="M79" s="107">
        <f>'15.1.1'!M79/1000</f>
        <v>182.49100000000001</v>
      </c>
      <c r="N79" s="107">
        <f>'15.1.1'!N79/1000</f>
        <v>191.523</v>
      </c>
      <c r="O79" s="107">
        <f>'15.1.1'!O79/1000</f>
        <v>202.03800000000001</v>
      </c>
      <c r="P79" s="107">
        <f>'15.1.1'!P79/1000</f>
        <v>214.68799999999999</v>
      </c>
      <c r="Q79" s="107">
        <f>'15.1.1'!Q79/1000</f>
        <v>231.113</v>
      </c>
      <c r="R79" s="107">
        <f>'15.1.1'!R79/1000</f>
        <v>245.233</v>
      </c>
    </row>
    <row r="80" spans="1:18" x14ac:dyDescent="0.25">
      <c r="A80" s="84">
        <v>79</v>
      </c>
      <c r="B80" s="84" t="s">
        <v>79</v>
      </c>
      <c r="C80" s="107">
        <f>'15.1.1'!C80/1000</f>
        <v>40.715000000000003</v>
      </c>
      <c r="D80" s="107">
        <f>'15.1.1'!D80/1000</f>
        <v>49.033999999999999</v>
      </c>
      <c r="E80" s="107">
        <f>'15.1.1'!E80/1000</f>
        <v>59.08</v>
      </c>
      <c r="F80" s="107">
        <f>'15.1.1'!F80/1000</f>
        <v>69.284000000000006</v>
      </c>
      <c r="G80" s="107">
        <f>'15.1.1'!G80/1000</f>
        <v>81.412000000000006</v>
      </c>
      <c r="H80" s="107">
        <f>'15.1.1'!H80/1000</f>
        <v>93.569000000000003</v>
      </c>
      <c r="I80" s="107">
        <f>'15.1.1'!I80/1000</f>
        <v>109.333</v>
      </c>
      <c r="J80" s="107">
        <f>'15.1.1'!J80/1000</f>
        <v>126.32</v>
      </c>
      <c r="K80" s="107">
        <f>'15.1.1'!K80/1000</f>
        <v>153.398</v>
      </c>
      <c r="L80" s="107">
        <f>'15.1.1'!L80/1000</f>
        <v>174.69399999999999</v>
      </c>
      <c r="M80" s="107">
        <f>'15.1.1'!M80/1000</f>
        <v>187.76499999999999</v>
      </c>
      <c r="N80" s="107">
        <f>'15.1.1'!N80/1000</f>
        <v>202.541</v>
      </c>
      <c r="O80" s="107">
        <f>'15.1.1'!O80/1000</f>
        <v>213.55799999999999</v>
      </c>
      <c r="P80" s="107">
        <f>'15.1.1'!P80/1000</f>
        <v>226.31200000000001</v>
      </c>
      <c r="Q80" s="107">
        <f>'15.1.1'!Q80/1000</f>
        <v>240.16200000000001</v>
      </c>
      <c r="R80" s="107">
        <f>'15.1.1'!R80/1000</f>
        <v>245.81700000000001</v>
      </c>
    </row>
    <row r="81" spans="1:18" x14ac:dyDescent="0.25">
      <c r="A81" s="84">
        <v>80</v>
      </c>
      <c r="B81" s="84" t="s">
        <v>80</v>
      </c>
      <c r="C81" s="107">
        <f>'15.1.1'!C81/1000</f>
        <v>59.402000000000001</v>
      </c>
      <c r="D81" s="107">
        <f>'15.1.1'!D81/1000</f>
        <v>81.304000000000002</v>
      </c>
      <c r="E81" s="107">
        <f>'15.1.1'!E81/1000</f>
        <v>96.855000000000004</v>
      </c>
      <c r="F81" s="107">
        <f>'15.1.1'!F81/1000</f>
        <v>132.12100000000001</v>
      </c>
      <c r="G81" s="107">
        <f>'15.1.1'!G81/1000</f>
        <v>154.40199999999999</v>
      </c>
      <c r="H81" s="107">
        <f>'15.1.1'!H81/1000</f>
        <v>181.27500000000001</v>
      </c>
      <c r="I81" s="107">
        <f>'15.1.1'!I81/1000</f>
        <v>196.32</v>
      </c>
      <c r="J81" s="107">
        <f>'15.1.1'!J81/1000</f>
        <v>209.149</v>
      </c>
      <c r="K81" s="107">
        <f>'15.1.1'!K81/1000</f>
        <v>228.92</v>
      </c>
      <c r="L81" s="107">
        <f>'15.1.1'!L81/1000</f>
        <v>250.25299999999999</v>
      </c>
      <c r="M81" s="107">
        <f>'15.1.1'!M81/1000</f>
        <v>272.52699999999999</v>
      </c>
      <c r="N81" s="107">
        <f>'15.1.1'!N81/1000</f>
        <v>276.476</v>
      </c>
      <c r="O81" s="107">
        <f>'15.1.1'!O81/1000</f>
        <v>289.57299999999998</v>
      </c>
      <c r="P81" s="107">
        <f>'15.1.1'!P81/1000</f>
        <v>303.11200000000002</v>
      </c>
      <c r="Q81" s="107">
        <f>'15.1.1'!Q81/1000</f>
        <v>327.601</v>
      </c>
      <c r="R81" s="107">
        <f>'15.1.1'!R81/1000</f>
        <v>338.78699999999998</v>
      </c>
    </row>
    <row r="82" spans="1:18" x14ac:dyDescent="0.25">
      <c r="A82" s="84">
        <v>81</v>
      </c>
      <c r="B82" s="84" t="s">
        <v>81</v>
      </c>
      <c r="C82" s="107">
        <f>'15.1.1'!C82/1000</f>
        <v>38.338000000000001</v>
      </c>
      <c r="D82" s="107">
        <f>'15.1.1'!D82/1000</f>
        <v>43.665999999999997</v>
      </c>
      <c r="E82" s="107">
        <f>'15.1.1'!E82/1000</f>
        <v>49.47</v>
      </c>
      <c r="F82" s="107">
        <f>'15.1.1'!F82/1000</f>
        <v>61.19</v>
      </c>
      <c r="G82" s="107">
        <f>'15.1.1'!G82/1000</f>
        <v>72.468999999999994</v>
      </c>
      <c r="H82" s="107">
        <f>'15.1.1'!H82/1000</f>
        <v>84.268000000000001</v>
      </c>
      <c r="I82" s="107">
        <f>'15.1.1'!I82/1000</f>
        <v>88.141000000000005</v>
      </c>
      <c r="J82" s="107">
        <f>'15.1.1'!J82/1000</f>
        <v>98.242999999999995</v>
      </c>
      <c r="K82" s="107">
        <f>'15.1.1'!K82/1000</f>
        <v>108.408</v>
      </c>
      <c r="L82" s="107">
        <f>'15.1.1'!L82/1000</f>
        <v>117.276</v>
      </c>
      <c r="M82" s="107">
        <f>'15.1.1'!M82/1000</f>
        <v>133.74799999999999</v>
      </c>
      <c r="N82" s="107">
        <f>'15.1.1'!N82/1000</f>
        <v>134.16200000000001</v>
      </c>
      <c r="O82" s="107">
        <f>'15.1.1'!O82/1000</f>
        <v>138.44399999999999</v>
      </c>
      <c r="P82" s="107">
        <f>'15.1.1'!P82/1000</f>
        <v>149.572</v>
      </c>
      <c r="Q82" s="107">
        <f>'15.1.1'!Q82/1000</f>
        <v>165.35599999999999</v>
      </c>
      <c r="R82" s="107">
        <f>'15.1.1'!R82/1000</f>
        <v>168.066</v>
      </c>
    </row>
    <row r="83" spans="1:18" x14ac:dyDescent="0.25">
      <c r="A83" s="84">
        <v>82</v>
      </c>
      <c r="B83" s="84" t="s">
        <v>82</v>
      </c>
      <c r="C83" s="107">
        <f>'15.1.1'!C83/1000</f>
        <v>42.634</v>
      </c>
      <c r="D83" s="107">
        <f>'15.1.1'!D83/1000</f>
        <v>47.051000000000002</v>
      </c>
      <c r="E83" s="107">
        <f>'15.1.1'!E83/1000</f>
        <v>54.607999999999997</v>
      </c>
      <c r="F83" s="107">
        <f>'15.1.1'!F83/1000</f>
        <v>69.739000000000004</v>
      </c>
      <c r="G83" s="107">
        <f>'15.1.1'!G83/1000</f>
        <v>101.85299999999999</v>
      </c>
      <c r="H83" s="107">
        <f>'15.1.1'!H83/1000</f>
        <v>113.355</v>
      </c>
      <c r="I83" s="107">
        <f>'15.1.1'!I83/1000</f>
        <v>118.075</v>
      </c>
      <c r="J83" s="107">
        <f>'15.1.1'!J83/1000</f>
        <v>113.267</v>
      </c>
      <c r="K83" s="107">
        <f>'15.1.1'!K83/1000</f>
        <v>108.218</v>
      </c>
      <c r="L83" s="107">
        <f>'15.1.1'!L83/1000</f>
        <v>102.795</v>
      </c>
      <c r="M83" s="107">
        <f>'15.1.1'!M83/1000</f>
        <v>119.33499999999999</v>
      </c>
      <c r="N83" s="107">
        <f>'15.1.1'!N83/1000</f>
        <v>133.31100000000001</v>
      </c>
      <c r="O83" s="107">
        <f>'15.1.1'!O83/1000</f>
        <v>183.78100000000001</v>
      </c>
      <c r="P83" s="107">
        <f>'15.1.1'!P83/1000</f>
        <v>193.39099999999999</v>
      </c>
      <c r="Q83" s="107">
        <f>'15.1.1'!Q83/1000</f>
        <v>209.839</v>
      </c>
      <c r="R83" s="107">
        <f>'15.1.1'!R83/1000</f>
        <v>217.089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83"/>
  <sheetViews>
    <sheetView workbookViewId="0">
      <selection activeCell="C1" sqref="C1"/>
    </sheetView>
  </sheetViews>
  <sheetFormatPr defaultRowHeight="15.75" x14ac:dyDescent="0.25"/>
  <cols>
    <col min="1" max="1" width="9.140625" style="80"/>
    <col min="2" max="2" width="35.5703125" style="80" customWidth="1"/>
    <col min="3" max="4" width="8.42578125" style="80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0.50606912695230499</v>
      </c>
      <c r="C2" s="187">
        <v>43831</v>
      </c>
      <c r="D2" s="80">
        <v>43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0.48890287388635933</v>
      </c>
      <c r="C3" s="187">
        <v>43831</v>
      </c>
      <c r="D3" s="80">
        <v>43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0.40302429764309644</v>
      </c>
      <c r="C4" s="187">
        <v>43831</v>
      </c>
      <c r="D4" s="80">
        <v>43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0.52745547903145318</v>
      </c>
      <c r="C5" s="187">
        <v>43831</v>
      </c>
      <c r="D5" s="80">
        <v>43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0.40841011751033901</v>
      </c>
      <c r="C6" s="187">
        <v>43831</v>
      </c>
      <c r="D6" s="80">
        <v>43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0.47134623161472655</v>
      </c>
      <c r="C7" s="187">
        <v>43831</v>
      </c>
      <c r="D7" s="80">
        <v>43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0.40693228022609773</v>
      </c>
      <c r="C8" s="187">
        <v>43831</v>
      </c>
      <c r="D8" s="80">
        <v>43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0.45861923160669205</v>
      </c>
      <c r="C9" s="187">
        <v>43831</v>
      </c>
      <c r="D9" s="80">
        <v>43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0.50530619405437716</v>
      </c>
      <c r="C10" s="187">
        <v>43831</v>
      </c>
      <c r="D10" s="80">
        <v>43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0.62840623646890192</v>
      </c>
      <c r="C11" s="187">
        <v>43831</v>
      </c>
      <c r="D11" s="80">
        <v>43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0.43686121705235048</v>
      </c>
      <c r="C12" s="187">
        <v>43831</v>
      </c>
      <c r="D12" s="80">
        <v>43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0.43947748105646428</v>
      </c>
      <c r="C13" s="187">
        <v>43831</v>
      </c>
      <c r="D13" s="80">
        <v>43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0.42005017662149902</v>
      </c>
      <c r="C14" s="187">
        <v>43831</v>
      </c>
      <c r="D14" s="80">
        <v>43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0.44293327817593742</v>
      </c>
      <c r="C15" s="187">
        <v>43831</v>
      </c>
      <c r="D15" s="80">
        <v>43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0.44556680635706108</v>
      </c>
      <c r="C16" s="187">
        <v>43831</v>
      </c>
      <c r="D16" s="80">
        <v>43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0.4560501147554501</v>
      </c>
      <c r="C17" s="187">
        <v>43831</v>
      </c>
      <c r="D17" s="80">
        <v>43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0.45387264483077078</v>
      </c>
      <c r="C18" s="187">
        <v>43831</v>
      </c>
      <c r="D18" s="80">
        <v>43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0.67361086166682471</v>
      </c>
      <c r="C19" s="187">
        <v>43831</v>
      </c>
      <c r="D19" s="80">
        <v>43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0.49033484236282021</v>
      </c>
      <c r="C20" s="187">
        <v>43831</v>
      </c>
      <c r="D20" s="80">
        <v>43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0.44904343316441359</v>
      </c>
      <c r="C21" s="187">
        <v>43831</v>
      </c>
      <c r="D21" s="80">
        <v>43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0.52298435474858007</v>
      </c>
      <c r="C22" s="187">
        <v>43831</v>
      </c>
      <c r="D22" s="80">
        <v>43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0.41365384959221613</v>
      </c>
      <c r="C23" s="187">
        <v>43831</v>
      </c>
      <c r="D23" s="80">
        <v>43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0.4143836388850573</v>
      </c>
      <c r="C24" s="187">
        <v>43831</v>
      </c>
      <c r="D24" s="80">
        <v>43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0.53173579343602817</v>
      </c>
      <c r="C25" s="187">
        <v>43831</v>
      </c>
      <c r="D25" s="80">
        <v>43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0.51432237017530291</v>
      </c>
      <c r="C26" s="187">
        <v>43831</v>
      </c>
      <c r="D26" s="80">
        <v>43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0.45411985800534554</v>
      </c>
      <c r="C27" s="187">
        <v>43831</v>
      </c>
      <c r="D27" s="80">
        <v>43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0.44768732626979785</v>
      </c>
      <c r="C28" s="187">
        <v>43831</v>
      </c>
      <c r="D28" s="80">
        <v>43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0.56577162113391144</v>
      </c>
      <c r="C29" s="187">
        <v>43831</v>
      </c>
      <c r="D29" s="80">
        <v>43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0.49775537686587179</v>
      </c>
      <c r="C30" s="187">
        <v>43831</v>
      </c>
      <c r="D30" s="80">
        <v>43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0.15297305025315747</v>
      </c>
      <c r="C31" s="187">
        <v>43831</v>
      </c>
      <c r="D31" s="80">
        <v>43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0.33605575399302778</v>
      </c>
      <c r="C32" s="187">
        <v>43831</v>
      </c>
      <c r="D32" s="80">
        <v>43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0.53976177965310157</v>
      </c>
      <c r="C33" s="187">
        <v>43831</v>
      </c>
      <c r="D33" s="80">
        <v>43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0.39646162308846383</v>
      </c>
      <c r="C34" s="187">
        <v>43831</v>
      </c>
      <c r="D34" s="80">
        <v>43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0.38124993694833709</v>
      </c>
      <c r="C35" s="187">
        <v>43831</v>
      </c>
      <c r="D35" s="80">
        <v>43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0.49986700894512931</v>
      </c>
      <c r="C36" s="187">
        <v>43831</v>
      </c>
      <c r="D36" s="80">
        <v>43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0.31916013160732914</v>
      </c>
      <c r="C37" s="187">
        <v>43831</v>
      </c>
      <c r="D37" s="80">
        <v>43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0.4242674697936506</v>
      </c>
      <c r="C38" s="187">
        <v>43831</v>
      </c>
      <c r="D38" s="80">
        <v>43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4.1421273940117805E-2</v>
      </c>
      <c r="C39" s="187">
        <v>43831</v>
      </c>
      <c r="D39" s="80">
        <v>43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0.35159899493037172</v>
      </c>
      <c r="C40" s="187">
        <v>43831</v>
      </c>
      <c r="D40" s="80">
        <v>43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0.14465501940179107</v>
      </c>
      <c r="C41" s="187">
        <v>43831</v>
      </c>
      <c r="D41" s="80">
        <v>43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0.37240757361744659</v>
      </c>
      <c r="C42" s="187">
        <v>43831</v>
      </c>
      <c r="D42" s="80">
        <v>43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0.27181445067626492</v>
      </c>
      <c r="C43" s="187">
        <v>43831</v>
      </c>
      <c r="D43" s="80">
        <v>43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0.41973295471669025</v>
      </c>
      <c r="C44" s="187">
        <v>43831</v>
      </c>
      <c r="D44" s="80">
        <v>43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0.4905229420630266</v>
      </c>
      <c r="C45" s="187">
        <v>43831</v>
      </c>
      <c r="D45" s="80">
        <v>43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0.30155714321762217</v>
      </c>
      <c r="C46" s="187">
        <v>43831</v>
      </c>
      <c r="D46" s="80">
        <v>43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0.28135503910577969</v>
      </c>
      <c r="C47" s="187">
        <v>43831</v>
      </c>
      <c r="D47" s="80">
        <v>43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0.50787437387895906</v>
      </c>
      <c r="C48" s="187">
        <v>43831</v>
      </c>
      <c r="D48" s="80">
        <v>43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0.36471451106906544</v>
      </c>
      <c r="C49" s="187">
        <v>43831</v>
      </c>
      <c r="D49" s="80">
        <v>43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0.31962651310010592</v>
      </c>
      <c r="C50" s="187">
        <v>43831</v>
      </c>
      <c r="D50" s="80">
        <v>43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0.47050272109387647</v>
      </c>
      <c r="C51" s="187">
        <v>43831</v>
      </c>
      <c r="D51" s="80">
        <v>43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0.37185808593213782</v>
      </c>
      <c r="C52" s="187">
        <v>43831</v>
      </c>
      <c r="D52" s="80">
        <v>43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0.5059702459808324</v>
      </c>
      <c r="C53" s="187">
        <v>43831</v>
      </c>
      <c r="D53" s="80">
        <v>43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0.38554897175985431</v>
      </c>
      <c r="C54" s="187">
        <v>43831</v>
      </c>
      <c r="D54" s="80">
        <v>43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0.38954090740883346</v>
      </c>
      <c r="C55" s="187">
        <v>43831</v>
      </c>
      <c r="D55" s="80">
        <v>43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0.46862482229121694</v>
      </c>
      <c r="C56" s="187">
        <v>43831</v>
      </c>
      <c r="D56" s="80">
        <v>43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0.37509122275696966</v>
      </c>
      <c r="C57" s="187">
        <v>43831</v>
      </c>
      <c r="D57" s="80">
        <v>43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0.37650460158296084</v>
      </c>
      <c r="C58" s="187">
        <v>43831</v>
      </c>
      <c r="D58" s="80">
        <v>43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0.33422264416446812</v>
      </c>
      <c r="C59" s="187">
        <v>43831</v>
      </c>
      <c r="D59" s="80">
        <v>43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0.53722931569702903</v>
      </c>
      <c r="C60" s="187">
        <v>43831</v>
      </c>
      <c r="D60" s="80">
        <v>43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0.5411723044834239</v>
      </c>
      <c r="C61" s="187">
        <v>43831</v>
      </c>
      <c r="D61" s="80">
        <v>43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0.39401496345563836</v>
      </c>
      <c r="C62" s="187">
        <v>43831</v>
      </c>
      <c r="D62" s="80">
        <v>43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0.3033223955993602</v>
      </c>
      <c r="C63" s="187">
        <v>43831</v>
      </c>
      <c r="D63" s="80">
        <v>43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0.44558664288073108</v>
      </c>
      <c r="C64" s="187">
        <v>43831</v>
      </c>
      <c r="D64" s="80">
        <v>43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0.12256138876608229</v>
      </c>
      <c r="C65" s="187">
        <v>43831</v>
      </c>
      <c r="D65" s="80">
        <v>43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0.39866125084760279</v>
      </c>
      <c r="C66" s="187">
        <v>43831</v>
      </c>
      <c r="D66" s="80">
        <v>43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0.34952121282705728</v>
      </c>
      <c r="C67" s="187">
        <v>43831</v>
      </c>
      <c r="D67" s="80">
        <v>43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0.37526094264230125</v>
      </c>
      <c r="C68" s="187">
        <v>43831</v>
      </c>
      <c r="D68" s="80">
        <v>43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0.44038683404387813</v>
      </c>
      <c r="C69" s="187">
        <v>43831</v>
      </c>
      <c r="D69" s="80">
        <v>43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0.37556891416083116</v>
      </c>
      <c r="C70" s="187">
        <v>43831</v>
      </c>
      <c r="D70" s="80">
        <v>43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0.34815060500338801</v>
      </c>
      <c r="C71" s="187">
        <v>43831</v>
      </c>
      <c r="D71" s="80">
        <v>43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0.44064353572164688</v>
      </c>
      <c r="C72" s="187">
        <v>43831</v>
      </c>
      <c r="D72" s="80">
        <v>43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0.4192918495939168</v>
      </c>
      <c r="C73" s="187">
        <v>43831</v>
      </c>
      <c r="D73" s="80">
        <v>43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0.36990340443761838</v>
      </c>
      <c r="C74" s="187">
        <v>43831</v>
      </c>
      <c r="D74" s="80">
        <v>43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0.52512268909837223</v>
      </c>
      <c r="C75" s="187">
        <v>43831</v>
      </c>
      <c r="D75" s="80">
        <v>43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0.45024787613020578</v>
      </c>
      <c r="C76" s="187">
        <v>43831</v>
      </c>
      <c r="D76" s="80">
        <v>43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0.49614663879793414</v>
      </c>
      <c r="C77" s="187">
        <v>43831</v>
      </c>
      <c r="D77" s="80">
        <v>43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0.55937115857555453</v>
      </c>
      <c r="C78" s="187">
        <v>43831</v>
      </c>
      <c r="D78" s="80">
        <v>43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0.51766462507054678</v>
      </c>
      <c r="C79" s="187">
        <v>43831</v>
      </c>
      <c r="D79" s="80">
        <v>43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0.51847502095328246</v>
      </c>
      <c r="C80" s="187">
        <v>43831</v>
      </c>
      <c r="D80" s="80">
        <v>43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0.62088659679141245</v>
      </c>
      <c r="C81" s="187">
        <v>43831</v>
      </c>
      <c r="D81" s="80">
        <v>43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0.38260858358652627</v>
      </c>
      <c r="C82" s="187">
        <v>43831</v>
      </c>
      <c r="D82" s="80">
        <v>43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0.47531001761063962</v>
      </c>
      <c r="C83" s="187">
        <v>43831</v>
      </c>
      <c r="D83" s="80">
        <v>43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0.59999389629810485"/>
  </sheetPr>
  <dimension ref="A1:R83"/>
  <sheetViews>
    <sheetView topLeftCell="G53" workbookViewId="0">
      <selection activeCell="R2" sqref="R2:R83"/>
    </sheetView>
  </sheetViews>
  <sheetFormatPr defaultRowHeight="15.75" x14ac:dyDescent="0.25"/>
  <cols>
    <col min="1" max="1" width="9.140625" style="80"/>
    <col min="2" max="2" width="35" style="80" customWidth="1"/>
    <col min="3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84">
        <f>'Оборот общ пит'!B2/Население!C2</f>
        <v>1.0826719576719577</v>
      </c>
      <c r="D2" s="84">
        <f>'Оборот общ пит'!C2/Население!D2</f>
        <v>1.2653871608206486</v>
      </c>
      <c r="E2" s="84">
        <f>'Оборот общ пит'!D2/Население!E2</f>
        <v>1.6638044914134742</v>
      </c>
      <c r="F2" s="84">
        <f>'Оборот общ пит'!E2/Население!F2</f>
        <v>2.4805793285055957</v>
      </c>
      <c r="G2" s="84">
        <f>'Оборот общ пит'!F2/Население!G2</f>
        <v>2.4740983606557378</v>
      </c>
      <c r="H2" s="84">
        <f>'Оборот общ пит'!G2/Население!H2</f>
        <v>2.5071801566579635</v>
      </c>
      <c r="I2" s="84">
        <f>'Оборот общ пит'!H2/Население!I2</f>
        <v>2.7252604166666665</v>
      </c>
      <c r="J2" s="84">
        <f>'Оборот общ пит'!I2/Население!J2</f>
        <v>3.3277092796885142</v>
      </c>
      <c r="K2" s="84">
        <f>'Оборот общ пит'!J2/Население!K2</f>
        <v>3.8626943005181347</v>
      </c>
      <c r="L2" s="84">
        <f>'Оборот общ пит'!K2/Население!L2</f>
        <v>4.0568475452196386</v>
      </c>
      <c r="M2" s="84">
        <f>'Оборот общ пит'!L2/Население!M2</f>
        <v>4.3941935483870971</v>
      </c>
      <c r="N2" s="84">
        <f>'Оборот общ пит'!M2/Население!N2</f>
        <v>4.6870573084352865</v>
      </c>
      <c r="O2" s="84">
        <f>'Оборот общ пит'!N2/Население!O2</f>
        <v>5.0980645161290319</v>
      </c>
      <c r="P2" s="84">
        <f>'Оборот общ пит'!O2/Население!P2</f>
        <v>5.4450904392764858</v>
      </c>
      <c r="Q2" s="84">
        <f>'Оборот общ пит'!P2/Население!Q2</f>
        <v>5.8347320852162685</v>
      </c>
      <c r="R2" s="84">
        <f>'Оборот общ пит'!Q2/Население!R2</f>
        <v>6.2219338092147956</v>
      </c>
    </row>
    <row r="3" spans="1:18" x14ac:dyDescent="0.25">
      <c r="A3" s="84">
        <v>2</v>
      </c>
      <c r="B3" s="84" t="s">
        <v>2</v>
      </c>
      <c r="C3" s="84">
        <f>'Оборот общ пит'!B3/Население!C3</f>
        <v>1.6480783722682744</v>
      </c>
      <c r="D3" s="84">
        <f>'Оборот общ пит'!C3/Население!D3</f>
        <v>2.0743801652892562</v>
      </c>
      <c r="E3" s="84">
        <f>'Оборот общ пит'!D3/Население!E3</f>
        <v>2.7342444950645408</v>
      </c>
      <c r="F3" s="84">
        <f>'Оборот общ пит'!E3/Население!F3</f>
        <v>4.0427807486631018</v>
      </c>
      <c r="G3" s="84">
        <f>'Оборот общ пит'!F3/Население!G3</f>
        <v>3.7715384615384617</v>
      </c>
      <c r="H3" s="84">
        <f>'Оборот общ пит'!G3/Население!H3</f>
        <v>4.4172549019607841</v>
      </c>
      <c r="I3" s="84">
        <f>'Оборот общ пит'!H3/Население!I3</f>
        <v>5.6993670886075947</v>
      </c>
      <c r="J3" s="84">
        <f>'Оборот общ пит'!I3/Население!J3</f>
        <v>6.529505582137161</v>
      </c>
      <c r="K3" s="84">
        <f>'Оборот общ пит'!J3/Население!K3</f>
        <v>7.1714975845410631</v>
      </c>
      <c r="L3" s="84">
        <f>'Оборот общ пит'!K3/Население!L3</f>
        <v>7.8223844282238444</v>
      </c>
      <c r="M3" s="84">
        <f>'Оборот общ пит'!L3/Население!M3</f>
        <v>8.5946166394779766</v>
      </c>
      <c r="N3" s="84">
        <f>'Оборот общ пит'!M3/Население!N3</f>
        <v>8.7526617526617532</v>
      </c>
      <c r="O3" s="84">
        <f>'Оборот общ пит'!N3/Население!O3</f>
        <v>9.357555739058629</v>
      </c>
      <c r="P3" s="84">
        <f>'Оборот общ пит'!O3/Население!P3</f>
        <v>10.1</v>
      </c>
      <c r="Q3" s="84">
        <f>'Оборот общ пит'!P3/Население!Q3</f>
        <v>10.742665549036044</v>
      </c>
      <c r="R3" s="84">
        <f>'Оборот общ пит'!Q3/Население!R3</f>
        <v>7.5046491969568896</v>
      </c>
    </row>
    <row r="4" spans="1:18" x14ac:dyDescent="0.25">
      <c r="A4" s="84">
        <v>3</v>
      </c>
      <c r="B4" s="84" t="s">
        <v>3</v>
      </c>
      <c r="C4" s="84">
        <f>'Оборот общ пит'!B4/Население!C4</f>
        <v>1.0457604306864066</v>
      </c>
      <c r="D4" s="84">
        <f>'Оборот общ пит'!C4/Население!D4</f>
        <v>1.2654446707399865</v>
      </c>
      <c r="E4" s="84">
        <f>'Оборот общ пит'!D4/Население!E4</f>
        <v>2.1302261823166551</v>
      </c>
      <c r="F4" s="84">
        <f>'Оборот общ пит'!E4/Население!F4</f>
        <v>3.3091787439613527</v>
      </c>
      <c r="G4" s="84">
        <f>'Оборот общ пит'!F4/Население!G4</f>
        <v>3.2666666666666666</v>
      </c>
      <c r="H4" s="84">
        <f>'Оборот общ пит'!G4/Население!H4</f>
        <v>3.3761276891047882</v>
      </c>
      <c r="I4" s="84">
        <f>'Оборот общ пит'!H4/Население!I4</f>
        <v>4.0642458100558656</v>
      </c>
      <c r="J4" s="84">
        <f>'Оборот общ пит'!I4/Население!J4</f>
        <v>4.6554149085794654</v>
      </c>
      <c r="K4" s="84">
        <f>'Оборот общ пит'!J4/Население!K4</f>
        <v>5.1769285208775653</v>
      </c>
      <c r="L4" s="84">
        <f>'Оборот общ пит'!K4/Население!L4</f>
        <v>5.8926031294452343</v>
      </c>
      <c r="M4" s="84">
        <f>'Оборот общ пит'!L4/Население!M4</f>
        <v>6.8282032927702216</v>
      </c>
      <c r="N4" s="84">
        <f>'Оборот общ пит'!M4/Население!N4</f>
        <v>7.0978417266187046</v>
      </c>
      <c r="O4" s="84">
        <f>'Оборот общ пит'!N4/Население!O4</f>
        <v>7.6415094339622645</v>
      </c>
      <c r="P4" s="84">
        <f>'Оборот общ пит'!O4/Население!P4</f>
        <v>7.9333821376281115</v>
      </c>
      <c r="Q4" s="84">
        <f>'Оборот общ пит'!P4/Население!Q4</f>
        <v>8.5294550810014726</v>
      </c>
      <c r="R4" s="84">
        <f>'Оборот общ пит'!Q4/Население!R4</f>
        <v>6.99478390461997</v>
      </c>
    </row>
    <row r="5" spans="1:18" x14ac:dyDescent="0.25">
      <c r="A5" s="84">
        <v>4</v>
      </c>
      <c r="B5" s="84" t="s">
        <v>4</v>
      </c>
      <c r="C5" s="84">
        <f>'Оборот общ пит'!B5/Население!C5</f>
        <v>0.78102498941126641</v>
      </c>
      <c r="D5" s="84">
        <f>'Оборот общ пит'!C5/Население!D5</f>
        <v>0.83189282627484873</v>
      </c>
      <c r="E5" s="84">
        <f>'Оборот общ пит'!D5/Население!E5</f>
        <v>1.89760348583878</v>
      </c>
      <c r="F5" s="84">
        <f>'Оборот общ пит'!E5/Население!F5</f>
        <v>2.4447368421052631</v>
      </c>
      <c r="G5" s="84">
        <f>'Оборот общ пит'!F5/Население!G5</f>
        <v>2.2030837004405286</v>
      </c>
      <c r="H5" s="84">
        <f>'Оборот общ пит'!G5/Население!H5</f>
        <v>2.176017130620985</v>
      </c>
      <c r="I5" s="84">
        <f>'Оборот общ пит'!H5/Население!I5</f>
        <v>2.4661234991423671</v>
      </c>
      <c r="J5" s="84">
        <f>'Оборот общ пит'!I5/Население!J5</f>
        <v>3</v>
      </c>
      <c r="K5" s="84">
        <f>'Оборот общ пит'!J5/Население!K5</f>
        <v>3.648776298840704</v>
      </c>
      <c r="L5" s="84">
        <f>'Оборот общ пит'!K5/Население!L5</f>
        <v>4.1063921063921063</v>
      </c>
      <c r="M5" s="84">
        <f>'Оборот общ пит'!L5/Население!M5</f>
        <v>5.1945992284612084</v>
      </c>
      <c r="N5" s="84">
        <f>'Оборот общ пит'!M5/Население!N5</f>
        <v>5.6822269807280517</v>
      </c>
      <c r="O5" s="84">
        <f>'Оборот общ пит'!N5/Население!O5</f>
        <v>6.4003429061294472</v>
      </c>
      <c r="P5" s="84">
        <f>'Оборот общ пит'!O5/Население!P5</f>
        <v>7.0210481099656361</v>
      </c>
      <c r="Q5" s="84">
        <f>'Оборот общ пит'!P5/Население!Q5</f>
        <v>7.7779690189328745</v>
      </c>
      <c r="R5" s="84">
        <f>'Оборот общ пит'!Q5/Население!R5</f>
        <v>6.6851691240242843</v>
      </c>
    </row>
    <row r="6" spans="1:18" x14ac:dyDescent="0.25">
      <c r="A6" s="84">
        <v>5</v>
      </c>
      <c r="B6" s="84" t="s">
        <v>5</v>
      </c>
      <c r="C6" s="84">
        <f>'Оборот общ пит'!B6/Население!C6</f>
        <v>0.9627949183303085</v>
      </c>
      <c r="D6" s="84">
        <f>'Оборот общ пит'!C6/Население!D6</f>
        <v>1.2790909090909091</v>
      </c>
      <c r="E6" s="84">
        <f>'Оборот общ пит'!D6/Население!E6</f>
        <v>1.7233455882352942</v>
      </c>
      <c r="F6" s="84">
        <f>'Оборот общ пит'!E6/Население!F6</f>
        <v>2.4333333333333331</v>
      </c>
      <c r="G6" s="84">
        <f>'Оборот общ пит'!F6/Население!G6</f>
        <v>2.006523765144455</v>
      </c>
      <c r="H6" s="84">
        <f>'Оборот общ пит'!G6/Население!H6</f>
        <v>2.439622641509434</v>
      </c>
      <c r="I6" s="84">
        <f>'Оборот общ пит'!H6/Население!I6</f>
        <v>3.1736242884250476</v>
      </c>
      <c r="J6" s="84">
        <f>'Оборот общ пит'!I6/Население!J6</f>
        <v>3.9027645376549094</v>
      </c>
      <c r="K6" s="84">
        <f>'Оборот общ пит'!J6/Население!K6</f>
        <v>4.7123681687440078</v>
      </c>
      <c r="L6" s="84">
        <f>'Оборот общ пит'!K6/Население!L6</f>
        <v>5.2044358727097393</v>
      </c>
      <c r="M6" s="84">
        <f>'Оборот общ пит'!L6/Население!M6</f>
        <v>5.0087378640776699</v>
      </c>
      <c r="N6" s="84">
        <f>'Оборот общ пит'!M6/Население!N6</f>
        <v>5.2052785923753664</v>
      </c>
      <c r="O6" s="84">
        <f>'Оборот общ пит'!N6/Население!O6</f>
        <v>5.7221674876847288</v>
      </c>
      <c r="P6" s="84">
        <f>'Оборот общ пит'!O6/Население!P6</f>
        <v>6.4472111553784863</v>
      </c>
      <c r="Q6" s="84">
        <f>'Оборот общ пит'!P6/Население!Q6</f>
        <v>7.1675025075225678</v>
      </c>
      <c r="R6" s="84">
        <f>'Оборот общ пит'!Q6/Население!R6</f>
        <v>6.9270516717325226</v>
      </c>
    </row>
    <row r="7" spans="1:18" x14ac:dyDescent="0.25">
      <c r="A7" s="84">
        <v>6</v>
      </c>
      <c r="B7" s="84" t="s">
        <v>6</v>
      </c>
      <c r="C7" s="84">
        <f>'Оборот общ пит'!B7/Население!C7</f>
        <v>0.956989247311828</v>
      </c>
      <c r="D7" s="84">
        <f>'Оборот общ пит'!C7/Население!D7</f>
        <v>1.3027613412228798</v>
      </c>
      <c r="E7" s="84">
        <f>'Оборот общ пит'!D7/Население!E7</f>
        <v>1.7928642220019821</v>
      </c>
      <c r="F7" s="84">
        <f>'Оборот общ пит'!E7/Население!F7</f>
        <v>2.4075546719681911</v>
      </c>
      <c r="G7" s="84">
        <f>'Оборот общ пит'!F7/Население!G7</f>
        <v>2.5663010967098705</v>
      </c>
      <c r="H7" s="84">
        <f>'Оборот общ пит'!G7/Население!H7</f>
        <v>2.9831516352824581</v>
      </c>
      <c r="I7" s="84">
        <f>'Оборот общ пит'!H7/Население!I7</f>
        <v>3.4732142857142856</v>
      </c>
      <c r="J7" s="84">
        <f>'Оборот общ пит'!I7/Население!J7</f>
        <v>3.7763419483101393</v>
      </c>
      <c r="K7" s="84">
        <f>'Оборот общ пит'!J7/Население!K7</f>
        <v>4.2169154228855721</v>
      </c>
      <c r="L7" s="84">
        <f>'Оборот общ пит'!K7/Население!L7</f>
        <v>4.7230464886251236</v>
      </c>
      <c r="M7" s="84">
        <f>'Оборот общ пит'!L7/Население!M7</f>
        <v>6.6207920792079209</v>
      </c>
      <c r="N7" s="84">
        <f>'Оборот общ пит'!M7/Население!N7</f>
        <v>7.0759368836291916</v>
      </c>
      <c r="O7" s="84">
        <f>'Оборот общ пит'!N7/Население!O7</f>
        <v>8.1393280632411074</v>
      </c>
      <c r="P7" s="84">
        <f>'Оборот общ пит'!O7/Население!P7</f>
        <v>8.736372646184341</v>
      </c>
      <c r="Q7" s="84">
        <f>'Оборот общ пит'!P7/Население!Q7</f>
        <v>10.768693918245264</v>
      </c>
      <c r="R7" s="84">
        <f>'Оборот общ пит'!Q7/Население!R7</f>
        <v>9.4555444555444552</v>
      </c>
    </row>
    <row r="8" spans="1:18" x14ac:dyDescent="0.25">
      <c r="A8" s="84">
        <v>7</v>
      </c>
      <c r="B8" s="84" t="s">
        <v>7</v>
      </c>
      <c r="C8" s="84">
        <f>'Оборот общ пит'!B8/Население!C8</f>
        <v>1.1842857142857144</v>
      </c>
      <c r="D8" s="84">
        <f>'Оборот общ пит'!C8/Население!D8</f>
        <v>1.5472496473906912</v>
      </c>
      <c r="E8" s="84">
        <f>'Оборот общ пит'!D8/Население!E8</f>
        <v>1.9643874643874644</v>
      </c>
      <c r="F8" s="84">
        <f>'Оборот общ пит'!E8/Население!F8</f>
        <v>2.8163558106169297</v>
      </c>
      <c r="G8" s="84">
        <f>'Оборот общ пит'!F8/Население!G8</f>
        <v>2.9595375722543351</v>
      </c>
      <c r="H8" s="84">
        <f>'Оборот общ пит'!G8/Население!H8</f>
        <v>3.3393393393393391</v>
      </c>
      <c r="I8" s="84">
        <f>'Оборот общ пит'!H8/Население!I8</f>
        <v>4.0513595166163139</v>
      </c>
      <c r="J8" s="84">
        <f>'Оборот общ пит'!I8/Население!J8</f>
        <v>4.3535660091047044</v>
      </c>
      <c r="K8" s="84">
        <f>'Оборот общ пит'!J8/Население!K8</f>
        <v>5</v>
      </c>
      <c r="L8" s="84">
        <f>'Оборот общ пит'!K8/Население!L8</f>
        <v>5.2737003058103973</v>
      </c>
      <c r="M8" s="84">
        <f>'Оборот общ пит'!L8/Население!M8</f>
        <v>5.8156682027649769</v>
      </c>
      <c r="N8" s="84">
        <f>'Оборот общ пит'!M8/Население!N8</f>
        <v>6.3194444444444446</v>
      </c>
      <c r="O8" s="84">
        <f>'Оборот общ пит'!N8/Население!O8</f>
        <v>6.5147744945567654</v>
      </c>
      <c r="P8" s="84">
        <f>'Оборот общ пит'!O8/Население!P8</f>
        <v>6.9764521193092621</v>
      </c>
      <c r="Q8" s="84">
        <f>'Оборот общ пит'!P8/Население!Q8</f>
        <v>7.5418641390205368</v>
      </c>
      <c r="R8" s="84">
        <f>'Оборот общ пит'!Q8/Население!R8</f>
        <v>5.8901273885350323</v>
      </c>
    </row>
    <row r="9" spans="1:18" x14ac:dyDescent="0.25">
      <c r="A9" s="84">
        <v>8</v>
      </c>
      <c r="B9" s="84" t="s">
        <v>8</v>
      </c>
      <c r="C9" s="84">
        <f>'Оборот общ пит'!B9/Население!C9</f>
        <v>1.0738539898132429</v>
      </c>
      <c r="D9" s="84">
        <f>'Оборот общ пит'!C9/Население!D9</f>
        <v>1.3944256756756757</v>
      </c>
      <c r="E9" s="84">
        <f>'Оборот общ пит'!D9/Население!E9</f>
        <v>1.7736976942783946</v>
      </c>
      <c r="F9" s="84">
        <f>'Оборот общ пит'!E9/Население!F9</f>
        <v>2.5421686746987953</v>
      </c>
      <c r="G9" s="84">
        <f>'Оборот общ пит'!F9/Население!G9</f>
        <v>2.5891003460207611</v>
      </c>
      <c r="H9" s="84">
        <f>'Оборот общ пит'!G9/Население!H9</f>
        <v>2.6154529307282415</v>
      </c>
      <c r="I9" s="84">
        <f>'Оборот общ пит'!H9/Население!I9</f>
        <v>2.9946524064171123</v>
      </c>
      <c r="J9" s="84">
        <f>'Оборот общ пит'!I9/Население!J9</f>
        <v>3.446827524575514</v>
      </c>
      <c r="K9" s="84">
        <f>'Оборот общ пит'!J9/Население!K9</f>
        <v>3.9597855227882039</v>
      </c>
      <c r="L9" s="84">
        <f>'Оборот общ пит'!K9/Население!L9</f>
        <v>4.2712623097582814</v>
      </c>
      <c r="M9" s="84">
        <f>'Оборот общ пит'!L9/Население!M9</f>
        <v>4.8053571428571429</v>
      </c>
      <c r="N9" s="84">
        <f>'Оборот общ пит'!M9/Население!N9</f>
        <v>5.1433659839715045</v>
      </c>
      <c r="O9" s="84">
        <f>'Оборот общ пит'!N9/Население!O9</f>
        <v>5.5049327354260091</v>
      </c>
      <c r="P9" s="84">
        <f>'Оборот общ пит'!O9/Население!P9</f>
        <v>5.6892502258355915</v>
      </c>
      <c r="Q9" s="84">
        <f>'Оборот общ пит'!P9/Население!Q9</f>
        <v>6.1349637681159424</v>
      </c>
      <c r="R9" s="84">
        <f>'Оборот общ пит'!Q9/Население!R9</f>
        <v>5.6399270738377396</v>
      </c>
    </row>
    <row r="10" spans="1:18" x14ac:dyDescent="0.25">
      <c r="A10" s="84">
        <v>9</v>
      </c>
      <c r="B10" s="84" t="s">
        <v>9</v>
      </c>
      <c r="C10" s="84">
        <f>'Оборот общ пит'!B10/Население!C10</f>
        <v>1.3266331658291457</v>
      </c>
      <c r="D10" s="84">
        <f>'Оборот общ пит'!C10/Население!D10</f>
        <v>1.6172734970364098</v>
      </c>
      <c r="E10" s="84">
        <f>'Оборот общ пит'!D10/Население!E10</f>
        <v>1.9480408858603067</v>
      </c>
      <c r="F10" s="84">
        <f>'Оборот общ пит'!E10/Население!F10</f>
        <v>2.7322497861420016</v>
      </c>
      <c r="G10" s="84">
        <f>'Оборот общ пит'!F10/Население!G10</f>
        <v>2.7850386930352538</v>
      </c>
      <c r="H10" s="84">
        <f>'Оборот общ пит'!G10/Население!H10</f>
        <v>3.0025597269624575</v>
      </c>
      <c r="I10" s="84">
        <f>'Оборот общ пит'!H10/Население!I10</f>
        <v>3.5874785591766725</v>
      </c>
      <c r="J10" s="84">
        <f>'Оборот общ пит'!I10/Население!J10</f>
        <v>3.9586919104991396</v>
      </c>
      <c r="K10" s="84">
        <f>'Оборот общ пит'!J10/Население!K10</f>
        <v>4.5379310344827584</v>
      </c>
      <c r="L10" s="84">
        <f>'Оборот общ пит'!K10/Население!L10</f>
        <v>5.0034542314335058</v>
      </c>
      <c r="M10" s="84">
        <f>'Оборот общ пит'!L10/Население!M10</f>
        <v>5.5458477508650521</v>
      </c>
      <c r="N10" s="84">
        <f>'Оборот общ пит'!M10/Население!N10</f>
        <v>5.6842560553633215</v>
      </c>
      <c r="O10" s="84">
        <f>'Оборот общ пит'!N10/Население!O10</f>
        <v>5.9956521739130437</v>
      </c>
      <c r="P10" s="84">
        <f>'Оборот общ пит'!O10/Население!P10</f>
        <v>6.4064685314685317</v>
      </c>
      <c r="Q10" s="84">
        <f>'Оборот общ пит'!P10/Население!Q10</f>
        <v>7.0298507462686564</v>
      </c>
      <c r="R10" s="84">
        <f>'Оборот общ пит'!Q10/Население!R10</f>
        <v>5.9414893617021276</v>
      </c>
    </row>
    <row r="11" spans="1:18" x14ac:dyDescent="0.25">
      <c r="A11" s="84">
        <v>10</v>
      </c>
      <c r="B11" s="84" t="s">
        <v>10</v>
      </c>
      <c r="C11" s="84">
        <f>'Оборот общ пит'!B11/Население!C11</f>
        <v>2.2107900943396226</v>
      </c>
      <c r="D11" s="84">
        <f>'Оборот общ пит'!C11/Население!D11</f>
        <v>2.8154797827398914</v>
      </c>
      <c r="E11" s="84">
        <f>'Оборот общ пит'!D11/Население!E11</f>
        <v>4.4787842311164612</v>
      </c>
      <c r="F11" s="84">
        <f>'Оборот общ пит'!E11/Население!F11</f>
        <v>6.3524651580998048</v>
      </c>
      <c r="G11" s="84">
        <f>'Оборот общ пит'!F11/Население!G11</f>
        <v>5.9012364069715479</v>
      </c>
      <c r="H11" s="84">
        <f>'Оборот общ пит'!G11/Население!H11</f>
        <v>6.1850548831972985</v>
      </c>
      <c r="I11" s="84">
        <f>'Оборот общ пит'!H11/Население!I11</f>
        <v>6.8979024864564522</v>
      </c>
      <c r="J11" s="84">
        <f>'Оборот общ пит'!I11/Население!J11</f>
        <v>8.4659477866061295</v>
      </c>
      <c r="K11" s="84">
        <f>'Оборот общ пит'!J11/Население!K11</f>
        <v>9.2929632744603303</v>
      </c>
      <c r="L11" s="84">
        <f>'Оборот общ пит'!K11/Население!L11</f>
        <v>10.242013552758955</v>
      </c>
      <c r="M11" s="84">
        <f>'Оборот общ пит'!L11/Население!M11</f>
        <v>10.739581910097007</v>
      </c>
      <c r="N11" s="84">
        <f>'Оборот общ пит'!M11/Население!N11</f>
        <v>11.781759396470429</v>
      </c>
      <c r="O11" s="84">
        <f>'Оборот общ пит'!N11/Население!O11</f>
        <v>13.414500866320139</v>
      </c>
      <c r="P11" s="84">
        <f>'Оборот общ пит'!O11/Население!P11</f>
        <v>14.919331490985655</v>
      </c>
      <c r="Q11" s="84">
        <f>'Оборот общ пит'!P11/Население!Q11</f>
        <v>17.049798465739176</v>
      </c>
      <c r="R11" s="84">
        <f>'Оборот общ пит'!Q11/Население!R11</f>
        <v>13.187702685173175</v>
      </c>
    </row>
    <row r="12" spans="1:18" x14ac:dyDescent="0.25">
      <c r="A12" s="84">
        <v>11</v>
      </c>
      <c r="B12" s="84" t="s">
        <v>11</v>
      </c>
      <c r="C12" s="84">
        <f>'Оборот общ пит'!B12/Население!C12</f>
        <v>1.4282238442822384</v>
      </c>
      <c r="D12" s="84">
        <f>'Оборот общ пит'!C12/Население!D12</f>
        <v>1.6570743405275778</v>
      </c>
      <c r="E12" s="84">
        <f>'Оборот общ пит'!D12/Население!E12</f>
        <v>1.9068923821039903</v>
      </c>
      <c r="F12" s="84">
        <f>'Оборот общ пит'!E12/Население!F12</f>
        <v>2.4294403892944039</v>
      </c>
      <c r="G12" s="84">
        <f>'Оборот общ пит'!F12/Население!G12</f>
        <v>2.3635250917992656</v>
      </c>
      <c r="H12" s="84">
        <f>'Оборот общ пит'!G12/Население!H12</f>
        <v>2.9923664122137406</v>
      </c>
      <c r="I12" s="84">
        <f>'Оборот общ пит'!H12/Население!I12</f>
        <v>3.7733674775928296</v>
      </c>
      <c r="J12" s="84">
        <f>'Оборот общ пит'!I12/Население!J12</f>
        <v>3.9845360824742269</v>
      </c>
      <c r="K12" s="84">
        <f>'Оборот общ пит'!J12/Население!K12</f>
        <v>4.6818181818181817</v>
      </c>
      <c r="L12" s="84">
        <f>'Оборот общ пит'!K12/Население!L12</f>
        <v>4.9267973856209153</v>
      </c>
      <c r="M12" s="84">
        <f>'Оборот общ пит'!L12/Население!M12</f>
        <v>5.3184210526315789</v>
      </c>
      <c r="N12" s="84">
        <f>'Оборот общ пит'!M12/Население!N12</f>
        <v>5.0529801324503314</v>
      </c>
      <c r="O12" s="84">
        <f>'Оборот общ пит'!N12/Население!O12</f>
        <v>5.2663989290495312</v>
      </c>
      <c r="P12" s="84">
        <f>'Оборот общ пит'!O12/Население!P12</f>
        <v>5.5094594594594595</v>
      </c>
      <c r="Q12" s="84">
        <f>'Оборот общ пит'!P12/Население!Q12</f>
        <v>5.9250681198910078</v>
      </c>
      <c r="R12" s="84">
        <f>'Оборот общ пит'!Q12/Население!R12</f>
        <v>4.9379310344827587</v>
      </c>
    </row>
    <row r="13" spans="1:18" x14ac:dyDescent="0.25">
      <c r="A13" s="84">
        <v>12</v>
      </c>
      <c r="B13" s="84" t="s">
        <v>12</v>
      </c>
      <c r="C13" s="84">
        <f>'Оборот общ пит'!B13/Население!C13</f>
        <v>0.95458368376787217</v>
      </c>
      <c r="D13" s="84">
        <f>'Оборот общ пит'!C13/Население!D13</f>
        <v>1.2402707275803722</v>
      </c>
      <c r="E13" s="84">
        <f>'Оборот общ пит'!D13/Население!E13</f>
        <v>1.704778156996587</v>
      </c>
      <c r="F13" s="84">
        <f>'Оборот общ пит'!E13/Население!F13</f>
        <v>2.5313304721030043</v>
      </c>
      <c r="G13" s="84">
        <f>'Оборот общ пит'!F13/Население!G13</f>
        <v>2.6174438687392056</v>
      </c>
      <c r="H13" s="84">
        <f>'Оборот общ пит'!G13/Население!H13</f>
        <v>2.7170138888888888</v>
      </c>
      <c r="I13" s="84">
        <f>'Оборот общ пит'!H13/Население!I13</f>
        <v>3.234320557491289</v>
      </c>
      <c r="J13" s="84">
        <f>'Оборот общ пит'!I13/Население!J13</f>
        <v>3.784965034965035</v>
      </c>
      <c r="K13" s="84">
        <f>'Оборот общ пит'!J13/Население!K13</f>
        <v>4.2602979842243647</v>
      </c>
      <c r="L13" s="84">
        <f>'Оборот общ пит'!K13/Население!L13</f>
        <v>4.7735682819383261</v>
      </c>
      <c r="M13" s="84">
        <f>'Оборот общ пит'!L13/Население!M13</f>
        <v>5.2548672566371684</v>
      </c>
      <c r="N13" s="84">
        <f>'Оборот общ пит'!M13/Население!N13</f>
        <v>4.9094942324755992</v>
      </c>
      <c r="O13" s="84">
        <f>'Оборот общ пит'!N13/Население!O13</f>
        <v>5.4402852049910875</v>
      </c>
      <c r="P13" s="84">
        <f>'Оборот общ пит'!O13/Население!P13</f>
        <v>5.7926391382405749</v>
      </c>
      <c r="Q13" s="84">
        <f>'Оборот общ пит'!P13/Население!Q13</f>
        <v>6.2939585211902616</v>
      </c>
      <c r="R13" s="84">
        <f>'Оборот общ пит'!Q13/Население!R13</f>
        <v>6.39799635701275</v>
      </c>
    </row>
    <row r="14" spans="1:18" x14ac:dyDescent="0.25">
      <c r="A14" s="84">
        <v>13</v>
      </c>
      <c r="B14" s="84" t="s">
        <v>13</v>
      </c>
      <c r="C14" s="84">
        <f>'Оборот общ пит'!B14/Население!C14</f>
        <v>0.85170731707317071</v>
      </c>
      <c r="D14" s="84">
        <f>'Оборот общ пит'!C14/Население!D14</f>
        <v>1.0059642147117296</v>
      </c>
      <c r="E14" s="84">
        <f>'Оборот общ пит'!D14/Население!E14</f>
        <v>2.3762575452716299</v>
      </c>
      <c r="F14" s="84">
        <f>'Оборот общ пит'!E14/Население!F14</f>
        <v>3.0244150559511698</v>
      </c>
      <c r="G14" s="84">
        <f>'Оборот общ пит'!F14/Население!G14</f>
        <v>3.175564681724846</v>
      </c>
      <c r="H14" s="84">
        <f>'Оборот общ пит'!G14/Население!H14</f>
        <v>3.7049847405900307</v>
      </c>
      <c r="I14" s="84">
        <f>'Оборот общ пит'!H14/Население!I14</f>
        <v>4.5137614678899078</v>
      </c>
      <c r="J14" s="84">
        <f>'Оборот общ пит'!I14/Население!J14</f>
        <v>5.1712820512820512</v>
      </c>
      <c r="K14" s="84">
        <f>'Оборот общ пит'!J14/Население!K14</f>
        <v>5.9772727272727275</v>
      </c>
      <c r="L14" s="84">
        <f>'Оборот общ пит'!K14/Население!L14</f>
        <v>6.598963730569948</v>
      </c>
      <c r="M14" s="84">
        <f>'Оборот общ пит'!L14/Население!M14</f>
        <v>6.8675703858185608</v>
      </c>
      <c r="N14" s="84">
        <f>'Оборот общ пит'!M14/Население!N14</f>
        <v>6.7607555089192024</v>
      </c>
      <c r="O14" s="84">
        <f>'Оборот общ пит'!N14/Население!O14</f>
        <v>6.88</v>
      </c>
      <c r="P14" s="84">
        <f>'Оборот общ пит'!O14/Население!P14</f>
        <v>7.3874734607218686</v>
      </c>
      <c r="Q14" s="84">
        <f>'Оборот общ пит'!P14/Население!Q14</f>
        <v>7.7903743315508018</v>
      </c>
      <c r="R14" s="84">
        <f>'Оборот общ пит'!Q14/Население!R14</f>
        <v>6.1672095548317047</v>
      </c>
    </row>
    <row r="15" spans="1:18" x14ac:dyDescent="0.25">
      <c r="A15" s="84">
        <v>14</v>
      </c>
      <c r="B15" s="84" t="s">
        <v>14</v>
      </c>
      <c r="C15" s="84">
        <f>'Оборот общ пит'!B15/Население!C15</f>
        <v>0.83055311676909571</v>
      </c>
      <c r="D15" s="84">
        <f>'Оборот общ пит'!C15/Население!D15</f>
        <v>1.0309734513274336</v>
      </c>
      <c r="E15" s="84">
        <f>'Оборот общ пит'!D15/Население!E15</f>
        <v>1.3491495076096687</v>
      </c>
      <c r="F15" s="84">
        <f>'Оборот общ пит'!E15/Население!F15</f>
        <v>2.0144665461121156</v>
      </c>
      <c r="G15" s="84">
        <f>'Оборот общ пит'!F15/Население!G15</f>
        <v>1.9608021877848678</v>
      </c>
      <c r="H15" s="84">
        <f>'Оборот общ пит'!G15/Население!H15</f>
        <v>1.9963302752293579</v>
      </c>
      <c r="I15" s="84">
        <f>'Оборот общ пит'!H15/Население!I15</f>
        <v>2.4639556377079481</v>
      </c>
      <c r="J15" s="84">
        <f>'Оборот общ пит'!I15/Население!J15</f>
        <v>2.8206319702602229</v>
      </c>
      <c r="K15" s="84">
        <f>'Оборот общ пит'!J15/Население!K15</f>
        <v>3.2862488306828812</v>
      </c>
      <c r="L15" s="84">
        <f>'Оборот общ пит'!K15/Население!L15</f>
        <v>3.9114877589453863</v>
      </c>
      <c r="M15" s="84">
        <f>'Оборот общ пит'!L15/Население!M15</f>
        <v>4.3980952380952383</v>
      </c>
      <c r="N15" s="84">
        <f>'Оборот общ пит'!M15/Население!N15</f>
        <v>4.6384615384615389</v>
      </c>
      <c r="O15" s="84">
        <f>'Оборот общ пит'!N15/Население!O15</f>
        <v>5.0677637947725076</v>
      </c>
      <c r="P15" s="84">
        <f>'Оборот общ пит'!O15/Население!P15</f>
        <v>5.7135826771653546</v>
      </c>
      <c r="Q15" s="84">
        <f>'Оборот общ пит'!P15/Население!Q15</f>
        <v>6.2393247269116188</v>
      </c>
      <c r="R15" s="84">
        <f>'Оборот общ пит'!Q15/Население!R15</f>
        <v>5.7404426559356141</v>
      </c>
    </row>
    <row r="16" spans="1:18" x14ac:dyDescent="0.25">
      <c r="A16" s="84">
        <v>15</v>
      </c>
      <c r="B16" s="84" t="s">
        <v>15</v>
      </c>
      <c r="C16" s="84">
        <f>'Оборот общ пит'!B16/Население!C16</f>
        <v>1.5363957597173146</v>
      </c>
      <c r="D16" s="84">
        <f>'Оборот общ пит'!C16/Население!D16</f>
        <v>2.0348258706467663</v>
      </c>
      <c r="E16" s="84">
        <f>'Оборот общ пит'!D16/Население!E16</f>
        <v>2.3985611510791367</v>
      </c>
      <c r="F16" s="84">
        <f>'Оборот общ пит'!E16/Население!F16</f>
        <v>3.1326086956521739</v>
      </c>
      <c r="G16" s="84">
        <f>'Оборот общ пит'!F16/Население!G16</f>
        <v>3.398100803506209</v>
      </c>
      <c r="H16" s="84">
        <f>'Оборот общ пит'!G16/Население!H16</f>
        <v>3.768148148148148</v>
      </c>
      <c r="I16" s="84">
        <f>'Оборот общ пит'!H16/Население!I16</f>
        <v>4.2034277198211623</v>
      </c>
      <c r="J16" s="84">
        <f>'Оборот общ пит'!I16/Население!J16</f>
        <v>4.626686656671664</v>
      </c>
      <c r="K16" s="84">
        <f>'Оборот общ пит'!J16/Население!K16</f>
        <v>5.1252830188679246</v>
      </c>
      <c r="L16" s="84">
        <f>'Оборот общ пит'!K16/Население!L16</f>
        <v>5.6418250950570341</v>
      </c>
      <c r="M16" s="84">
        <f>'Оборот общ пит'!L16/Население!M16</f>
        <v>6.1379310344827589</v>
      </c>
      <c r="N16" s="84">
        <f>'Оборот общ пит'!M16/Население!N16</f>
        <v>6.037008481110254</v>
      </c>
      <c r="O16" s="84">
        <f>'Оборот общ пит'!N16/Население!O16</f>
        <v>6.4797507788161992</v>
      </c>
      <c r="P16" s="84">
        <f>'Оборот общ пит'!O16/Население!P16</f>
        <v>6.8370078740157476</v>
      </c>
      <c r="Q16" s="84">
        <f>'Оборот общ пит'!P16/Население!Q16</f>
        <v>7.3396825396825394</v>
      </c>
      <c r="R16" s="84">
        <f>'Оборот общ пит'!Q16/Население!R16</f>
        <v>6.4012841091492776</v>
      </c>
    </row>
    <row r="17" spans="1:18" x14ac:dyDescent="0.25">
      <c r="A17" s="84">
        <v>16</v>
      </c>
      <c r="B17" s="84" t="s">
        <v>16</v>
      </c>
      <c r="C17" s="84">
        <f>'Оборот общ пит'!B17/Население!C17</f>
        <v>0.50278637770897838</v>
      </c>
      <c r="D17" s="84">
        <f>'Оборот общ пит'!C17/Население!D17</f>
        <v>0.56874999999999998</v>
      </c>
      <c r="E17" s="84">
        <f>'Оборот общ пит'!D17/Население!E17</f>
        <v>1.6683544303797468</v>
      </c>
      <c r="F17" s="84">
        <f>'Оборот общ пит'!E17/Население!F17</f>
        <v>2.3825031928480205</v>
      </c>
      <c r="G17" s="84">
        <f>'Оборот общ пит'!F17/Население!G17</f>
        <v>2.3593045717965229</v>
      </c>
      <c r="H17" s="84">
        <f>'Оборот общ пит'!G17/Население!H17</f>
        <v>2.6341935483870969</v>
      </c>
      <c r="I17" s="84">
        <f>'Оборот общ пит'!H17/Население!I17</f>
        <v>2.7391585760517798</v>
      </c>
      <c r="J17" s="84">
        <f>'Оборот общ пит'!I17/Население!J17</f>
        <v>2.7976501305483028</v>
      </c>
      <c r="K17" s="84">
        <f>'Оборот общ пит'!J17/Население!K17</f>
        <v>2.8988173455978976</v>
      </c>
      <c r="L17" s="84">
        <f>'Оборот общ пит'!K17/Население!L17</f>
        <v>3.2562747688243063</v>
      </c>
      <c r="M17" s="84">
        <f>'Оборот общ пит'!L17/Население!M17</f>
        <v>4.2357237715803455</v>
      </c>
      <c r="N17" s="84">
        <f>'Оборот общ пит'!M17/Население!N17</f>
        <v>4.9906604402935288</v>
      </c>
      <c r="O17" s="84">
        <f>'Оборот общ пит'!N17/Население!O17</f>
        <v>5.4282841823056298</v>
      </c>
      <c r="P17" s="84">
        <f>'Оборот общ пит'!O17/Население!P17</f>
        <v>5.735632183908046</v>
      </c>
      <c r="Q17" s="84">
        <f>'Оборот общ пит'!P17/Население!Q17</f>
        <v>6.1336971350613911</v>
      </c>
      <c r="R17" s="84">
        <f>'Оборот общ пит'!Q17/Население!R17</f>
        <v>5.5769496204278814</v>
      </c>
    </row>
    <row r="18" spans="1:18" x14ac:dyDescent="0.25">
      <c r="A18" s="84">
        <v>17</v>
      </c>
      <c r="B18" s="84" t="s">
        <v>17</v>
      </c>
      <c r="C18" s="84">
        <f>'Оборот общ пит'!B18/Население!C18</f>
        <v>1.5392231530845393</v>
      </c>
      <c r="D18" s="84">
        <f>'Оборот общ пит'!C18/Население!D18</f>
        <v>1.9525602409638554</v>
      </c>
      <c r="E18" s="84">
        <f>'Оборот общ пит'!D18/Население!E18</f>
        <v>3.5037878787878789</v>
      </c>
      <c r="F18" s="84">
        <f>'Оборот общ пит'!E18/Население!F18</f>
        <v>4.5330798479087449</v>
      </c>
      <c r="G18" s="84">
        <f>'Оборот общ пит'!F18/Население!G18</f>
        <v>4.4832061068702291</v>
      </c>
      <c r="H18" s="84">
        <f>'Оборот общ пит'!G18/Население!H18</f>
        <v>4.8741148701809598</v>
      </c>
      <c r="I18" s="84">
        <f>'Оборот общ пит'!H18/Население!I18</f>
        <v>5.1793863099921325</v>
      </c>
      <c r="J18" s="84">
        <f>'Оборот общ пит'!I18/Население!J18</f>
        <v>5.8144654088050318</v>
      </c>
      <c r="K18" s="84">
        <f>'Оборот общ пит'!J18/Население!K18</f>
        <v>6.3356918238993707</v>
      </c>
      <c r="L18" s="84">
        <f>'Оборот общ пит'!K18/Население!L18</f>
        <v>6.8152515723270444</v>
      </c>
      <c r="M18" s="84">
        <f>'Оборот общ пит'!L18/Население!M18</f>
        <v>6.5526729559748427</v>
      </c>
      <c r="N18" s="84">
        <f>'Оборот общ пит'!M18/Население!N18</f>
        <v>7.2100708103855231</v>
      </c>
      <c r="O18" s="84">
        <f>'Оборот общ пит'!N18/Население!O18</f>
        <v>7.5639810426540288</v>
      </c>
      <c r="P18" s="84">
        <f>'Оборот общ пит'!O18/Население!P18</f>
        <v>8.424603174603174</v>
      </c>
      <c r="Q18" s="84">
        <f>'Оборот общ пит'!P18/Население!Q18</f>
        <v>10.558213716108453</v>
      </c>
      <c r="R18" s="84">
        <f>'Оборот общ пит'!Q18/Население!R18</f>
        <v>9.6994359387590645</v>
      </c>
    </row>
    <row r="19" spans="1:18" x14ac:dyDescent="0.25">
      <c r="A19" s="84">
        <v>18</v>
      </c>
      <c r="B19" s="84" t="s">
        <v>18</v>
      </c>
      <c r="C19" s="84">
        <f>'Оборот общ пит'!B19/Население!C19</f>
        <v>6.0681984621017939</v>
      </c>
      <c r="D19" s="84">
        <f>'Оборот общ пит'!C19/Население!D19</f>
        <v>7.916258992805755</v>
      </c>
      <c r="E19" s="84">
        <f>'Оборот общ пит'!D19/Население!E19</f>
        <v>9.1541702575888149</v>
      </c>
      <c r="F19" s="84">
        <f>'Оборот общ пит'!E19/Население!F19</f>
        <v>10.701432664756448</v>
      </c>
      <c r="G19" s="84">
        <f>'Оборот общ пит'!F19/Население!G19</f>
        <v>11.198781996384051</v>
      </c>
      <c r="H19" s="84">
        <f>'Оборот общ пит'!G19/Население!H19</f>
        <v>10.398578979291223</v>
      </c>
      <c r="I19" s="84">
        <f>'Оборот общ пит'!H19/Население!I19</f>
        <v>11.640402996641695</v>
      </c>
      <c r="J19" s="84">
        <f>'Оборот общ пит'!I19/Население!J19</f>
        <v>12.13906510851419</v>
      </c>
      <c r="K19" s="84">
        <f>'Оборот общ пит'!J19/Население!K19</f>
        <v>13.631400726792204</v>
      </c>
      <c r="L19" s="84">
        <f>'Оборот общ пит'!K19/Население!L19</f>
        <v>14.276133475444782</v>
      </c>
      <c r="M19" s="84">
        <f>'Оборот общ пит'!L19/Население!M19</f>
        <v>14.2117599351176</v>
      </c>
      <c r="N19" s="84">
        <f>'Оборот общ пит'!M19/Население!N19</f>
        <v>12.994023099911153</v>
      </c>
      <c r="O19" s="84">
        <f>'Оборот общ пит'!N19/Население!O19</f>
        <v>13.160230271048214</v>
      </c>
      <c r="P19" s="84">
        <f>'Оборот общ пит'!O19/Население!P19</f>
        <v>14.475624256837099</v>
      </c>
      <c r="Q19" s="84">
        <f>'Оборот общ пит'!P19/Население!Q19</f>
        <v>15.935084398170059</v>
      </c>
      <c r="R19" s="84">
        <f>'Оборот общ пит'!Q19/Население!R19</f>
        <v>20.257921770051365</v>
      </c>
    </row>
    <row r="20" spans="1:18" x14ac:dyDescent="0.25">
      <c r="A20" s="84">
        <v>19</v>
      </c>
      <c r="B20" s="84" t="s">
        <v>19</v>
      </c>
      <c r="C20" s="84">
        <f>'Оборот общ пит'!B20/Население!C20</f>
        <v>1.6494082840236686</v>
      </c>
      <c r="D20" s="84">
        <f>'Оборот общ пит'!C20/Население!D20</f>
        <v>1.9613180515759312</v>
      </c>
      <c r="E20" s="84">
        <f>'Оборот общ пит'!D20/Население!E20</f>
        <v>2.370851370851371</v>
      </c>
      <c r="F20" s="84">
        <f>'Оборот общ пит'!E20/Население!F20</f>
        <v>2.7322720694645439</v>
      </c>
      <c r="G20" s="84">
        <f>'Оборот общ пит'!F20/Население!G20</f>
        <v>2.7598253275109172</v>
      </c>
      <c r="H20" s="84">
        <f>'Оборот общ пит'!G20/Население!H20</f>
        <v>3.2208398133748055</v>
      </c>
      <c r="I20" s="84">
        <f>'Оборот общ пит'!H20/Население!I20</f>
        <v>3.8343750000000001</v>
      </c>
      <c r="J20" s="84">
        <f>'Оборот общ пит'!I20/Население!J20</f>
        <v>4.4536891679748827</v>
      </c>
      <c r="K20" s="84">
        <f>'Оборот общ пит'!J20/Население!K20</f>
        <v>4.8990536277602521</v>
      </c>
      <c r="L20" s="84">
        <f>'Оборот общ пит'!K20/Население!L20</f>
        <v>5.6919431279620856</v>
      </c>
      <c r="M20" s="84">
        <f>'Оборот общ пит'!L20/Население!M20</f>
        <v>6.5253968253968253</v>
      </c>
      <c r="N20" s="84">
        <f>'Оборот общ пит'!M20/Население!N20</f>
        <v>7.2599681020733655</v>
      </c>
      <c r="O20" s="84">
        <f>'Оборот общ пит'!N20/Население!O20</f>
        <v>7.689710610932476</v>
      </c>
      <c r="P20" s="84">
        <f>'Оборот общ пит'!O20/Население!P20</f>
        <v>8.0404530744336569</v>
      </c>
      <c r="Q20" s="84">
        <f>'Оборот общ пит'!P20/Население!Q20</f>
        <v>8.9332247557003264</v>
      </c>
      <c r="R20" s="84">
        <f>'Оборот общ пит'!Q20/Население!R20</f>
        <v>9.444991789819376</v>
      </c>
    </row>
    <row r="21" spans="1:18" x14ac:dyDescent="0.25">
      <c r="A21" s="84">
        <v>20</v>
      </c>
      <c r="B21" s="84" t="s">
        <v>20</v>
      </c>
      <c r="C21" s="84">
        <f>'Оборот общ пит'!B21/Население!C21</f>
        <v>2.0841121495327104</v>
      </c>
      <c r="D21" s="84">
        <f>'Оборот общ пит'!C21/Население!D21</f>
        <v>2.7248730964467005</v>
      </c>
      <c r="E21" s="84">
        <f>'Оборот общ пит'!D21/Население!E21</f>
        <v>3.2676923076923079</v>
      </c>
      <c r="F21" s="84">
        <f>'Оборот общ пит'!E21/Население!F21</f>
        <v>3.9659090909090908</v>
      </c>
      <c r="G21" s="84">
        <f>'Оборот общ пит'!F21/Население!G21</f>
        <v>4.6663190823774769</v>
      </c>
      <c r="H21" s="84">
        <f>'Оборот общ пит'!G21/Население!H21</f>
        <v>5.5506117908787544</v>
      </c>
      <c r="I21" s="84">
        <f>'Оборот общ пит'!H21/Население!I21</f>
        <v>7.0696629213483142</v>
      </c>
      <c r="J21" s="84">
        <f>'Оборот общ пит'!I21/Население!J21</f>
        <v>7.7954545454545459</v>
      </c>
      <c r="K21" s="84">
        <f>'Оборот общ пит'!J21/Население!K21</f>
        <v>8.5745412844036704</v>
      </c>
      <c r="L21" s="84">
        <f>'Оборот общ пит'!K21/Население!L21</f>
        <v>9.137731481481481</v>
      </c>
      <c r="M21" s="84">
        <f>'Оборот общ пит'!L21/Население!M21</f>
        <v>9.3290548424737452</v>
      </c>
      <c r="N21" s="84">
        <f>'Оборот общ пит'!M21/Население!N21</f>
        <v>9.2764705882352949</v>
      </c>
      <c r="O21" s="84">
        <f>'Оборот общ пит'!N21/Население!O21</f>
        <v>9.6670630202140302</v>
      </c>
      <c r="P21" s="84">
        <f>'Оборот общ пит'!O21/Население!P21</f>
        <v>10.179518072289156</v>
      </c>
      <c r="Q21" s="84">
        <f>'Оборот общ пит'!P21/Население!Q21</f>
        <v>11.239951278928137</v>
      </c>
      <c r="R21" s="84">
        <f>'Оборот общ пит'!Q21/Население!R21</f>
        <v>11.615479115479115</v>
      </c>
    </row>
    <row r="22" spans="1:18" x14ac:dyDescent="0.25">
      <c r="A22" s="84">
        <v>21</v>
      </c>
      <c r="B22" s="84" t="s">
        <v>21</v>
      </c>
      <c r="C22" s="84">
        <f>'Оборот общ пит'!B22/Население!C22</f>
        <v>1.7964118564742591</v>
      </c>
      <c r="D22" s="84">
        <f>'Оборот общ пит'!C22/Население!D22</f>
        <v>2.0689388071262589</v>
      </c>
      <c r="E22" s="84">
        <f>'Оборот общ пит'!D22/Население!E22</f>
        <v>2.8703124999999998</v>
      </c>
      <c r="F22" s="84">
        <f>'Оборот общ пит'!E22/Население!F22</f>
        <v>3.9056603773584904</v>
      </c>
      <c r="G22" s="84">
        <f>'Оборот общ пит'!F22/Население!G22</f>
        <v>4.1204437400950873</v>
      </c>
      <c r="H22" s="84">
        <f>'Оборот общ пит'!G22/Население!H22</f>
        <v>4.5273469387755103</v>
      </c>
      <c r="I22" s="84">
        <f>'Оборот общ пит'!H22/Население!I22</f>
        <v>5.9142621599340481</v>
      </c>
      <c r="J22" s="84">
        <f>'Оборот общ пит'!I22/Население!J22</f>
        <v>7.0091514143094846</v>
      </c>
      <c r="K22" s="84">
        <f>'Оборот общ пит'!J22/Население!K22</f>
        <v>7.8213087248322148</v>
      </c>
      <c r="L22" s="84">
        <f>'Оборот общ пит'!K22/Население!L22</f>
        <v>9.0380388841927299</v>
      </c>
      <c r="M22" s="84">
        <f>'Оборот общ пит'!L22/Население!M22</f>
        <v>10.247870528109029</v>
      </c>
      <c r="N22" s="84">
        <f>'Оборот общ пит'!M22/Население!N22</f>
        <v>11.157804459691253</v>
      </c>
      <c r="O22" s="84">
        <f>'Оборот общ пит'!N22/Население!O22</f>
        <v>12.516017316017315</v>
      </c>
      <c r="P22" s="84">
        <f>'Оборот общ пит'!O22/Население!P22</f>
        <v>13.506118881118882</v>
      </c>
      <c r="Q22" s="84">
        <f>'Оборот общ пит'!P22/Население!Q22</f>
        <v>14.304577464788732</v>
      </c>
      <c r="R22" s="84">
        <f>'Оборот общ пит'!Q22/Население!R22</f>
        <v>12.086956521739131</v>
      </c>
    </row>
    <row r="23" spans="1:18" x14ac:dyDescent="0.25">
      <c r="A23" s="84">
        <v>22</v>
      </c>
      <c r="B23" s="84" t="s">
        <v>22</v>
      </c>
      <c r="C23" s="84">
        <f>'Оборот общ пит'!B23/Население!C23</f>
        <v>1.5732793522267206</v>
      </c>
      <c r="D23" s="84">
        <f>'Оборот общ пит'!C23/Население!D23</f>
        <v>1.7109311740890689</v>
      </c>
      <c r="E23" s="84">
        <f>'Оборот общ пит'!D23/Население!E23</f>
        <v>2.8534201954397393</v>
      </c>
      <c r="F23" s="84">
        <f>'Оборот общ пит'!E23/Население!F23</f>
        <v>3.5478331970564185</v>
      </c>
      <c r="G23" s="84">
        <f>'Оборот общ пит'!F23/Население!G23</f>
        <v>2.7791461412151066</v>
      </c>
      <c r="H23" s="84">
        <f>'Оборот общ пит'!G23/Население!H23</f>
        <v>3.0824313072439633</v>
      </c>
      <c r="I23" s="84">
        <f>'Оборот общ пит'!H23/Население!I23</f>
        <v>3.493322203672788</v>
      </c>
      <c r="J23" s="84">
        <f>'Оборот общ пит'!I23/Население!J23</f>
        <v>3.8361204013377925</v>
      </c>
      <c r="K23" s="84">
        <f>'Оборот общ пит'!J23/Население!K23</f>
        <v>4.2238055322715846</v>
      </c>
      <c r="L23" s="84">
        <f>'Оборот общ пит'!K23/Население!L23</f>
        <v>4.7145256087321581</v>
      </c>
      <c r="M23" s="84">
        <f>'Оборот общ пит'!L23/Население!M23</f>
        <v>5.4823232323232327</v>
      </c>
      <c r="N23" s="84">
        <f>'Оборот общ пит'!M23/Население!N23</f>
        <v>5.6748310810810807</v>
      </c>
      <c r="O23" s="84">
        <f>'Оборот общ пит'!N23/Население!O23</f>
        <v>6.1350892098555647</v>
      </c>
      <c r="P23" s="84">
        <f>'Оборот общ пит'!O23/Население!P23</f>
        <v>6.9255136986301373</v>
      </c>
      <c r="Q23" s="84">
        <f>'Оборот общ пит'!P23/Население!Q23</f>
        <v>7.8405172413793105</v>
      </c>
      <c r="R23" s="84">
        <f>'Оборот общ пит'!Q23/Население!R23</f>
        <v>6.8314509122502169</v>
      </c>
    </row>
    <row r="24" spans="1:18" x14ac:dyDescent="0.25">
      <c r="A24" s="84">
        <v>23</v>
      </c>
      <c r="B24" s="84" t="s">
        <v>23</v>
      </c>
      <c r="C24" s="84">
        <f>'Оборот общ пит'!B24/Население!C24</f>
        <v>1.5405982905982907</v>
      </c>
      <c r="D24" s="84">
        <f>'Оборот общ пит'!C24/Население!D24</f>
        <v>2.0095744680851064</v>
      </c>
      <c r="E24" s="84">
        <f>'Оборот общ пит'!D24/Население!E24</f>
        <v>3.5933831376734258</v>
      </c>
      <c r="F24" s="84">
        <f>'Оборот общ пит'!E24/Население!F24</f>
        <v>4.1707577374599785</v>
      </c>
      <c r="G24" s="84">
        <f>'Оборот общ пит'!F24/Население!G24</f>
        <v>4.1462113127001068</v>
      </c>
      <c r="H24" s="84">
        <f>'Оборот общ пит'!G24/Население!H24</f>
        <v>4.4649681528662422</v>
      </c>
      <c r="I24" s="84">
        <f>'Оборот общ пит'!H24/Население!I24</f>
        <v>5.0401267159450898</v>
      </c>
      <c r="J24" s="84">
        <f>'Оборот общ пит'!I24/Население!J24</f>
        <v>5.3811518324607333</v>
      </c>
      <c r="K24" s="84">
        <f>'Оборот общ пит'!J24/Население!K24</f>
        <v>6.3717549325025962</v>
      </c>
      <c r="L24" s="84">
        <f>'Оборот общ пит'!K24/Население!L24</f>
        <v>8.8080495356037147</v>
      </c>
      <c r="M24" s="84">
        <f>'Оборот общ пит'!L24/Население!M24</f>
        <v>9.9303278688524586</v>
      </c>
      <c r="N24" s="84">
        <f>'Оборот общ пит'!M24/Население!N24</f>
        <v>10.441176470588236</v>
      </c>
      <c r="O24" s="84">
        <f>'Оборот общ пит'!N24/Население!O24</f>
        <v>11.759798994974874</v>
      </c>
      <c r="P24" s="84">
        <f>'Оборот общ пит'!O24/Население!P24</f>
        <v>13.016966067864271</v>
      </c>
      <c r="Q24" s="84">
        <f>'Оборот общ пит'!P24/Население!Q24</f>
        <v>13.548864758144127</v>
      </c>
      <c r="R24" s="84">
        <f>'Оборот общ пит'!Q24/Население!R24</f>
        <v>11.118743866535819</v>
      </c>
    </row>
    <row r="25" spans="1:18" x14ac:dyDescent="0.25">
      <c r="A25" s="84">
        <v>24</v>
      </c>
      <c r="B25" s="84" t="s">
        <v>24</v>
      </c>
      <c r="C25" s="84">
        <f>'Оборот общ пит'!B25/Население!C25</f>
        <v>2.090207715133531</v>
      </c>
      <c r="D25" s="84">
        <f>'Оборот общ пит'!C25/Население!D25</f>
        <v>2.8114355231143553</v>
      </c>
      <c r="E25" s="84">
        <f>'Оборот общ пит'!D25/Население!E25</f>
        <v>3.6312576312576312</v>
      </c>
      <c r="F25" s="84">
        <f>'Оборот общ пит'!E25/Население!F25</f>
        <v>4.3123086344151869</v>
      </c>
      <c r="G25" s="84">
        <f>'Оборот общ пит'!F25/Население!G25</f>
        <v>4.6102941176470589</v>
      </c>
      <c r="H25" s="84">
        <f>'Оборот общ пит'!G25/Население!H25</f>
        <v>4.8772542175683533</v>
      </c>
      <c r="I25" s="84">
        <f>'Оборот общ пит'!H25/Население!I25</f>
        <v>5.4700115340253745</v>
      </c>
      <c r="J25" s="84">
        <f>'Оборот общ пит'!I25/Население!J25</f>
        <v>6.1273557966876071</v>
      </c>
      <c r="K25" s="84">
        <f>'Оборот общ пит'!J25/Население!K25</f>
        <v>6.2386621315192743</v>
      </c>
      <c r="L25" s="84">
        <f>'Оборот общ пит'!K25/Население!L25</f>
        <v>6.4797297297297298</v>
      </c>
      <c r="M25" s="84">
        <f>'Оборот общ пит'!L25/Население!M25</f>
        <v>7.080382237211917</v>
      </c>
      <c r="N25" s="84">
        <f>'Оборот общ пит'!M25/Население!N25</f>
        <v>8.2779017857142865</v>
      </c>
      <c r="O25" s="84">
        <f>'Оборот общ пит'!N25/Население!O25</f>
        <v>8.5237045203969135</v>
      </c>
      <c r="P25" s="84">
        <f>'Оборот общ пит'!O25/Население!P25</f>
        <v>9.0827922077922079</v>
      </c>
      <c r="Q25" s="84">
        <f>'Оборот общ пит'!P25/Население!Q25</f>
        <v>10.047974413646056</v>
      </c>
      <c r="R25" s="84">
        <f>'Оборот общ пит'!Q25/Население!R25</f>
        <v>7.6582144743792924</v>
      </c>
    </row>
    <row r="26" spans="1:18" x14ac:dyDescent="0.25">
      <c r="A26" s="84">
        <v>25</v>
      </c>
      <c r="B26" s="84" t="s">
        <v>25</v>
      </c>
      <c r="C26" s="84">
        <f>'Оборот общ пит'!B26/Население!C26</f>
        <v>3.0452920143027415</v>
      </c>
      <c r="D26" s="84">
        <f>'Оборот общ пит'!C26/Население!D26</f>
        <v>3.574074074074074</v>
      </c>
      <c r="E26" s="84">
        <f>'Оборот общ пит'!D26/Население!E26</f>
        <v>4.2368728121353563</v>
      </c>
      <c r="F26" s="84">
        <f>'Оборот общ пит'!E26/Население!F26</f>
        <v>5.5029377203290251</v>
      </c>
      <c r="G26" s="84">
        <f>'Оборот общ пит'!F26/Население!G26</f>
        <v>6.080664294187426</v>
      </c>
      <c r="H26" s="84">
        <f>'Оборот общ пит'!G26/Население!H26</f>
        <v>7.4584382871536521</v>
      </c>
      <c r="I26" s="84">
        <f>'Оборот общ пит'!H26/Население!I26</f>
        <v>8.3565989847715745</v>
      </c>
      <c r="J26" s="84">
        <f>'Оборот общ пит'!I26/Население!J26</f>
        <v>9.4730769230769223</v>
      </c>
      <c r="K26" s="84">
        <f>'Оборот общ пит'!J26/Население!K26</f>
        <v>10.710765239948119</v>
      </c>
      <c r="L26" s="84">
        <f>'Оборот общ пит'!K26/Население!L26</f>
        <v>11.740208877284596</v>
      </c>
      <c r="M26" s="84">
        <f>'Оборот общ пит'!L26/Население!M26</f>
        <v>17.706036745406823</v>
      </c>
      <c r="N26" s="84">
        <f>'Оборот общ пит'!M26/Население!N26</f>
        <v>17.837516512549538</v>
      </c>
      <c r="O26" s="84">
        <f>'Оборот общ пит'!N26/Население!O26</f>
        <v>18.245358090185675</v>
      </c>
      <c r="P26" s="84">
        <f>'Оборот общ пит'!O26/Население!P26</f>
        <v>18.867647058823529</v>
      </c>
      <c r="Q26" s="84">
        <f>'Оборот общ пит'!P26/Население!Q26</f>
        <v>19.551956815114711</v>
      </c>
      <c r="R26" s="84">
        <f>'Оборот общ пит'!Q26/Население!R26</f>
        <v>16.847203274215552</v>
      </c>
    </row>
    <row r="27" spans="1:18" x14ac:dyDescent="0.25">
      <c r="A27" s="84">
        <v>26</v>
      </c>
      <c r="B27" s="84" t="s">
        <v>26</v>
      </c>
      <c r="C27" s="84">
        <f>'Оборот общ пит'!B27/Население!C27</f>
        <v>1.424924924924925</v>
      </c>
      <c r="D27" s="84">
        <f>'Оборот общ пит'!C27/Население!D27</f>
        <v>1.5894736842105264</v>
      </c>
      <c r="E27" s="84">
        <f>'Оборот общ пит'!D27/Население!E27</f>
        <v>2.7016742770167426</v>
      </c>
      <c r="F27" s="84">
        <f>'Оборот общ пит'!E27/Население!F27</f>
        <v>3.8987730061349692</v>
      </c>
      <c r="G27" s="84">
        <f>'Оборот общ пит'!F27/Население!G27</f>
        <v>4.96594427244582</v>
      </c>
      <c r="H27" s="84">
        <f>'Оборот общ пит'!G27/Население!H27</f>
        <v>5.0521327014218009</v>
      </c>
      <c r="I27" s="84">
        <f>'Оборот общ пит'!H27/Население!I27</f>
        <v>5.6380952380952385</v>
      </c>
      <c r="J27" s="84">
        <f>'Оборот общ пит'!I27/Население!J27</f>
        <v>6.0814696485623001</v>
      </c>
      <c r="K27" s="84">
        <f>'Оборот общ пит'!J27/Население!K27</f>
        <v>6.646869983948636</v>
      </c>
      <c r="L27" s="84">
        <f>'Оборот общ пит'!K27/Население!L27</f>
        <v>7.2810985460420028</v>
      </c>
      <c r="M27" s="84">
        <f>'Оборот общ пит'!L27/Население!M27</f>
        <v>8.021103896103897</v>
      </c>
      <c r="N27" s="84">
        <f>'Оборот общ пит'!M27/Население!N27</f>
        <v>7.9216965742251224</v>
      </c>
      <c r="O27" s="84">
        <f>'Оборот общ пит'!N27/Население!O27</f>
        <v>7.9290429042904291</v>
      </c>
      <c r="P27" s="84">
        <f>'Оборот общ пит'!O27/Население!P27</f>
        <v>8.1850000000000005</v>
      </c>
      <c r="Q27" s="84">
        <f>'Оборот общ пит'!P27/Население!Q27</f>
        <v>8.5544388609715245</v>
      </c>
      <c r="R27" s="84">
        <f>'Оборот общ пит'!Q27/Население!R27</f>
        <v>7.8868243243243246</v>
      </c>
    </row>
    <row r="28" spans="1:18" x14ac:dyDescent="0.25">
      <c r="A28" s="84">
        <v>27</v>
      </c>
      <c r="B28" s="84" t="s">
        <v>27</v>
      </c>
      <c r="C28" s="84">
        <f>'Оборот общ пит'!B28/Население!C28</f>
        <v>1.5478502080443828</v>
      </c>
      <c r="D28" s="84">
        <f>'Оборот общ пит'!C28/Население!D28</f>
        <v>1.8206896551724139</v>
      </c>
      <c r="E28" s="84">
        <f>'Оборот общ пит'!D28/Население!E28</f>
        <v>2.8571428571428572</v>
      </c>
      <c r="F28" s="84">
        <f>'Оборот общ пит'!E28/Население!F28</f>
        <v>3.9206798866855523</v>
      </c>
      <c r="G28" s="84">
        <f>'Оборот общ пит'!F28/Население!G28</f>
        <v>3.4410919540229883</v>
      </c>
      <c r="H28" s="84">
        <f>'Оборот общ пит'!G28/Население!H28</f>
        <v>3.7481371087928466</v>
      </c>
      <c r="I28" s="84">
        <f>'Оборот общ пит'!H28/Население!I28</f>
        <v>4.1004497751124438</v>
      </c>
      <c r="J28" s="84">
        <f>'Оборот общ пит'!I28/Население!J28</f>
        <v>5.1767371601208456</v>
      </c>
      <c r="K28" s="84">
        <f>'Оборот общ пит'!J28/Население!K28</f>
        <v>5.910197869101979</v>
      </c>
      <c r="L28" s="84">
        <f>'Оборот общ пит'!K28/Население!L28</f>
        <v>6.0092165898617509</v>
      </c>
      <c r="M28" s="84">
        <f>'Оборот общ пит'!L28/Население!M28</f>
        <v>6.4721362229102164</v>
      </c>
      <c r="N28" s="84">
        <f>'Оборот общ пит'!M28/Население!N28</f>
        <v>7.4252336448598131</v>
      </c>
      <c r="O28" s="84">
        <f>'Оборот общ пит'!N28/Население!O28</f>
        <v>7.6037735849056602</v>
      </c>
      <c r="P28" s="84">
        <f>'Оборот общ пит'!O28/Население!P28</f>
        <v>8.3206349206349213</v>
      </c>
      <c r="Q28" s="84">
        <f>'Оборот общ пит'!P28/Население!Q28</f>
        <v>9.4968051118210859</v>
      </c>
      <c r="R28" s="84">
        <f>'Оборот общ пит'!Q28/Население!R28</f>
        <v>9.1822580645161285</v>
      </c>
    </row>
    <row r="29" spans="1:18" x14ac:dyDescent="0.25">
      <c r="A29" s="84">
        <v>28</v>
      </c>
      <c r="B29" s="84" t="s">
        <v>28</v>
      </c>
      <c r="C29" s="84">
        <f>'Оборот общ пит'!B29/Население!C29</f>
        <v>3.366857627837895</v>
      </c>
      <c r="D29" s="84">
        <f>'Оборот общ пит'!C29/Население!D29</f>
        <v>4.4599432438332238</v>
      </c>
      <c r="E29" s="84">
        <f>'Оборот общ пит'!D29/Население!E29</f>
        <v>6.8860205644279153</v>
      </c>
      <c r="F29" s="84">
        <f>'Оборот общ пит'!E29/Население!F29</f>
        <v>9.0941330998248695</v>
      </c>
      <c r="G29" s="84">
        <f>'Оборот общ пит'!F29/Население!G29</f>
        <v>8.6126145787865553</v>
      </c>
      <c r="H29" s="84">
        <f>'Оборот общ пит'!G29/Население!H29</f>
        <v>9.3737497448458864</v>
      </c>
      <c r="I29" s="84">
        <f>'Оборот общ пит'!H29/Население!I29</f>
        <v>10.226125580456289</v>
      </c>
      <c r="J29" s="84">
        <f>'Оборот общ пит'!I29/Население!J29</f>
        <v>11.098249801113763</v>
      </c>
      <c r="K29" s="84">
        <f>'Оборот общ пит'!J29/Население!K29</f>
        <v>10.437646141855028</v>
      </c>
      <c r="L29" s="84">
        <f>'Оборот общ пит'!K29/Население!L29</f>
        <v>10.323189522342064</v>
      </c>
      <c r="M29" s="84">
        <f>'Оборот общ пит'!L29/Население!M29</f>
        <v>10.940872560275546</v>
      </c>
      <c r="N29" s="84">
        <f>'Оборот общ пит'!M29/Население!N29</f>
        <v>12.817682695948504</v>
      </c>
      <c r="O29" s="84">
        <f>'Оборот общ пит'!N29/Население!O29</f>
        <v>13.528774289985053</v>
      </c>
      <c r="P29" s="84">
        <f>'Оборот общ пит'!O29/Население!P29</f>
        <v>14.524145616641903</v>
      </c>
      <c r="Q29" s="84">
        <f>'Оборот общ пит'!P29/Население!Q29</f>
        <v>17.147832530566877</v>
      </c>
      <c r="R29" s="84">
        <f>'Оборот общ пит'!Q29/Население!R29</f>
        <v>12.488112927191679</v>
      </c>
    </row>
    <row r="30" spans="1:18" x14ac:dyDescent="0.25">
      <c r="A30" s="84">
        <v>29</v>
      </c>
      <c r="B30" s="84" t="s">
        <v>29</v>
      </c>
      <c r="C30" s="84">
        <f>'Оборот общ пит'!B30/Население!C30</f>
        <v>0.21768707482993196</v>
      </c>
      <c r="D30" s="84">
        <f>'Оборот общ пит'!C30/Население!D30</f>
        <v>0.49209932279909707</v>
      </c>
      <c r="E30" s="84">
        <f>'Оборот общ пит'!D30/Население!E30</f>
        <v>0.96598639455782309</v>
      </c>
      <c r="F30" s="84">
        <f>'Оборот общ пит'!E30/Население!F30</f>
        <v>1.7641723356009071</v>
      </c>
      <c r="G30" s="84">
        <f>'Оборот общ пит'!F30/Население!G30</f>
        <v>2.1557562076749437</v>
      </c>
      <c r="H30" s="84">
        <f>'Оборот общ пит'!G30/Население!H30</f>
        <v>2.5704545454545453</v>
      </c>
      <c r="I30" s="84">
        <f>'Оборот общ пит'!H30/Население!I30</f>
        <v>2.8984198645598194</v>
      </c>
      <c r="J30" s="84">
        <f>'Оборот общ пит'!I30/Население!J30</f>
        <v>3.1348314606741572</v>
      </c>
      <c r="K30" s="84">
        <f>'Оборот общ пит'!J30/Население!K30</f>
        <v>3.5964125560538118</v>
      </c>
      <c r="L30" s="84">
        <f>'Оборот общ пит'!K30/Население!L30</f>
        <v>4.3496659242761693</v>
      </c>
      <c r="M30" s="84">
        <f>'Оборот общ пит'!L30/Население!M30</f>
        <v>4.9002217294900223</v>
      </c>
      <c r="N30" s="84">
        <f>'Оборот общ пит'!M30/Население!N30</f>
        <v>4.8744493392070485</v>
      </c>
      <c r="O30" s="84">
        <f>'Оборот общ пит'!N30/Население!O30</f>
        <v>6.7951541850220263</v>
      </c>
      <c r="P30" s="84">
        <f>'Оборот общ пит'!O30/Население!P30</f>
        <v>7.0835164835164832</v>
      </c>
      <c r="Q30" s="84">
        <f>'Оборот общ пит'!P30/Население!Q30</f>
        <v>8.416846652267818</v>
      </c>
      <c r="R30" s="84">
        <f>'Оборот общ пит'!Q30/Население!R30</f>
        <v>6.2246220302375814</v>
      </c>
    </row>
    <row r="31" spans="1:18" x14ac:dyDescent="0.25">
      <c r="A31" s="84">
        <v>30</v>
      </c>
      <c r="B31" s="84" t="s">
        <v>30</v>
      </c>
      <c r="C31" s="84">
        <f>'Оборот общ пит'!B31/Население!C31</f>
        <v>0.17006802721088435</v>
      </c>
      <c r="D31" s="84">
        <f>'Оборот общ пит'!C31/Население!D31</f>
        <v>0.23183391003460208</v>
      </c>
      <c r="E31" s="84">
        <f>'Оборот общ пит'!D31/Население!E31</f>
        <v>0.82229965156794427</v>
      </c>
      <c r="F31" s="84">
        <f>'Оборот общ пит'!E31/Население!F31</f>
        <v>1.2167832167832169</v>
      </c>
      <c r="G31" s="84">
        <f>'Оборот общ пит'!F31/Население!G31</f>
        <v>1.369718309859155</v>
      </c>
      <c r="H31" s="84">
        <f>'Оборот общ пит'!G31/Население!H31</f>
        <v>1.4740484429065743</v>
      </c>
      <c r="I31" s="84">
        <f>'Оборот общ пит'!H31/Население!I31</f>
        <v>1.5574912891986064</v>
      </c>
      <c r="J31" s="84">
        <f>'Оборот общ пит'!I31/Население!J31</f>
        <v>1.6830985915492958</v>
      </c>
      <c r="K31" s="84">
        <f>'Оборот общ пит'!J31/Население!K31</f>
        <v>1.9042553191489362</v>
      </c>
      <c r="L31" s="84">
        <f>'Оборот общ пит'!K31/Население!L31</f>
        <v>1.7864768683274022</v>
      </c>
      <c r="M31" s="84">
        <f>'Оборот общ пит'!L31/Население!M31</f>
        <v>1.7885304659498207</v>
      </c>
      <c r="N31" s="84">
        <f>'Оборот общ пит'!M31/Население!N31</f>
        <v>1.8273381294964028</v>
      </c>
      <c r="O31" s="84">
        <f>'Оборот общ пит'!N31/Население!O31</f>
        <v>2.0690909090909089</v>
      </c>
      <c r="P31" s="84">
        <f>'Оборот общ пит'!O31/Население!P31</f>
        <v>2.2058823529411766</v>
      </c>
      <c r="Q31" s="84">
        <f>'Оборот общ пит'!P31/Население!Q31</f>
        <v>2.4981549815498156</v>
      </c>
      <c r="R31" s="84">
        <f>'Оборот общ пит'!Q31/Население!R31</f>
        <v>2.0074074074074075</v>
      </c>
    </row>
    <row r="32" spans="1:18" x14ac:dyDescent="0.25">
      <c r="A32" s="84">
        <v>31</v>
      </c>
      <c r="B32" s="84" t="s">
        <v>31</v>
      </c>
      <c r="C32" s="84"/>
      <c r="D32" s="84"/>
      <c r="E32" s="84"/>
      <c r="F32" s="84"/>
      <c r="G32" s="84"/>
      <c r="H32" s="84"/>
      <c r="I32" s="84"/>
      <c r="J32" s="84"/>
      <c r="K32" s="84"/>
      <c r="L32" s="84">
        <f>'Оборот общ пит'!K32/Население!L32</f>
        <v>2.6434599156118144</v>
      </c>
      <c r="M32" s="84">
        <f>'Оборот общ пит'!L32/Население!M32</f>
        <v>3.1782905086523336</v>
      </c>
      <c r="N32" s="84">
        <f>'Оборот общ пит'!M32/Население!N32</f>
        <v>5.1171548117154808</v>
      </c>
      <c r="O32" s="84">
        <f>'Оборот общ пит'!N32/Население!O32</f>
        <v>5.4070010449320796</v>
      </c>
      <c r="P32" s="84">
        <f>'Оборот общ пит'!O32/Население!P32</f>
        <v>6.2703974895397492</v>
      </c>
      <c r="Q32" s="84">
        <f>'Оборот общ пит'!P32/Население!Q32</f>
        <v>6.5601464435146442</v>
      </c>
      <c r="R32" s="84">
        <f>'Оборот общ пит'!Q32/Население!R32</f>
        <v>6.7828601472134595</v>
      </c>
    </row>
    <row r="33" spans="1:18" x14ac:dyDescent="0.25">
      <c r="A33" s="84">
        <v>32</v>
      </c>
      <c r="B33" s="84" t="s">
        <v>32</v>
      </c>
      <c r="C33" s="84">
        <f>'Оборот общ пит'!B33/Население!C33</f>
        <v>1.8927247903257265</v>
      </c>
      <c r="D33" s="84">
        <f>'Оборот общ пит'!C33/Население!D33</f>
        <v>2.693877551020408</v>
      </c>
      <c r="E33" s="84">
        <f>'Оборот общ пит'!D33/Население!E33</f>
        <v>4.1193883552244657</v>
      </c>
      <c r="F33" s="84">
        <f>'Оборот общ пит'!E33/Население!F33</f>
        <v>5.333658727059742</v>
      </c>
      <c r="G33" s="84">
        <f>'Оборот общ пит'!F33/Население!G33</f>
        <v>5.9782185919875532</v>
      </c>
      <c r="H33" s="84">
        <f>'Оборот общ пит'!G33/Население!H33</f>
        <v>6.7839388145315489</v>
      </c>
      <c r="I33" s="84">
        <f>'Оборот общ пит'!H33/Население!I33</f>
        <v>7.9347085541256623</v>
      </c>
      <c r="J33" s="84">
        <f>'Оборот общ пит'!I33/Население!J33</f>
        <v>9.0463414634146346</v>
      </c>
      <c r="K33" s="84">
        <f>'Оборот общ пит'!J33/Население!K33</f>
        <v>9.566802368615841</v>
      </c>
      <c r="L33" s="84">
        <f>'Оборот общ пит'!K33/Население!L33</f>
        <v>11.202053538687203</v>
      </c>
      <c r="M33" s="84">
        <f>'Оборот общ пит'!L33/Население!M33</f>
        <v>11.900979325353646</v>
      </c>
      <c r="N33" s="84">
        <f>'Оборот общ пит'!M33/Население!N33</f>
        <v>12.61586788727338</v>
      </c>
      <c r="O33" s="84">
        <f>'Оборот общ пит'!N33/Население!O33</f>
        <v>13.0551490273068</v>
      </c>
      <c r="P33" s="84">
        <f>'Оборот общ пит'!O33/Население!P33</f>
        <v>13.578257790368271</v>
      </c>
      <c r="Q33" s="84">
        <f>'Оборот общ пит'!P33/Население!Q33</f>
        <v>14.319943622269204</v>
      </c>
      <c r="R33" s="84">
        <f>'Оборот общ пит'!Q33/Население!R33</f>
        <v>13.264250527797326</v>
      </c>
    </row>
    <row r="34" spans="1:18" x14ac:dyDescent="0.25">
      <c r="A34" s="84">
        <v>33</v>
      </c>
      <c r="B34" s="84" t="s">
        <v>33</v>
      </c>
      <c r="C34" s="84">
        <f>'Оборот общ пит'!B34/Население!C34</f>
        <v>1.2731804586241275</v>
      </c>
      <c r="D34" s="84">
        <f>'Оборот общ пит'!C34/Население!D34</f>
        <v>1.7887323943661972</v>
      </c>
      <c r="E34" s="84">
        <f>'Оборот общ пит'!D34/Население!E34</f>
        <v>2.7062374245472838</v>
      </c>
      <c r="F34" s="84">
        <f>'Оборот общ пит'!E34/Население!F34</f>
        <v>3.4355644355644355</v>
      </c>
      <c r="G34" s="84">
        <f>'Оборот общ пит'!F34/Население!G34</f>
        <v>3.6099502487562187</v>
      </c>
      <c r="H34" s="84">
        <f>'Оборот общ пит'!G34/Население!H34</f>
        <v>4.2693069306930695</v>
      </c>
      <c r="I34" s="84">
        <f>'Оборот общ пит'!H34/Население!I34</f>
        <v>5.3004926108374386</v>
      </c>
      <c r="J34" s="84">
        <f>'Оборот общ пит'!I34/Население!J34</f>
        <v>6.1844181459566077</v>
      </c>
      <c r="K34" s="84">
        <f>'Оборот общ пит'!J34/Население!K34</f>
        <v>6.574237954768928</v>
      </c>
      <c r="L34" s="84">
        <f>'Оборот общ пит'!K34/Население!L34</f>
        <v>7.5817825661116549</v>
      </c>
      <c r="M34" s="84">
        <f>'Оборот общ пит'!L34/Население!M34</f>
        <v>7.992149165848871</v>
      </c>
      <c r="N34" s="84">
        <f>'Оборот общ пит'!M34/Население!N34</f>
        <v>8.1501472031403335</v>
      </c>
      <c r="O34" s="84">
        <f>'Оборот общ пит'!N34/Население!O34</f>
        <v>8.8239921337266463</v>
      </c>
      <c r="P34" s="84">
        <f>'Оборот общ пит'!O34/Население!P34</f>
        <v>9.4546351084812628</v>
      </c>
      <c r="Q34" s="84">
        <f>'Оборот общ пит'!P34/Население!Q34</f>
        <v>10.139165009940358</v>
      </c>
      <c r="R34" s="84">
        <f>'Оборот общ пит'!Q34/Население!R34</f>
        <v>8.3156312625250504</v>
      </c>
    </row>
    <row r="35" spans="1:18" x14ac:dyDescent="0.25">
      <c r="A35" s="84">
        <v>34</v>
      </c>
      <c r="B35" s="84" t="s">
        <v>34</v>
      </c>
      <c r="C35" s="84">
        <f>'Оборот общ пит'!B35/Население!C35</f>
        <v>0.90530303030303028</v>
      </c>
      <c r="D35" s="84">
        <f>'Оборот общ пит'!C35/Население!D35</f>
        <v>1.0398330804248861</v>
      </c>
      <c r="E35" s="84">
        <f>'Оборот общ пит'!D35/Население!E35</f>
        <v>1.5866412213740457</v>
      </c>
      <c r="F35" s="84">
        <f>'Оборот общ пит'!E35/Население!F35</f>
        <v>2.3188961287849752</v>
      </c>
      <c r="G35" s="84">
        <f>'Оборот общ пит'!F35/Население!G35</f>
        <v>2.5494420931127357</v>
      </c>
      <c r="H35" s="84">
        <f>'Оборот общ пит'!G35/Население!H35</f>
        <v>2.7867280398925969</v>
      </c>
      <c r="I35" s="84">
        <f>'Оборот общ пит'!H35/Население!I35</f>
        <v>2.7803468208092488</v>
      </c>
      <c r="J35" s="84">
        <f>'Оборот общ пит'!I35/Население!J35</f>
        <v>3.0394889663182347</v>
      </c>
      <c r="K35" s="84">
        <f>'Оборот общ пит'!J35/Население!K35</f>
        <v>3.3332035811599843</v>
      </c>
      <c r="L35" s="84">
        <f>'Оборот общ пит'!K35/Население!L35</f>
        <v>3.5791943684004695</v>
      </c>
      <c r="M35" s="84">
        <f>'Оборот общ пит'!L35/Население!M35</f>
        <v>3.9893951296150827</v>
      </c>
      <c r="N35" s="84">
        <f>'Оборот общ пит'!M35/Население!N35</f>
        <v>4.3499013806706115</v>
      </c>
      <c r="O35" s="84">
        <f>'Оборот общ пит'!N35/Население!O35</f>
        <v>4.908369694565649</v>
      </c>
      <c r="P35" s="84">
        <f>'Оборот общ пит'!O35/Население!P35</f>
        <v>5.4549441786283888</v>
      </c>
      <c r="Q35" s="84">
        <f>'Оборот общ пит'!P35/Население!Q35</f>
        <v>6.0919309514251303</v>
      </c>
      <c r="R35" s="84">
        <f>'Оборот общ пит'!Q35/Население!R35</f>
        <v>5.4004040404040401</v>
      </c>
    </row>
    <row r="36" spans="1:18" x14ac:dyDescent="0.25">
      <c r="A36" s="84">
        <v>35</v>
      </c>
      <c r="B36" s="84" t="s">
        <v>35</v>
      </c>
      <c r="C36" s="84">
        <f>'Оборот общ пит'!B36/Население!C36</f>
        <v>1.4168975069252077</v>
      </c>
      <c r="D36" s="84">
        <f>'Оборот общ пит'!C36/Население!D36</f>
        <v>1.7558085501858736</v>
      </c>
      <c r="E36" s="84">
        <f>'Оборот общ пит'!D36/Население!E36</f>
        <v>2.6807764265668848</v>
      </c>
      <c r="F36" s="84">
        <f>'Оборот общ пит'!E36/Население!F36</f>
        <v>3.9396004700352525</v>
      </c>
      <c r="G36" s="84">
        <f>'Оборот общ пит'!F36/Население!G36</f>
        <v>4.2508250825082508</v>
      </c>
      <c r="H36" s="84">
        <f>'Оборот общ пит'!G36/Население!H36</f>
        <v>4.8095906432748539</v>
      </c>
      <c r="I36" s="84">
        <f>'Оборот общ пит'!H36/Население!I36</f>
        <v>5.4492957746478874</v>
      </c>
      <c r="J36" s="84">
        <f>'Оборот общ пит'!I36/Население!J36</f>
        <v>6.329572167371885</v>
      </c>
      <c r="K36" s="84">
        <f>'Оборот общ пит'!J36/Население!K36</f>
        <v>6.9218087611869992</v>
      </c>
      <c r="L36" s="84">
        <f>'Оборот общ пит'!K36/Население!L36</f>
        <v>7.7630834512022631</v>
      </c>
      <c r="M36" s="84">
        <f>'Оборот общ пит'!L36/Население!M36</f>
        <v>8.1104815864022655</v>
      </c>
      <c r="N36" s="84">
        <f>'Оборот общ пит'!M36/Население!N36</f>
        <v>8.1772630583786334</v>
      </c>
      <c r="O36" s="84">
        <f>'Оборот общ пит'!N36/Население!O36</f>
        <v>8.8630656242596544</v>
      </c>
      <c r="P36" s="84">
        <f>'Оборот общ пит'!O36/Население!P36</f>
        <v>9.4334998810373545</v>
      </c>
      <c r="Q36" s="84">
        <f>'Оборот общ пит'!P36/Население!Q36</f>
        <v>10.044306812767985</v>
      </c>
      <c r="R36" s="84">
        <f>'Оборот общ пит'!Q36/Население!R36</f>
        <v>8.7580105212816832</v>
      </c>
    </row>
    <row r="37" spans="1:18" x14ac:dyDescent="0.25">
      <c r="A37" s="84">
        <v>36</v>
      </c>
      <c r="B37" s="84" t="s">
        <v>36</v>
      </c>
      <c r="C37" s="84"/>
      <c r="D37" s="84"/>
      <c r="E37" s="84"/>
      <c r="F37" s="84"/>
      <c r="G37" s="84"/>
      <c r="H37" s="84"/>
      <c r="I37" s="84"/>
      <c r="J37" s="84"/>
      <c r="K37" s="84"/>
      <c r="L37" s="84">
        <f>'Оборот общ пит'!K37/Население!L37</f>
        <v>4.3834586466165417</v>
      </c>
      <c r="M37" s="84">
        <f>'Оборот общ пит'!L37/Население!M37</f>
        <v>8.365384615384615</v>
      </c>
      <c r="N37" s="84">
        <f>'Оборот общ пит'!M37/Население!N37</f>
        <v>11.794871794871796</v>
      </c>
      <c r="O37" s="84">
        <f>'Оборот общ пит'!N37/Население!O37</f>
        <v>12.665903890160184</v>
      </c>
      <c r="P37" s="84">
        <f>'Оборот общ пит'!O37/Население!P37</f>
        <v>12.905191873589164</v>
      </c>
      <c r="Q37" s="84">
        <f>'Оборот общ пит'!P37/Население!Q37</f>
        <v>13.267260579064589</v>
      </c>
      <c r="R37" s="84">
        <f>'Оборот общ пит'!Q37/Население!R37</f>
        <v>11.427450980392157</v>
      </c>
    </row>
    <row r="38" spans="1:18" x14ac:dyDescent="0.25">
      <c r="A38" s="84">
        <v>37</v>
      </c>
      <c r="B38" s="84" t="s">
        <v>37</v>
      </c>
      <c r="C38" s="84">
        <f>'Оборот общ пит'!B38/Население!C38</f>
        <v>1.8284441143705905</v>
      </c>
      <c r="D38" s="84">
        <f>'Оборот общ пит'!C38/Население!D38</f>
        <v>3.0124952669443394</v>
      </c>
      <c r="E38" s="84">
        <f>'Оборот общ пит'!D38/Население!E38</f>
        <v>4.6844678450545318</v>
      </c>
      <c r="F38" s="84">
        <f>'Оборот общ пит'!E38/Население!F38</f>
        <v>8.7760416666666661</v>
      </c>
      <c r="G38" s="84">
        <f>'Оборот общ пит'!F38/Население!G38</f>
        <v>9.5357669616519178</v>
      </c>
      <c r="H38" s="84">
        <f>'Оборот общ пит'!G38/Население!H38</f>
        <v>10.020590253946466</v>
      </c>
      <c r="I38" s="84">
        <f>'Оборот общ пит'!H38/Население!I38</f>
        <v>13.983964517229614</v>
      </c>
      <c r="J38" s="84">
        <f>'Оборот общ пит'!I38/Население!J38</f>
        <v>18.849626612355738</v>
      </c>
      <c r="K38" s="84">
        <f>'Оборот общ пит'!J38/Население!K38</f>
        <v>21.170377867746289</v>
      </c>
      <c r="L38" s="84">
        <f>'Оборот общ пит'!K38/Население!L38</f>
        <v>22.921404682274247</v>
      </c>
      <c r="M38" s="84">
        <f>'Оборот общ пит'!L38/Население!M38</f>
        <v>25.320066334991708</v>
      </c>
      <c r="N38" s="84">
        <f>'Оборот общ пит'!M38/Население!N38</f>
        <v>26.106508875739646</v>
      </c>
      <c r="O38" s="84">
        <f>'Оборот общ пит'!N38/Население!O38</f>
        <v>28.179830287206265</v>
      </c>
      <c r="P38" s="84">
        <f>'Оборот общ пит'!O38/Население!P38</f>
        <v>24.92546986390149</v>
      </c>
      <c r="Q38" s="84">
        <f>'Оборот общ пит'!P38/Население!Q38</f>
        <v>25.673095467695276</v>
      </c>
      <c r="R38" s="84">
        <f>'Оборот общ пит'!Q38/Население!R38</f>
        <v>17.501117140121291</v>
      </c>
    </row>
    <row r="39" spans="1:18" x14ac:dyDescent="0.25">
      <c r="A39" s="84">
        <v>38</v>
      </c>
      <c r="B39" s="84" t="s">
        <v>38</v>
      </c>
      <c r="C39" s="84">
        <f>'Оборот общ пит'!B39/Население!C39</f>
        <v>0</v>
      </c>
      <c r="D39" s="84">
        <f>'Оборот общ пит'!C39/Население!D39</f>
        <v>0</v>
      </c>
      <c r="E39" s="84">
        <f>'Оборот общ пит'!D39/Население!E39</f>
        <v>0</v>
      </c>
      <c r="F39" s="84">
        <f>'Оборот общ пит'!E39/Население!F39</f>
        <v>0</v>
      </c>
      <c r="G39" s="84">
        <f>'Оборот общ пит'!F39/Население!G39</f>
        <v>0</v>
      </c>
      <c r="H39" s="84">
        <f>'Оборот общ пит'!G39/Население!H39</f>
        <v>0</v>
      </c>
      <c r="I39" s="84">
        <f>'Оборот общ пит'!H39/Население!I39</f>
        <v>0.23720930232558141</v>
      </c>
      <c r="J39" s="84">
        <f>'Оборот общ пит'!I39/Население!J39</f>
        <v>0.3009049773755656</v>
      </c>
      <c r="K39" s="84">
        <f>'Оборот общ пит'!J39/Население!K39</f>
        <v>0.2958057395143488</v>
      </c>
      <c r="L39" s="84">
        <f>'Оборот общ пит'!K39/Население!L39</f>
        <v>0.29741379310344829</v>
      </c>
      <c r="M39" s="84">
        <f>'Оборот общ пит'!L39/Население!M39</f>
        <v>0.71458773784355178</v>
      </c>
      <c r="N39" s="84">
        <f>'Оборот общ пит'!M39/Население!N39</f>
        <v>0.73596673596673601</v>
      </c>
      <c r="O39" s="84">
        <f>'Оборот общ пит'!N39/Население!O39</f>
        <v>0.73975409836065575</v>
      </c>
      <c r="P39" s="84">
        <f>'Оборот общ пит'!O39/Население!P39</f>
        <v>0.92570281124497988</v>
      </c>
      <c r="Q39" s="84">
        <f>'Оборот общ пит'!P39/Население!Q39</f>
        <v>0.88560157790927019</v>
      </c>
      <c r="R39" s="84">
        <f>'Оборот общ пит'!Q39/Население!R39</f>
        <v>0.89534883720930236</v>
      </c>
    </row>
    <row r="40" spans="1:18" x14ac:dyDescent="0.25">
      <c r="A40" s="84">
        <v>39</v>
      </c>
      <c r="B40" s="84" t="s">
        <v>42</v>
      </c>
      <c r="C40" s="84">
        <f>'Оборот общ пит'!B40/Население!C40</f>
        <v>0.27482678983833719</v>
      </c>
      <c r="D40" s="84">
        <f>'Оборот общ пит'!C40/Население!D40</f>
        <v>0.33668903803131989</v>
      </c>
      <c r="E40" s="84">
        <f>'Оборот общ пит'!D40/Население!E40</f>
        <v>0.96184062850729513</v>
      </c>
      <c r="F40" s="84">
        <f>'Оборот общ пит'!E40/Население!F40</f>
        <v>1.3815937149270483</v>
      </c>
      <c r="G40" s="84">
        <f>'Оборот общ пит'!F40/Население!G40</f>
        <v>1.6838565022421526</v>
      </c>
      <c r="H40" s="84">
        <f>'Оборот общ пит'!G40/Население!H40</f>
        <v>2.2023255813953488</v>
      </c>
      <c r="I40" s="84">
        <f>'Оборот общ пит'!H40/Население!I40</f>
        <v>2.6600698486612342</v>
      </c>
      <c r="J40" s="84">
        <f>'Оборот общ пит'!I40/Население!J40</f>
        <v>2.8172293364377183</v>
      </c>
      <c r="K40" s="84">
        <f>'Оборот общ пит'!J40/Население!K40</f>
        <v>2.9778812572759024</v>
      </c>
      <c r="L40" s="84">
        <f>'Оборот общ пит'!K40/Население!L40</f>
        <v>3.8699186991869921</v>
      </c>
      <c r="M40" s="84">
        <f>'Оборот общ пит'!L40/Население!M40</f>
        <v>4.5986078886310908</v>
      </c>
      <c r="N40" s="84">
        <f>'Оборот общ пит'!M40/Население!N40</f>
        <v>4.9815028901734104</v>
      </c>
      <c r="O40" s="84">
        <f>'Оборот общ пит'!N40/Население!O40</f>
        <v>5.4901734104046245</v>
      </c>
      <c r="P40" s="84">
        <f>'Оборот общ пит'!O40/Население!P40</f>
        <v>6.0069284064665123</v>
      </c>
      <c r="Q40" s="84">
        <f>'Оборот общ пит'!P40/Население!Q40</f>
        <v>6.306451612903226</v>
      </c>
      <c r="R40" s="84">
        <f>'Оборот общ пит'!Q40/Население!R40</f>
        <v>5.6777905638665134</v>
      </c>
    </row>
    <row r="41" spans="1:18" x14ac:dyDescent="0.25">
      <c r="A41" s="84">
        <v>40</v>
      </c>
      <c r="B41" s="84" t="s">
        <v>39</v>
      </c>
      <c r="C41" s="84">
        <f>'Оборот общ пит'!B41/Население!C41</f>
        <v>0.32527472527472528</v>
      </c>
      <c r="D41" s="84">
        <f>'Оборот общ пит'!C41/Население!D41</f>
        <v>0.40371229698375871</v>
      </c>
      <c r="E41" s="84">
        <f>'Оборот общ пит'!D41/Население!E41</f>
        <v>0.99766899766899764</v>
      </c>
      <c r="F41" s="84">
        <f>'Оборот общ пит'!E41/Население!F41</f>
        <v>1.4074941451990632</v>
      </c>
      <c r="G41" s="84">
        <f>'Оборот общ пит'!F41/Население!G41</f>
        <v>1.4426229508196722</v>
      </c>
      <c r="H41" s="84">
        <f>'Оборот общ пит'!G41/Население!H41</f>
        <v>1.3375262054507338</v>
      </c>
      <c r="I41" s="84">
        <f>'Оборот общ пит'!H41/Население!I41</f>
        <v>1.4357894736842105</v>
      </c>
      <c r="J41" s="84">
        <f>'Оборот общ пит'!I41/Население!J41</f>
        <v>1.5953389830508475</v>
      </c>
      <c r="K41" s="84">
        <f>'Оборот общ пит'!J41/Население!K41</f>
        <v>1.4234042553191488</v>
      </c>
      <c r="L41" s="84">
        <f>'Оборот общ пит'!K41/Население!L41</f>
        <v>1.7526652452025586</v>
      </c>
      <c r="M41" s="84">
        <f>'Оборот общ пит'!L41/Население!M41</f>
        <v>1.7243589743589745</v>
      </c>
      <c r="N41" s="84">
        <f>'Оборот общ пит'!M41/Население!N41</f>
        <v>1.8004291845493563</v>
      </c>
      <c r="O41" s="84">
        <f>'Оборот общ пит'!N41/Население!O41</f>
        <v>1.907725321888412</v>
      </c>
      <c r="P41" s="84">
        <f>'Оборот общ пит'!O41/Население!P41</f>
        <v>1.9935622317596566</v>
      </c>
      <c r="Q41" s="84">
        <f>'Оборот общ пит'!P41/Население!Q41</f>
        <v>2.1244635193133048</v>
      </c>
      <c r="R41" s="84">
        <f>'Оборот общ пит'!Q41/Население!R41</f>
        <v>2.0021505376344084</v>
      </c>
    </row>
    <row r="42" spans="1:18" x14ac:dyDescent="0.25">
      <c r="A42" s="84">
        <v>41</v>
      </c>
      <c r="B42" s="84" t="s">
        <v>43</v>
      </c>
      <c r="C42" s="84">
        <f>'Оборот общ пит'!B42/Население!C42</f>
        <v>0.42149929278642151</v>
      </c>
      <c r="D42" s="84">
        <f>'Оборот общ пит'!C42/Население!D42</f>
        <v>0.56837606837606836</v>
      </c>
      <c r="E42" s="84">
        <f>'Оборот общ пит'!D42/Население!E42</f>
        <v>0.75891583452211131</v>
      </c>
      <c r="F42" s="84">
        <f>'Оборот общ пит'!E42/Население!F42</f>
        <v>1.121082621082621</v>
      </c>
      <c r="G42" s="84">
        <f>'Оборот общ пит'!F42/Население!G42</f>
        <v>1.3561253561253561</v>
      </c>
      <c r="H42" s="84">
        <f>'Оборот общ пит'!G42/Население!H42</f>
        <v>2.1025280898876404</v>
      </c>
      <c r="I42" s="84">
        <f>'Оборот общ пит'!H42/Население!I42</f>
        <v>3.0056417489421721</v>
      </c>
      <c r="J42" s="84">
        <f>'Оборот общ пит'!I42/Население!J42</f>
        <v>3.7082152974504248</v>
      </c>
      <c r="K42" s="84">
        <f>'Оборот общ пит'!J42/Население!K42</f>
        <v>4.2627840909090908</v>
      </c>
      <c r="L42" s="84">
        <f>'Оборот общ пит'!K42/Население!L42</f>
        <v>4.7124645892351271</v>
      </c>
      <c r="M42" s="84">
        <f>'Оборот общ пит'!L42/Население!M42</f>
        <v>4.7727272727272725</v>
      </c>
      <c r="N42" s="84">
        <f>'Оборот общ пит'!M42/Население!N42</f>
        <v>6.3684210526315788</v>
      </c>
      <c r="O42" s="84">
        <f>'Оборот общ пит'!N42/Население!O42</f>
        <v>6.6481481481481479</v>
      </c>
      <c r="P42" s="84">
        <f>'Оборот общ пит'!O42/Население!P42</f>
        <v>6.370529327610873</v>
      </c>
      <c r="Q42" s="84">
        <f>'Оборот общ пит'!P42/Население!Q42</f>
        <v>6.7919655667144907</v>
      </c>
      <c r="R42" s="84">
        <f>'Оборот общ пит'!Q42/Население!R42</f>
        <v>5.253968253968254</v>
      </c>
    </row>
    <row r="43" spans="1:18" x14ac:dyDescent="0.25">
      <c r="A43" s="84">
        <v>42</v>
      </c>
      <c r="B43" s="84" t="s">
        <v>40</v>
      </c>
      <c r="C43" s="84">
        <f>'Оборот общ пит'!B43/Население!C43</f>
        <v>0</v>
      </c>
      <c r="D43" s="84">
        <f>'Оборот общ пит'!C43/Население!D43</f>
        <v>0</v>
      </c>
      <c r="E43" s="84">
        <f>'Оборот общ пит'!D43/Население!E43</f>
        <v>0</v>
      </c>
      <c r="F43" s="84">
        <f>'Оборот общ пит'!E43/Население!F43</f>
        <v>0</v>
      </c>
      <c r="G43" s="84">
        <f>'Оборот общ пит'!F43/Население!G43</f>
        <v>0</v>
      </c>
      <c r="H43" s="84">
        <f>'Оборот общ пит'!G43/Население!H43</f>
        <v>0</v>
      </c>
      <c r="I43" s="84">
        <f>'Оборот общ пит'!H43/Население!I43</f>
        <v>2.5084485407066053</v>
      </c>
      <c r="J43" s="84">
        <f>'Оборот общ пит'!I43/Население!J43</f>
        <v>2.8671698113207547</v>
      </c>
      <c r="K43" s="84">
        <f>'Оборот общ пит'!J43/Население!K43</f>
        <v>4.9546805349182765</v>
      </c>
      <c r="L43" s="84">
        <f>'Оборот общ пит'!K43/Население!L43</f>
        <v>7.7007299270072993</v>
      </c>
      <c r="M43" s="84">
        <f>'Оборот общ пит'!L43/Население!M43</f>
        <v>8.7374461979913924</v>
      </c>
      <c r="N43" s="84">
        <f>'Оборот общ пит'!M43/Население!N43</f>
        <v>7.4402826855123676</v>
      </c>
      <c r="O43" s="84">
        <f>'Оборот общ пит'!N43/Население!O43</f>
        <v>8.1920668058455117</v>
      </c>
      <c r="P43" s="84">
        <f>'Оборот общ пит'!O43/Население!P43</f>
        <v>8.8496911461908034</v>
      </c>
      <c r="Q43" s="84">
        <f>'Оборот общ пит'!P43/Население!Q43</f>
        <v>9.4164976335361725</v>
      </c>
      <c r="R43" s="84">
        <f>'Оборот общ пит'!Q43/Население!R43</f>
        <v>8.4192256341789058</v>
      </c>
    </row>
    <row r="44" spans="1:18" x14ac:dyDescent="0.25">
      <c r="A44" s="84">
        <v>43</v>
      </c>
      <c r="B44" s="84" t="s">
        <v>41</v>
      </c>
      <c r="C44" s="84">
        <f>'Оборот общ пит'!B44/Население!C44</f>
        <v>1.6738259919912633</v>
      </c>
      <c r="D44" s="84">
        <f>'Оборот общ пит'!C44/Население!D44</f>
        <v>2.2487084870848708</v>
      </c>
      <c r="E44" s="84">
        <f>'Оборот общ пит'!D44/Население!E44</f>
        <v>3.0162902628656054</v>
      </c>
      <c r="F44" s="84">
        <f>'Оборот общ пит'!E44/Население!F44</f>
        <v>4.3933456561922366</v>
      </c>
      <c r="G44" s="84">
        <f>'Оборот общ пит'!F44/Население!G44</f>
        <v>4.961950498707056</v>
      </c>
      <c r="H44" s="84">
        <f>'Оборот общ пит'!G44/Население!H44</f>
        <v>5.8880114860014361</v>
      </c>
      <c r="I44" s="84">
        <f>'Оборот общ пит'!H44/Население!I44</f>
        <v>7.0165052027269468</v>
      </c>
      <c r="J44" s="84">
        <f>'Оборот общ пит'!I44/Население!J44</f>
        <v>9.0680759584378361</v>
      </c>
      <c r="K44" s="84">
        <f>'Оборот общ пит'!J44/Население!K44</f>
        <v>9.7906227630637073</v>
      </c>
      <c r="L44" s="84">
        <f>'Оборот общ пит'!K44/Население!L44</f>
        <v>10.233297606287961</v>
      </c>
      <c r="M44" s="84">
        <f>'Оборот общ пит'!L44/Население!M44</f>
        <v>11.130620985010706</v>
      </c>
      <c r="N44" s="84">
        <f>'Оборот общ пит'!M44/Население!N44</f>
        <v>11.639087018544936</v>
      </c>
      <c r="O44" s="84">
        <f>'Оборот общ пит'!N44/Население!O44</f>
        <v>12.465548018564798</v>
      </c>
      <c r="P44" s="84">
        <f>'Оборот общ пит'!O44/Население!P44</f>
        <v>13.083720930232559</v>
      </c>
      <c r="Q44" s="84">
        <f>'Оборот общ пит'!P44/Население!Q44</f>
        <v>13.770246164823403</v>
      </c>
      <c r="R44" s="84">
        <f>'Оборот общ пит'!Q44/Население!R44</f>
        <v>10.191908342284282</v>
      </c>
    </row>
    <row r="45" spans="1:18" x14ac:dyDescent="0.25">
      <c r="A45" s="84">
        <v>44</v>
      </c>
      <c r="B45" s="84" t="s">
        <v>44</v>
      </c>
      <c r="C45" s="84">
        <f>'Оборот общ пит'!B45/Население!C45</f>
        <v>2.222823413674373</v>
      </c>
      <c r="D45" s="84">
        <f>'Оборот общ пит'!C45/Население!D45</f>
        <v>3.0130445483632782</v>
      </c>
      <c r="E45" s="84">
        <f>'Оборот общ пит'!D45/Население!E45</f>
        <v>3.9057022957294496</v>
      </c>
      <c r="F45" s="84">
        <f>'Оборот общ пит'!E45/Население!F45</f>
        <v>4.7340241796200342</v>
      </c>
      <c r="G45" s="84">
        <f>'Оборот общ пит'!F45/Население!G45</f>
        <v>4.5380823268424946</v>
      </c>
      <c r="H45" s="84">
        <f>'Оборот общ пит'!G45/Население!H45</f>
        <v>5.2195481335952847</v>
      </c>
      <c r="I45" s="84">
        <f>'Оборот общ пит'!H45/Население!I45</f>
        <v>6.4296259842519685</v>
      </c>
      <c r="J45" s="84">
        <f>'Оборот общ пит'!I45/Население!J45</f>
        <v>6.835508495444472</v>
      </c>
      <c r="K45" s="84">
        <f>'Оборот общ пит'!J45/Население!K45</f>
        <v>7.108353808353808</v>
      </c>
      <c r="L45" s="84">
        <f>'Оборот общ пит'!K45/Население!L45</f>
        <v>7.6473477406679766</v>
      </c>
      <c r="M45" s="84">
        <f>'Оборот общ пит'!L45/Население!M45</f>
        <v>7.4003930238270694</v>
      </c>
      <c r="N45" s="84">
        <f>'Оборот общ пит'!M45/Население!N45</f>
        <v>6.8490287681337598</v>
      </c>
      <c r="O45" s="84">
        <f>'Оборот общ пит'!N45/Население!O45</f>
        <v>7.0745754368693081</v>
      </c>
      <c r="P45" s="84">
        <f>'Оборот общ пит'!O45/Население!P45</f>
        <v>7.3520118489261908</v>
      </c>
      <c r="Q45" s="84">
        <f>'Оборот общ пит'!P45/Население!Q45</f>
        <v>7.6210995542347693</v>
      </c>
      <c r="R45" s="84">
        <f>'Оборот общ пит'!Q45/Население!R45</f>
        <v>5.9120577977080222</v>
      </c>
    </row>
    <row r="46" spans="1:18" x14ac:dyDescent="0.25">
      <c r="A46" s="84">
        <v>45</v>
      </c>
      <c r="B46" s="84" t="s">
        <v>45</v>
      </c>
      <c r="C46" s="84">
        <f>'Оборот общ пит'!B46/Население!C46</f>
        <v>1.3646563814866761</v>
      </c>
      <c r="D46" s="84">
        <f>'Оборот общ пит'!C46/Население!D46</f>
        <v>1.6811797752808988</v>
      </c>
      <c r="E46" s="84">
        <f>'Оборот общ пит'!D46/Население!E46</f>
        <v>2.618104667609618</v>
      </c>
      <c r="F46" s="84">
        <f>'Оборот общ пит'!E46/Население!F46</f>
        <v>3.2119487908961593</v>
      </c>
      <c r="G46" s="84">
        <f>'Оборот общ пит'!F46/Население!G46</f>
        <v>3.4371428571428573</v>
      </c>
      <c r="H46" s="84">
        <f>'Оборот общ пит'!G46/Население!H46</f>
        <v>3.6561151079136689</v>
      </c>
      <c r="I46" s="84">
        <f>'Оборот общ пит'!H46/Население!I46</f>
        <v>4.5260115606936413</v>
      </c>
      <c r="J46" s="84">
        <f>'Оборот общ пит'!I46/Население!J46</f>
        <v>4.9434782608695649</v>
      </c>
      <c r="K46" s="84">
        <f>'Оборот общ пит'!J46/Население!K46</f>
        <v>5.4941860465116283</v>
      </c>
      <c r="L46" s="84">
        <f>'Оборот общ пит'!K46/Население!L46</f>
        <v>5.9112081513828238</v>
      </c>
      <c r="M46" s="84">
        <f>'Оборот общ пит'!L46/Население!M46</f>
        <v>6.1749271137026236</v>
      </c>
      <c r="N46" s="84">
        <f>'Оборот общ пит'!M46/Население!N46</f>
        <v>6.6087591240875909</v>
      </c>
      <c r="O46" s="84">
        <f>'Оборот общ пит'!N46/Население!O46</f>
        <v>6.9780058651026389</v>
      </c>
      <c r="P46" s="84">
        <f>'Оборот общ пит'!O46/Население!P46</f>
        <v>7.4273127753303969</v>
      </c>
      <c r="Q46" s="84">
        <f>'Оборот общ пит'!P46/Население!Q46</f>
        <v>8.4226804123711343</v>
      </c>
      <c r="R46" s="84">
        <f>'Оборот общ пит'!Q46/Население!R46</f>
        <v>6.36</v>
      </c>
    </row>
    <row r="47" spans="1:18" x14ac:dyDescent="0.25">
      <c r="A47" s="84">
        <v>46</v>
      </c>
      <c r="B47" s="84" t="s">
        <v>46</v>
      </c>
      <c r="C47" s="84">
        <f>'Оборот общ пит'!B47/Население!C47</f>
        <v>0.76994219653179186</v>
      </c>
      <c r="D47" s="84">
        <f>'Оборот общ пит'!C47/Население!D47</f>
        <v>0.9393232205367561</v>
      </c>
      <c r="E47" s="84">
        <f>'Оборот общ пит'!D47/Население!E47</f>
        <v>1.2228773584905661</v>
      </c>
      <c r="F47" s="84">
        <f>'Оборот общ пит'!E47/Население!F47</f>
        <v>1.7285714285714286</v>
      </c>
      <c r="G47" s="84">
        <f>'Оборот общ пит'!F47/Население!G47</f>
        <v>1.8199279711884755</v>
      </c>
      <c r="H47" s="84">
        <f>'Оборот общ пит'!G47/Население!H47</f>
        <v>2.0611510791366907</v>
      </c>
      <c r="I47" s="84">
        <f>'Оборот общ пит'!H47/Население!I47</f>
        <v>2.2533333333333334</v>
      </c>
      <c r="J47" s="84">
        <f>'Оборот общ пит'!I47/Население!J47</f>
        <v>2.5897435897435899</v>
      </c>
      <c r="K47" s="84">
        <f>'Оборот общ пит'!J47/Население!K47</f>
        <v>3.1576354679802954</v>
      </c>
      <c r="L47" s="84">
        <f>'Оборот общ пит'!K47/Население!L47</f>
        <v>3.4721878862793574</v>
      </c>
      <c r="M47" s="84">
        <f>'Оборот общ пит'!L47/Население!M47</f>
        <v>4.314745972738538</v>
      </c>
      <c r="N47" s="84">
        <f>'Оборот общ пит'!M47/Население!N47</f>
        <v>4.7648514851485144</v>
      </c>
      <c r="O47" s="84">
        <f>'Оборот общ пит'!N47/Население!O47</f>
        <v>5.3018633540372671</v>
      </c>
      <c r="P47" s="84">
        <f>'Оборот общ пит'!O47/Население!P47</f>
        <v>6.3094339622641513</v>
      </c>
      <c r="Q47" s="84">
        <f>'Оборот общ пит'!P47/Население!Q47</f>
        <v>6.3430379746835444</v>
      </c>
      <c r="R47" s="84">
        <f>'Оборот общ пит'!Q47/Население!R47</f>
        <v>4.9563543003851089</v>
      </c>
    </row>
    <row r="48" spans="1:18" x14ac:dyDescent="0.25">
      <c r="A48" s="84">
        <v>47</v>
      </c>
      <c r="B48" s="84" t="s">
        <v>47</v>
      </c>
      <c r="C48" s="84">
        <f>'Оборот общ пит'!B48/Население!C48</f>
        <v>2.8027644869750135</v>
      </c>
      <c r="D48" s="84">
        <f>'Оборот общ пит'!C48/Население!D48</f>
        <v>3.2387028176501862</v>
      </c>
      <c r="E48" s="84">
        <f>'Оборот общ пит'!D48/Население!E48</f>
        <v>4.2143617021276594</v>
      </c>
      <c r="F48" s="84">
        <f>'Оборот общ пит'!E48/Население!F48</f>
        <v>5.4371512091416427</v>
      </c>
      <c r="G48" s="84">
        <f>'Оборот общ пит'!F48/Население!G48</f>
        <v>5.0923321836030775</v>
      </c>
      <c r="H48" s="84">
        <f>'Оборот общ пит'!G48/Население!H48</f>
        <v>5.7565355162397678</v>
      </c>
      <c r="I48" s="84">
        <f>'Оборот общ пит'!H48/Население!I48</f>
        <v>6.3915330002629505</v>
      </c>
      <c r="J48" s="84">
        <f>'Оборот общ пит'!I48/Население!J48</f>
        <v>7.0036630036630036</v>
      </c>
      <c r="K48" s="84">
        <f>'Оборот общ пит'!J48/Население!K48</f>
        <v>8.2610734757686295</v>
      </c>
      <c r="L48" s="84">
        <f>'Оборот общ пит'!K48/Население!L48</f>
        <v>8.8677042801556425</v>
      </c>
      <c r="M48" s="84">
        <f>'Оборот общ пит'!L48/Население!M48</f>
        <v>9.3696045489790638</v>
      </c>
      <c r="N48" s="84">
        <f>'Оборот общ пит'!M48/Население!N48</f>
        <v>9.7145431145431154</v>
      </c>
      <c r="O48" s="84">
        <f>'Оборот общ пит'!N48/Население!O48</f>
        <v>10.268806161745829</v>
      </c>
      <c r="P48" s="84">
        <f>'Оборот общ пит'!O48/Население!P48</f>
        <v>11.302128750961785</v>
      </c>
      <c r="Q48" s="84">
        <f>'Оборот общ пит'!P48/Население!Q48</f>
        <v>12.208813733025877</v>
      </c>
      <c r="R48" s="84">
        <f>'Оборот общ пит'!Q48/Население!R48</f>
        <v>9.6129943502824862</v>
      </c>
    </row>
    <row r="49" spans="1:18" x14ac:dyDescent="0.25">
      <c r="A49" s="84">
        <v>48</v>
      </c>
      <c r="B49" s="84" t="s">
        <v>48</v>
      </c>
      <c r="C49" s="84">
        <f>'Оборот общ пит'!B49/Население!C49</f>
        <v>1.6054333764553688</v>
      </c>
      <c r="D49" s="84">
        <f>'Оборот общ пит'!C49/Население!D49</f>
        <v>2.008419689119171</v>
      </c>
      <c r="E49" s="84">
        <f>'Оборот общ пит'!D49/Население!E49</f>
        <v>2.94148244473342</v>
      </c>
      <c r="F49" s="84">
        <f>'Оборот общ пит'!E49/Население!F49</f>
        <v>3.8564905414220481</v>
      </c>
      <c r="G49" s="84">
        <f>'Оборот общ пит'!F49/Население!G49</f>
        <v>4.1347285807717462</v>
      </c>
      <c r="H49" s="84">
        <f>'Оборот общ пит'!G49/Население!H49</f>
        <v>4.6697368421052632</v>
      </c>
      <c r="I49" s="84">
        <f>'Оборот общ пит'!H49/Население!I49</f>
        <v>5.8438735177865615</v>
      </c>
      <c r="J49" s="84">
        <f>'Оборот общ пит'!I49/Население!J49</f>
        <v>6.5579710144927539</v>
      </c>
      <c r="K49" s="84">
        <f>'Оборот общ пит'!J49/Население!K49</f>
        <v>7.7290705339485823</v>
      </c>
      <c r="L49" s="84">
        <f>'Оборот общ пит'!K49/Население!L49</f>
        <v>8.6982872200263497</v>
      </c>
      <c r="M49" s="84">
        <f>'Оборот общ пит'!L49/Население!M49</f>
        <v>8.4924192485168088</v>
      </c>
      <c r="N49" s="84">
        <f>'Оборот общ пит'!M49/Население!N49</f>
        <v>7.8813447593935395</v>
      </c>
      <c r="O49" s="84">
        <f>'Оборот общ пит'!N49/Население!O49</f>
        <v>7.8301387970918706</v>
      </c>
      <c r="P49" s="84">
        <f>'Оборот общ пит'!O49/Население!P49</f>
        <v>8.3516921035169212</v>
      </c>
      <c r="Q49" s="84">
        <f>'Оборот общ пит'!P49/Население!Q49</f>
        <v>8.8194536975349767</v>
      </c>
      <c r="R49" s="84">
        <f>'Оборот общ пит'!Q49/Население!R49</f>
        <v>7.2056262558606834</v>
      </c>
    </row>
    <row r="50" spans="1:18" x14ac:dyDescent="0.25">
      <c r="A50" s="84">
        <v>49</v>
      </c>
      <c r="B50" s="84" t="s">
        <v>49</v>
      </c>
      <c r="C50" s="84">
        <f>'Оборот общ пит'!B50/Население!C50</f>
        <v>1.2212666145426114</v>
      </c>
      <c r="D50" s="84">
        <f>'Оборот общ пит'!C50/Население!D50</f>
        <v>1.3537151702786379</v>
      </c>
      <c r="E50" s="84">
        <f>'Оборот общ пит'!D50/Население!E50</f>
        <v>2.078538102643857</v>
      </c>
      <c r="F50" s="84">
        <f>'Оборот общ пит'!E50/Население!F50</f>
        <v>2.9180967238689548</v>
      </c>
      <c r="G50" s="84">
        <f>'Оборот общ пит'!F50/Население!G50</f>
        <v>3.1274433150899141</v>
      </c>
      <c r="H50" s="84">
        <f>'Оборот общ пит'!G50/Население!H50</f>
        <v>3.4644284572342126</v>
      </c>
      <c r="I50" s="84">
        <f>'Оборот общ пит'!H50/Население!I50</f>
        <v>5.3881315156375305</v>
      </c>
      <c r="J50" s="84">
        <f>'Оборот общ пит'!I50/Население!J50</f>
        <v>5.702572347266881</v>
      </c>
      <c r="K50" s="84">
        <f>'Оборот общ пит'!J50/Население!K50</f>
        <v>6.3766129032258068</v>
      </c>
      <c r="L50" s="84">
        <f>'Оборот общ пит'!K50/Население!L50</f>
        <v>6.875605815831987</v>
      </c>
      <c r="M50" s="84">
        <f>'Оборот общ пит'!L50/Население!M50</f>
        <v>6.9773645917542444</v>
      </c>
      <c r="N50" s="84">
        <f>'Оборот общ пит'!M50/Население!N50</f>
        <v>7.2451456310679614</v>
      </c>
      <c r="O50" s="84">
        <f>'Оборот общ пит'!N50/Население!O50</f>
        <v>7.6783103168155975</v>
      </c>
      <c r="P50" s="84">
        <f>'Оборот общ пит'!O50/Население!P50</f>
        <v>8.2747342600163538</v>
      </c>
      <c r="Q50" s="84">
        <f>'Оборот общ пит'!P50/Население!Q50</f>
        <v>8.9425287356321839</v>
      </c>
      <c r="R50" s="84">
        <f>'Оборот общ пит'!Q50/Население!R50</f>
        <v>7.0306291390728477</v>
      </c>
    </row>
    <row r="51" spans="1:18" x14ac:dyDescent="0.25">
      <c r="A51" s="84">
        <v>50</v>
      </c>
      <c r="B51" s="84" t="s">
        <v>50</v>
      </c>
      <c r="C51" s="84">
        <f>'Оборот общ пит'!B51/Население!C51</f>
        <v>2.5388010297903643</v>
      </c>
      <c r="D51" s="84">
        <f>'Оборот общ пит'!C51/Население!D51</f>
        <v>2.6535662299854441</v>
      </c>
      <c r="E51" s="84">
        <f>'Оборот общ пит'!D51/Население!E51</f>
        <v>4.0076894910289269</v>
      </c>
      <c r="F51" s="84">
        <f>'Оборот общ пит'!E51/Население!F51</f>
        <v>6.7700515084621049</v>
      </c>
      <c r="G51" s="84">
        <f>'Оборот общ пит'!F51/Население!G51</f>
        <v>7.1170605612998523</v>
      </c>
      <c r="H51" s="84">
        <f>'Оборот общ пит'!G51/Население!H51</f>
        <v>7.9730447987851178</v>
      </c>
      <c r="I51" s="84">
        <f>'Оборот общ пит'!H51/Население!I51</f>
        <v>9.0923603192702398</v>
      </c>
      <c r="J51" s="84">
        <f>'Оборот общ пит'!I51/Население!J51</f>
        <v>9.1989369779802583</v>
      </c>
      <c r="K51" s="84">
        <f>'Оборот общ пит'!J51/Население!K51</f>
        <v>9.8945371775417303</v>
      </c>
      <c r="L51" s="84">
        <f>'Оборот общ пит'!K51/Население!L51</f>
        <v>9.5255972696245728</v>
      </c>
      <c r="M51" s="84">
        <f>'Оборот общ пит'!L51/Население!M51</f>
        <v>9.0546697038724382</v>
      </c>
      <c r="N51" s="84">
        <f>'Оборот общ пит'!M51/Население!N51</f>
        <v>8.5600303951367778</v>
      </c>
      <c r="O51" s="84">
        <f>'Оборот общ пит'!N51/Население!O51</f>
        <v>9.0064811284788409</v>
      </c>
      <c r="P51" s="84">
        <f>'Оборот общ пит'!O51/Население!P51</f>
        <v>8.7165836844121021</v>
      </c>
      <c r="Q51" s="84">
        <f>'Оборот общ пит'!P51/Население!Q51</f>
        <v>9.2204694113120436</v>
      </c>
      <c r="R51" s="84">
        <f>'Оборот общ пит'!Q51/Население!R51</f>
        <v>6.9534703373400539</v>
      </c>
    </row>
    <row r="52" spans="1:18" x14ac:dyDescent="0.25">
      <c r="A52" s="84">
        <v>51</v>
      </c>
      <c r="B52" s="84" t="s">
        <v>51</v>
      </c>
      <c r="C52" s="84">
        <f>'Оборот общ пит'!B52/Население!C52</f>
        <v>1.6758280479210712</v>
      </c>
      <c r="D52" s="84">
        <f>'Оборот общ пит'!C52/Население!D52</f>
        <v>1.9216909216909217</v>
      </c>
      <c r="E52" s="84">
        <f>'Оборот общ пит'!D52/Население!E52</f>
        <v>3.2761037140854938</v>
      </c>
      <c r="F52" s="84">
        <f>'Оборот общ пит'!E52/Население!F52</f>
        <v>4.6900212314225049</v>
      </c>
      <c r="G52" s="84">
        <f>'Оборот общ пит'!F52/Население!G52</f>
        <v>4.7551748750892218</v>
      </c>
      <c r="H52" s="84">
        <f>'Оборот общ пит'!G52/Население!H52</f>
        <v>5.4757281553398061</v>
      </c>
      <c r="I52" s="84">
        <f>'Оборот общ пит'!H52/Население!I52</f>
        <v>6.1754518072289155</v>
      </c>
      <c r="J52" s="84">
        <f>'Оборот общ пит'!I52/Население!J52</f>
        <v>6.8809704321455651</v>
      </c>
      <c r="K52" s="84">
        <f>'Оборот общ пит'!J52/Население!K52</f>
        <v>7.611746758199847</v>
      </c>
      <c r="L52" s="84">
        <f>'Оборот общ пит'!K52/Население!L52</f>
        <v>8.3427914110429455</v>
      </c>
      <c r="M52" s="84">
        <f>'Оборот общ пит'!L52/Население!M52</f>
        <v>8.795682343870471</v>
      </c>
      <c r="N52" s="84">
        <f>'Оборот общ пит'!M52/Население!N52</f>
        <v>8.2020123839009287</v>
      </c>
      <c r="O52" s="84">
        <f>'Оборот общ пит'!N52/Население!O52</f>
        <v>8.4660950896336704</v>
      </c>
      <c r="P52" s="84">
        <f>'Оборот общ пит'!O52/Население!P52</f>
        <v>8.8954402515723263</v>
      </c>
      <c r="Q52" s="84">
        <f>'Оборот общ пит'!P52/Население!Q52</f>
        <v>9.2375296912114013</v>
      </c>
      <c r="R52" s="84">
        <f>'Оборот общ пит'!Q52/Население!R52</f>
        <v>7.4744000000000002</v>
      </c>
    </row>
    <row r="53" spans="1:18" x14ac:dyDescent="0.25">
      <c r="A53" s="84">
        <v>52</v>
      </c>
      <c r="B53" s="84" t="s">
        <v>52</v>
      </c>
      <c r="C53" s="84">
        <f>'Оборот общ пит'!B53/Население!C53</f>
        <v>1.1789689513766843</v>
      </c>
      <c r="D53" s="84">
        <f>'Оборот общ пит'!C53/Население!D53</f>
        <v>1.4001759014951627</v>
      </c>
      <c r="E53" s="84">
        <f>'Оборот общ пит'!D53/Население!E53</f>
        <v>3.2818692694469092</v>
      </c>
      <c r="F53" s="84">
        <f>'Оборот общ пит'!E53/Население!F53</f>
        <v>4.538095238095238</v>
      </c>
      <c r="G53" s="84">
        <f>'Оборот общ пит'!F53/Население!G53</f>
        <v>4.2550134690212511</v>
      </c>
      <c r="H53" s="84">
        <f>'Оборот общ пит'!G53/Население!H53</f>
        <v>4.9594921402660219</v>
      </c>
      <c r="I53" s="84">
        <f>'Оборот общ пит'!H53/Население!I53</f>
        <v>6.0036396724294816</v>
      </c>
      <c r="J53" s="84">
        <f>'Оборот общ пит'!I53/Население!J53</f>
        <v>7.1130699088145892</v>
      </c>
      <c r="K53" s="84">
        <f>'Оборот общ пит'!J53/Население!K53</f>
        <v>7.3736665650716242</v>
      </c>
      <c r="L53" s="84">
        <f>'Оборот общ пит'!K53/Население!L53</f>
        <v>6.3198776758409787</v>
      </c>
      <c r="M53" s="84">
        <f>'Оборот общ пит'!L53/Население!M53</f>
        <v>6.6119631901840492</v>
      </c>
      <c r="N53" s="84">
        <f>'Оборот общ пит'!M53/Население!N53</f>
        <v>6.6203817733990151</v>
      </c>
      <c r="O53" s="84">
        <f>'Оборот общ пит'!N53/Население!O53</f>
        <v>7.6540958268933537</v>
      </c>
      <c r="P53" s="84">
        <f>'Оборот общ пит'!O53/Население!P53</f>
        <v>8.5265940902021775</v>
      </c>
      <c r="Q53" s="84">
        <f>'Оборот общ пит'!P53/Население!Q53</f>
        <v>9.2297845769591014</v>
      </c>
      <c r="R53" s="84">
        <f>'Оборот общ пит'!Q53/Население!R53</f>
        <v>6.6940509915014168</v>
      </c>
    </row>
    <row r="54" spans="1:18" x14ac:dyDescent="0.25">
      <c r="A54" s="84">
        <v>53</v>
      </c>
      <c r="B54" s="84" t="s">
        <v>53</v>
      </c>
      <c r="C54" s="84">
        <f>'Оборот общ пит'!B54/Население!C54</f>
        <v>1.6230291447682752</v>
      </c>
      <c r="D54" s="84">
        <f>'Оборот общ пит'!C54/Население!D54</f>
        <v>1.9027128157156221</v>
      </c>
      <c r="E54" s="84">
        <f>'Оборот общ пит'!D54/Население!E54</f>
        <v>2.4590780809031045</v>
      </c>
      <c r="F54" s="84">
        <f>'Оборот общ пит'!E54/Население!F54</f>
        <v>3.4388862671071259</v>
      </c>
      <c r="G54" s="84">
        <f>'Оборот общ пит'!F54/Население!G54</f>
        <v>4.1728219696969697</v>
      </c>
      <c r="H54" s="84">
        <f>'Оборот общ пит'!G54/Население!H54</f>
        <v>4.6579724409448815</v>
      </c>
      <c r="I54" s="84">
        <f>'Оборот общ пит'!H54/Население!I54</f>
        <v>5.6057312252964424</v>
      </c>
      <c r="J54" s="84">
        <f>'Оборот общ пит'!I54/Население!J54</f>
        <v>6.7157738095238093</v>
      </c>
      <c r="K54" s="84">
        <f>'Оборот общ пит'!J54/Население!K54</f>
        <v>7.4350423096067697</v>
      </c>
      <c r="L54" s="84">
        <f>'Оборот общ пит'!K54/Население!L54</f>
        <v>7.9290354822588709</v>
      </c>
      <c r="M54" s="84">
        <f>'Оборот общ пит'!L54/Население!M54</f>
        <v>7.4075187969924814</v>
      </c>
      <c r="N54" s="84">
        <f>'Оборот общ пит'!M54/Население!N54</f>
        <v>7.4105527638190951</v>
      </c>
      <c r="O54" s="84">
        <f>'Оборот общ пит'!N54/Население!O54</f>
        <v>7.7861476238624876</v>
      </c>
      <c r="P54" s="84">
        <f>'Оборот общ пит'!O54/Население!P54</f>
        <v>8.2903718797758525</v>
      </c>
      <c r="Q54" s="84">
        <f>'Оборот общ пит'!P54/Население!Q54</f>
        <v>8.6995401124169653</v>
      </c>
      <c r="R54" s="84">
        <f>'Оборот общ пит'!Q54/Население!R54</f>
        <v>6.6572310859495625</v>
      </c>
    </row>
    <row r="55" spans="1:18" x14ac:dyDescent="0.25">
      <c r="A55" s="84">
        <v>54</v>
      </c>
      <c r="B55" s="84" t="s">
        <v>54</v>
      </c>
      <c r="C55" s="84">
        <f>'Оборот общ пит'!B55/Население!C55</f>
        <v>0.65140845070422537</v>
      </c>
      <c r="D55" s="84">
        <f>'Оборот общ пит'!C55/Население!D55</f>
        <v>0.78693181818181823</v>
      </c>
      <c r="E55" s="84">
        <f>'Оборот общ пит'!D55/Население!E55</f>
        <v>1.6210601719197708</v>
      </c>
      <c r="F55" s="84">
        <f>'Оборот общ пит'!E55/Население!F55</f>
        <v>2.3234870317002883</v>
      </c>
      <c r="G55" s="84">
        <f>'Оборот общ пит'!F55/Население!G55</f>
        <v>3.2050724637681158</v>
      </c>
      <c r="H55" s="84">
        <f>'Оборот общ пит'!G55/Население!H55</f>
        <v>3.7434971098265897</v>
      </c>
      <c r="I55" s="84">
        <f>'Оборот общ пит'!H55/Население!I55</f>
        <v>4.6107480029048657</v>
      </c>
      <c r="J55" s="84">
        <f>'Оборот общ пит'!I55/Население!J55</f>
        <v>4.9043097151205259</v>
      </c>
      <c r="K55" s="84">
        <f>'Оборот общ пит'!J55/Население!K55</f>
        <v>5.43791329904482</v>
      </c>
      <c r="L55" s="84">
        <f>'Оборот общ пит'!K55/Население!L55</f>
        <v>6.0140117994100297</v>
      </c>
      <c r="M55" s="84">
        <f>'Оборот общ пит'!L55/Население!M55</f>
        <v>6.6730911786508527</v>
      </c>
      <c r="N55" s="84">
        <f>'Оборот общ пит'!M55/Население!N55</f>
        <v>6.9470938897168404</v>
      </c>
      <c r="O55" s="84">
        <f>'Оборот общ пит'!N55/Население!O55</f>
        <v>7.4361861861861858</v>
      </c>
      <c r="P55" s="84">
        <f>'Оборот общ пит'!O55/Население!P55</f>
        <v>7.8846737481031868</v>
      </c>
      <c r="Q55" s="84">
        <f>'Оборот общ пит'!P55/Население!Q55</f>
        <v>8.2411944869831544</v>
      </c>
      <c r="R55" s="84">
        <f>'Оборот общ пит'!Q55/Население!R55</f>
        <v>6.9411309062742061</v>
      </c>
    </row>
    <row r="56" spans="1:18" x14ac:dyDescent="0.25">
      <c r="A56" s="84">
        <v>55</v>
      </c>
      <c r="B56" s="84" t="s">
        <v>55</v>
      </c>
      <c r="C56" s="84">
        <f>'Оборот общ пит'!B56/Население!C56</f>
        <v>2.8713577185368879</v>
      </c>
      <c r="D56" s="84">
        <f>'Оборот общ пит'!C56/Население!D56</f>
        <v>3.288491690185011</v>
      </c>
      <c r="E56" s="84">
        <f>'Оборот общ пит'!D56/Население!E56</f>
        <v>4.7473253618628064</v>
      </c>
      <c r="F56" s="84">
        <f>'Оборот общ пит'!E56/Население!F56</f>
        <v>5.4623384809328712</v>
      </c>
      <c r="G56" s="84">
        <f>'Оборот общ пит'!F56/Население!G56</f>
        <v>5.2768842636392304</v>
      </c>
      <c r="H56" s="84">
        <f>'Оборот общ пит'!G56/Население!H56</f>
        <v>5.9524105754276828</v>
      </c>
      <c r="I56" s="84">
        <f>'Оборот общ пит'!H56/Население!I56</f>
        <v>6.4993777224642191</v>
      </c>
      <c r="J56" s="84">
        <f>'Оборот общ пит'!I56/Население!J56</f>
        <v>6.6707127295362589</v>
      </c>
      <c r="K56" s="84">
        <f>'Оборот общ пит'!J56/Население!K56</f>
        <v>7.5356586733104951</v>
      </c>
      <c r="L56" s="84">
        <f>'Оборот общ пит'!K56/Население!L56</f>
        <v>8.2486772486772484</v>
      </c>
      <c r="M56" s="84">
        <f>'Оборот общ пит'!L56/Население!M56</f>
        <v>7.8050530255770427</v>
      </c>
      <c r="N56" s="84">
        <f>'Оборот общ пит'!M56/Население!N56</f>
        <v>7.7702154230408995</v>
      </c>
      <c r="O56" s="84">
        <f>'Оборот общ пит'!N56/Население!O56</f>
        <v>7.6207328531161913</v>
      </c>
      <c r="P56" s="84">
        <f>'Оборот общ пит'!O56/Население!P56</f>
        <v>8.3226515865535653</v>
      </c>
      <c r="Q56" s="84">
        <f>'Оборот общ пит'!P56/Население!Q56</f>
        <v>8.8792072978924192</v>
      </c>
      <c r="R56" s="84">
        <f>'Оборот общ пит'!Q56/Население!R56</f>
        <v>6.4939759036144578</v>
      </c>
    </row>
    <row r="57" spans="1:18" x14ac:dyDescent="0.25">
      <c r="A57" s="84">
        <v>56</v>
      </c>
      <c r="B57" s="84" t="s">
        <v>56</v>
      </c>
      <c r="C57" s="84">
        <f>'Оборот общ пит'!B57/Население!C57</f>
        <v>0.59899652643766887</v>
      </c>
      <c r="D57" s="84">
        <f>'Оборот общ пит'!C57/Население!D57</f>
        <v>0.8619631901840491</v>
      </c>
      <c r="E57" s="84">
        <f>'Оборот общ пит'!D57/Население!E57</f>
        <v>1.5344894026974951</v>
      </c>
      <c r="F57" s="84">
        <f>'Оборот общ пит'!E57/Население!F57</f>
        <v>2.5534055727554179</v>
      </c>
      <c r="G57" s="84">
        <f>'Оборот общ пит'!F57/Население!G57</f>
        <v>2.8810726778080062</v>
      </c>
      <c r="H57" s="84">
        <f>'Оборот общ пит'!G57/Население!H57</f>
        <v>3.0738388249305282</v>
      </c>
      <c r="I57" s="84">
        <f>'Оборот общ пит'!H57/Население!I57</f>
        <v>3.4216819449980074</v>
      </c>
      <c r="J57" s="84">
        <f>'Оборот общ пит'!I57/Население!J57</f>
        <v>3.6100679184978026</v>
      </c>
      <c r="K57" s="84">
        <f>'Оборот общ пит'!J57/Население!K57</f>
        <v>4.1830196235482582</v>
      </c>
      <c r="L57" s="84">
        <f>'Оборот общ пит'!K57/Население!L57</f>
        <v>4.4809466506217408</v>
      </c>
      <c r="M57" s="84">
        <f>'Оборот общ пит'!L57/Население!M57</f>
        <v>4.956993569131833</v>
      </c>
      <c r="N57" s="84">
        <f>'Оборот общ пит'!M57/Население!N57</f>
        <v>5.2400161355385233</v>
      </c>
      <c r="O57" s="84">
        <f>'Оборот общ пит'!N57/Население!O57</f>
        <v>5.5590742996345917</v>
      </c>
      <c r="P57" s="84">
        <f>'Оборот общ пит'!O57/Население!P57</f>
        <v>6.0253994264645634</v>
      </c>
      <c r="Q57" s="84">
        <f>'Оборот общ пит'!P57/Население!Q57</f>
        <v>6.4549958711808424</v>
      </c>
      <c r="R57" s="84">
        <f>'Оборот общ пит'!Q57/Население!R57</f>
        <v>5.8212943632567846</v>
      </c>
    </row>
    <row r="58" spans="1:18" x14ac:dyDescent="0.25">
      <c r="A58" s="84">
        <v>57</v>
      </c>
      <c r="B58" s="84" t="s">
        <v>57</v>
      </c>
      <c r="C58" s="84">
        <f>'Оборот общ пит'!B58/Население!C58</f>
        <v>0.5283582089552239</v>
      </c>
      <c r="D58" s="84">
        <f>'Оборот общ пит'!C58/Население!D58</f>
        <v>0.60778443113772451</v>
      </c>
      <c r="E58" s="84">
        <f>'Оборот общ пит'!D58/Население!E58</f>
        <v>1.1633888048411498</v>
      </c>
      <c r="F58" s="84">
        <f>'Оборот общ пит'!E58/Население!F58</f>
        <v>1.7858231707317074</v>
      </c>
      <c r="G58" s="84">
        <f>'Оборот общ пит'!F58/Население!G58</f>
        <v>1.6421455938697318</v>
      </c>
      <c r="H58" s="84">
        <f>'Оборот общ пит'!G58/Население!H58</f>
        <v>1.844186046511628</v>
      </c>
      <c r="I58" s="84">
        <f>'Оборот общ пит'!H58/Население!I58</f>
        <v>2.6505460218408738</v>
      </c>
      <c r="J58" s="84">
        <f>'Оборот общ пит'!I58/Население!J58</f>
        <v>3.0062794348508635</v>
      </c>
      <c r="K58" s="84">
        <f>'Оборот общ пит'!J58/Население!K58</f>
        <v>3.5252365930599368</v>
      </c>
      <c r="L58" s="84">
        <f>'Оборот общ пит'!K58/Население!L58</f>
        <v>4.1093502377179076</v>
      </c>
      <c r="M58" s="84">
        <f>'Оборот общ пит'!L58/Население!M58</f>
        <v>4.370429252782194</v>
      </c>
      <c r="N58" s="84">
        <f>'Оборот общ пит'!M58/Население!N58</f>
        <v>4.2410215482841185</v>
      </c>
      <c r="O58" s="84">
        <f>'Оборот общ пит'!N58/Население!O58</f>
        <v>4.845228548516439</v>
      </c>
      <c r="P58" s="84">
        <f>'Оборот общ пит'!O58/Население!P58</f>
        <v>4.9620355411954762</v>
      </c>
      <c r="Q58" s="84">
        <f>'Оборот общ пит'!P58/Население!Q58</f>
        <v>5.4447154471544712</v>
      </c>
      <c r="R58" s="84">
        <f>'Оборот общ пит'!Q58/Население!R58</f>
        <v>4.8834154351395727</v>
      </c>
    </row>
    <row r="59" spans="1:18" x14ac:dyDescent="0.25">
      <c r="A59" s="84">
        <v>58</v>
      </c>
      <c r="B59" s="84" t="s">
        <v>58</v>
      </c>
      <c r="C59" s="84">
        <f>'Оборот общ пит'!B59/Население!C59</f>
        <v>1.6382536382536383</v>
      </c>
      <c r="D59" s="84">
        <f>'Оборот общ пит'!C59/Население!D59</f>
        <v>2.0724489795918366</v>
      </c>
      <c r="E59" s="84">
        <f>'Оборот общ пит'!D59/Население!E59</f>
        <v>2.6893704850361195</v>
      </c>
      <c r="F59" s="84">
        <f>'Оборот общ пит'!E59/Население!F59</f>
        <v>3.65</v>
      </c>
      <c r="G59" s="84">
        <f>'Оборот общ пит'!F59/Население!G59</f>
        <v>3.4428121720881428</v>
      </c>
      <c r="H59" s="84">
        <f>'Оборот общ пит'!G59/Население!H59</f>
        <v>3.5247524752475248</v>
      </c>
      <c r="I59" s="84">
        <f>'Оборот общ пит'!H59/Население!I59</f>
        <v>3.7533482142857144</v>
      </c>
      <c r="J59" s="84">
        <f>'Оборот общ пит'!I59/Население!J59</f>
        <v>3.8848758465011288</v>
      </c>
      <c r="K59" s="84">
        <f>'Оборот общ пит'!J59/Население!K59</f>
        <v>4.2063854047890539</v>
      </c>
      <c r="L59" s="84">
        <f>'Оборот общ пит'!K59/Население!L59</f>
        <v>4.3</v>
      </c>
      <c r="M59" s="84">
        <f>'Оборот общ пит'!L59/Население!M59</f>
        <v>4.3712296983758705</v>
      </c>
      <c r="N59" s="84">
        <f>'Оборот общ пит'!M59/Население!N59</f>
        <v>4.230679156908665</v>
      </c>
      <c r="O59" s="84">
        <f>'Оборот общ пит'!N59/Население!O59</f>
        <v>4.3640661938534278</v>
      </c>
      <c r="P59" s="84">
        <f>'Оборот общ пит'!O59/Население!P59</f>
        <v>4.5616766467065872</v>
      </c>
      <c r="Q59" s="84">
        <f>'Оборот общ пит'!P59/Население!Q59</f>
        <v>4.8089480048367594</v>
      </c>
      <c r="R59" s="84">
        <f>'Оборот общ пит'!Q59/Население!R59</f>
        <v>3.6727716727716726</v>
      </c>
    </row>
    <row r="60" spans="1:18" x14ac:dyDescent="0.25">
      <c r="A60" s="84">
        <v>59</v>
      </c>
      <c r="B60" s="84" t="s">
        <v>59</v>
      </c>
      <c r="C60" s="84">
        <f>'Оборот общ пит'!B60/Население!C60</f>
        <v>2.8425160697887972</v>
      </c>
      <c r="D60" s="84">
        <f>'Оборот общ пит'!C60/Население!D60</f>
        <v>3.4691609977324265</v>
      </c>
      <c r="E60" s="84">
        <f>'Оборот общ пит'!D60/Население!E60</f>
        <v>4.7129545454545454</v>
      </c>
      <c r="F60" s="84">
        <f>'Оборот общ пит'!E60/Население!F60</f>
        <v>6.2186078252957238</v>
      </c>
      <c r="G60" s="84">
        <f>'Оборот общ пит'!F60/Население!G60</f>
        <v>5.90193401592719</v>
      </c>
      <c r="H60" s="84">
        <f>'Оборот общ пит'!G60/Население!H60</f>
        <v>7.4791715150104725</v>
      </c>
      <c r="I60" s="84">
        <f>'Оборот общ пит'!H60/Население!I60</f>
        <v>9.2865103320176452</v>
      </c>
      <c r="J60" s="84">
        <f>'Оборот общ пит'!I60/Население!J60</f>
        <v>10.158248378127896</v>
      </c>
      <c r="K60" s="84">
        <f>'Оборот общ пит'!J60/Население!K60</f>
        <v>11.294144873871788</v>
      </c>
      <c r="L60" s="84">
        <f>'Оборот общ пит'!K60/Население!L60</f>
        <v>12.298359140281951</v>
      </c>
      <c r="M60" s="84">
        <f>'Оборот общ пит'!L60/Население!M60</f>
        <v>12.942494226327945</v>
      </c>
      <c r="N60" s="84">
        <f>'Оборот общ пит'!M60/Население!N60</f>
        <v>11.961191961191961</v>
      </c>
      <c r="O60" s="84">
        <f>'Оборот общ пит'!N60/Население!O60</f>
        <v>11.687398843930636</v>
      </c>
      <c r="P60" s="84">
        <f>'Оборот общ пит'!O60/Население!P60</f>
        <v>12.167284522706209</v>
      </c>
      <c r="Q60" s="84">
        <f>'Оборот общ пит'!P60/Население!Q60</f>
        <v>12.732080723729993</v>
      </c>
      <c r="R60" s="84">
        <f>'Оборот общ пит'!Q60/Население!R60</f>
        <v>9.035664335664336</v>
      </c>
    </row>
    <row r="61" spans="1:18" x14ac:dyDescent="0.25">
      <c r="A61" s="84">
        <v>60</v>
      </c>
      <c r="B61" s="84" t="s">
        <v>60</v>
      </c>
      <c r="C61" s="84">
        <f>'Оборот общ пит'!B61/Население!C61</f>
        <v>6.2200971463266548</v>
      </c>
      <c r="D61" s="84">
        <f>'Оборот общ пит'!C61/Население!D61</f>
        <v>9.8248570568763167</v>
      </c>
      <c r="E61" s="84">
        <f>'Оборот общ пит'!D61/Население!E61</f>
        <v>13.210762331838565</v>
      </c>
      <c r="F61" s="84">
        <f>'Оборот общ пит'!E61/Население!F61</f>
        <v>16.730883224659159</v>
      </c>
      <c r="G61" s="84">
        <f>'Оборот общ пит'!F61/Население!G61</f>
        <v>12.115033833480435</v>
      </c>
      <c r="H61" s="84">
        <f>'Оборот общ пит'!G61/Население!H61</f>
        <v>12.388252569750367</v>
      </c>
      <c r="I61" s="84">
        <f>'Оборот общ пит'!H61/Население!I61</f>
        <v>13.489884393063583</v>
      </c>
      <c r="J61" s="84">
        <f>'Оборот общ пит'!I61/Население!J61</f>
        <v>14.138422101965253</v>
      </c>
      <c r="K61" s="84">
        <f>'Оборот общ пит'!J61/Население!K61</f>
        <v>16.496615905245346</v>
      </c>
      <c r="L61" s="84">
        <f>'Оборот общ пит'!K61/Население!L61</f>
        <v>18.010053057805081</v>
      </c>
      <c r="M61" s="84">
        <f>'Оборот общ пит'!L61/Население!M61</f>
        <v>19.074688796680498</v>
      </c>
      <c r="N61" s="84">
        <f>'Оборот общ пит'!M61/Население!N61</f>
        <v>19.808469945355192</v>
      </c>
      <c r="O61" s="84">
        <f>'Оборот общ пит'!N61/Население!O61</f>
        <v>20.434994582881906</v>
      </c>
      <c r="P61" s="84">
        <f>'Оборот общ пит'!O61/Население!P61</f>
        <v>21.060972334139134</v>
      </c>
      <c r="Q61" s="84">
        <f>'Оборот общ пит'!P61/Население!Q61</f>
        <v>21.727442108064945</v>
      </c>
      <c r="R61" s="84">
        <f>'Оборот общ пит'!Q61/Население!R61</f>
        <v>18.784806776071996</v>
      </c>
    </row>
    <row r="62" spans="1:18" x14ac:dyDescent="0.25">
      <c r="A62" s="84">
        <v>61</v>
      </c>
      <c r="B62" s="84" t="s">
        <v>61</v>
      </c>
      <c r="C62" s="84">
        <f>'Оборот общ пит'!B62/Население!C62</f>
        <v>1.5979528006823998</v>
      </c>
      <c r="D62" s="84">
        <f>'Оборот общ пит'!C62/Население!D62</f>
        <v>2.1642594165958653</v>
      </c>
      <c r="E62" s="84">
        <f>'Оборот общ пит'!D62/Население!E62</f>
        <v>2.9542223485925505</v>
      </c>
      <c r="F62" s="84">
        <f>'Оборот общ пит'!E62/Население!F62</f>
        <v>4.253489034463116</v>
      </c>
      <c r="G62" s="84">
        <f>'Оборот общ пит'!F62/Население!G62</f>
        <v>4.3728620296465222</v>
      </c>
      <c r="H62" s="84">
        <f>'Оборот общ пит'!G62/Население!H62</f>
        <v>4.5860184119677792</v>
      </c>
      <c r="I62" s="84">
        <f>'Оборот общ пит'!H62/Население!I62</f>
        <v>4.8350574712643679</v>
      </c>
      <c r="J62" s="84">
        <f>'Оборот общ пит'!I62/Население!J62</f>
        <v>5.1360114777618362</v>
      </c>
      <c r="K62" s="84">
        <f>'Оборот общ пит'!J62/Население!K62</f>
        <v>5.801146131805158</v>
      </c>
      <c r="L62" s="84">
        <f>'Оборот общ пит'!K62/Население!L62</f>
        <v>6.1700971983990849</v>
      </c>
      <c r="M62" s="84">
        <f>'Оборот общ пит'!L62/Население!M62</f>
        <v>5.5526992287917736</v>
      </c>
      <c r="N62" s="84">
        <f>'Оборот общ пит'!M62/Население!N62</f>
        <v>5.5979440319817249</v>
      </c>
      <c r="O62" s="84">
        <f>'Оборот общ пит'!N62/Население!O62</f>
        <v>5.9092470655596907</v>
      </c>
      <c r="P62" s="84">
        <f>'Оборот общ пит'!O62/Население!P62</f>
        <v>6.065880322209436</v>
      </c>
      <c r="Q62" s="84">
        <f>'Оборот общ пит'!P62/Население!Q62</f>
        <v>6.6494518176572415</v>
      </c>
      <c r="R62" s="84">
        <f>'Оборот общ пит'!Q62/Население!R62</f>
        <v>6.5666569851873362</v>
      </c>
    </row>
    <row r="63" spans="1:18" x14ac:dyDescent="0.25">
      <c r="A63" s="84">
        <v>62</v>
      </c>
      <c r="B63" s="84" t="s">
        <v>62</v>
      </c>
      <c r="C63" s="84">
        <f>'Оборот общ пит'!B63/Население!C63</f>
        <v>0.66831683168316836</v>
      </c>
      <c r="D63" s="84">
        <f>'Оборот общ пит'!C63/Население!D63</f>
        <v>0.87254901960784315</v>
      </c>
      <c r="E63" s="84">
        <f>'Оборот общ пит'!D63/Население!E63</f>
        <v>1.224390243902439</v>
      </c>
      <c r="F63" s="84">
        <f>'Оборот общ пит'!E63/Население!F63</f>
        <v>1.9178743961352658</v>
      </c>
      <c r="G63" s="84">
        <f>'Оборот общ пит'!F63/Население!G63</f>
        <v>2.0765550239234449</v>
      </c>
      <c r="H63" s="84">
        <f>'Оборот общ пит'!G63/Население!H63</f>
        <v>2.2801932367149758</v>
      </c>
      <c r="I63" s="84">
        <f>'Оборот общ пит'!H63/Население!I63</f>
        <v>2.6411483253588517</v>
      </c>
      <c r="J63" s="84">
        <f>'Оборот общ пит'!I63/Население!J63</f>
        <v>3.0047619047619047</v>
      </c>
      <c r="K63" s="84">
        <f>'Оборот общ пит'!J63/Население!K63</f>
        <v>3.2701421800947865</v>
      </c>
      <c r="L63" s="84">
        <f>'Оборот общ пит'!K63/Население!L63</f>
        <v>3.542056074766355</v>
      </c>
      <c r="M63" s="84">
        <f>'Оборот общ пит'!L63/Население!M63</f>
        <v>3.7488372093023257</v>
      </c>
      <c r="N63" s="84">
        <f>'Оборот общ пит'!M63/Население!N63</f>
        <v>3.5576036866359448</v>
      </c>
      <c r="O63" s="84">
        <f>'Оборот общ пит'!N63/Население!O63</f>
        <v>3.8715596330275228</v>
      </c>
      <c r="P63" s="84">
        <f>'Оборот общ пит'!O63/Население!P63</f>
        <v>3.904109589041096</v>
      </c>
      <c r="Q63" s="84">
        <f>'Оборот общ пит'!P63/Население!Q63</f>
        <v>4.7954545454545459</v>
      </c>
      <c r="R63" s="84">
        <f>'Оборот общ пит'!Q63/Население!R63</f>
        <v>4.4932126696832579</v>
      </c>
    </row>
    <row r="64" spans="1:18" x14ac:dyDescent="0.25">
      <c r="A64" s="84">
        <v>63</v>
      </c>
      <c r="B64" s="84" t="s">
        <v>63</v>
      </c>
      <c r="C64" s="84">
        <f>'Оборот общ пит'!B64/Население!C64</f>
        <v>1.4426059979317476</v>
      </c>
      <c r="D64" s="84">
        <f>'Оборот общ пит'!C64/Население!D64</f>
        <v>1.9491701244813278</v>
      </c>
      <c r="E64" s="84">
        <f>'Оборот общ пит'!D64/Население!E64</f>
        <v>3.0458333333333334</v>
      </c>
      <c r="F64" s="84">
        <f>'Оборот общ пит'!E64/Население!F64</f>
        <v>4.1052083333333336</v>
      </c>
      <c r="G64" s="84">
        <f>'Оборот общ пит'!F64/Население!G64</f>
        <v>4.76690946930281</v>
      </c>
      <c r="H64" s="84">
        <f>'Оборот общ пит'!G64/Население!H64</f>
        <v>5.3888888888888893</v>
      </c>
      <c r="I64" s="84">
        <f>'Оборот общ пит'!H64/Население!I64</f>
        <v>6.6168898043254378</v>
      </c>
      <c r="J64" s="84">
        <f>'Оборот общ пит'!I64/Население!J64</f>
        <v>7.5</v>
      </c>
      <c r="K64" s="84">
        <f>'Оборот общ пит'!J64/Население!K64</f>
        <v>8.3757700205338814</v>
      </c>
      <c r="L64" s="84">
        <f>'Оборот общ пит'!K64/Население!L64</f>
        <v>8.5807770961145202</v>
      </c>
      <c r="M64" s="84">
        <f>'Оборот общ пит'!L64/Население!M64</f>
        <v>9.1608961303462326</v>
      </c>
      <c r="N64" s="84">
        <f>'Оборот общ пит'!M64/Население!N64</f>
        <v>9.5315040650406502</v>
      </c>
      <c r="O64" s="84">
        <f>'Оборот общ пит'!N64/Население!O64</f>
        <v>10.171573604060914</v>
      </c>
      <c r="P64" s="84">
        <f>'Оборот общ пит'!O64/Население!P64</f>
        <v>10.532044760935911</v>
      </c>
      <c r="Q64" s="84">
        <f>'Оборот общ пит'!P64/Население!Q64</f>
        <v>11.584178498985802</v>
      </c>
      <c r="R64" s="84">
        <f>'Оборот общ пит'!Q64/Население!R64</f>
        <v>9.8964467005076138</v>
      </c>
    </row>
    <row r="65" spans="1:18" x14ac:dyDescent="0.25">
      <c r="A65" s="84">
        <v>64</v>
      </c>
      <c r="B65" s="84" t="s">
        <v>64</v>
      </c>
      <c r="C65" s="84">
        <f>'Оборот общ пит'!B65/Население!C65</f>
        <v>0.38613861386138615</v>
      </c>
      <c r="D65" s="84">
        <f>'Оборот общ пит'!C65/Население!D65</f>
        <v>0.4563106796116505</v>
      </c>
      <c r="E65" s="84">
        <f>'Оборот общ пит'!D65/Население!E65</f>
        <v>0.64401294498381878</v>
      </c>
      <c r="F65" s="84">
        <f>'Оборот общ пит'!E65/Население!F65</f>
        <v>0.83333333333333337</v>
      </c>
      <c r="G65" s="84">
        <f>'Оборот общ пит'!F65/Население!G65</f>
        <v>0.97770700636942676</v>
      </c>
      <c r="H65" s="84">
        <f>'Оборот общ пит'!G65/Население!H65</f>
        <v>1.1428571428571428</v>
      </c>
      <c r="I65" s="84">
        <f>'Оборот общ пит'!H65/Население!I65</f>
        <v>1.3786407766990292</v>
      </c>
      <c r="J65" s="84">
        <f>'Оборот общ пит'!I65/Население!J65</f>
        <v>1.5774193548387097</v>
      </c>
      <c r="K65" s="84">
        <f>'Оборот общ пит'!J65/Население!K65</f>
        <v>1.8365384615384615</v>
      </c>
      <c r="L65" s="84">
        <f>'Оборот общ пит'!K65/Население!L65</f>
        <v>1.9808917197452229</v>
      </c>
      <c r="M65" s="84">
        <f>'Оборот общ пит'!L65/Население!M65</f>
        <v>2.221518987341772</v>
      </c>
      <c r="N65" s="84">
        <f>'Оборот общ пит'!M65/Население!N65</f>
        <v>2.242138364779874</v>
      </c>
      <c r="O65" s="84">
        <f>'Оборот общ пит'!N65/Население!O65</f>
        <v>2.3385093167701863</v>
      </c>
      <c r="P65" s="84">
        <f>'Оборот общ пит'!O65/Население!P65</f>
        <v>2.4814814814814814</v>
      </c>
      <c r="Q65" s="84">
        <f>'Оборот общ пит'!P65/Население!Q65</f>
        <v>2.9510703363914375</v>
      </c>
      <c r="R65" s="84">
        <f>'Оборот общ пит'!Q65/Население!R65</f>
        <v>2.6757575757575758</v>
      </c>
    </row>
    <row r="66" spans="1:18" x14ac:dyDescent="0.25">
      <c r="A66" s="84">
        <v>65</v>
      </c>
      <c r="B66" s="84" t="s">
        <v>65</v>
      </c>
      <c r="C66" s="84">
        <f>'Оборот общ пит'!B66/Население!C66</f>
        <v>1.5093632958801497</v>
      </c>
      <c r="D66" s="84">
        <f>'Оборот общ пит'!C66/Население!D66</f>
        <v>2.0947955390334574</v>
      </c>
      <c r="E66" s="84">
        <f>'Оборот общ пит'!D66/Население!E66</f>
        <v>3.197392923649907</v>
      </c>
      <c r="F66" s="84">
        <f>'Оборот общ пит'!E66/Население!F66</f>
        <v>3.9050279329608939</v>
      </c>
      <c r="G66" s="84">
        <f>'Оборот общ пит'!F66/Население!G66</f>
        <v>3.9052044609665426</v>
      </c>
      <c r="H66" s="84">
        <f>'Оборот общ пит'!G66/Население!H66</f>
        <v>3.7518796992481205</v>
      </c>
      <c r="I66" s="84">
        <f>'Оборот общ пит'!H66/Население!I66</f>
        <v>4.4172932330827068</v>
      </c>
      <c r="J66" s="84">
        <f>'Оборот общ пит'!I66/Население!J66</f>
        <v>5.1031894934333959</v>
      </c>
      <c r="K66" s="84">
        <f>'Оборот общ пит'!J66/Население!K66</f>
        <v>5.6217228464419478</v>
      </c>
      <c r="L66" s="84">
        <f>'Оборот общ пит'!K66/Население!L66</f>
        <v>6.4179104477611943</v>
      </c>
      <c r="M66" s="84">
        <f>'Оборот общ пит'!L66/Население!M66</f>
        <v>7.7653631284916198</v>
      </c>
      <c r="N66" s="84">
        <f>'Оборот общ пит'!M66/Население!N66</f>
        <v>8.1880819366852879</v>
      </c>
      <c r="O66" s="84">
        <f>'Оборот общ пит'!N66/Население!O66</f>
        <v>9.3605947955390327</v>
      </c>
      <c r="P66" s="84">
        <f>'Оборот общ пит'!O66/Население!P66</f>
        <v>9.7802607076350085</v>
      </c>
      <c r="Q66" s="84">
        <f>'Оборот общ пит'!P66/Население!Q66</f>
        <v>10.55056179775281</v>
      </c>
      <c r="R66" s="84">
        <f>'Оборот общ пит'!Q66/Население!R66</f>
        <v>9.9116541353383454</v>
      </c>
    </row>
    <row r="67" spans="1:18" x14ac:dyDescent="0.25">
      <c r="A67" s="84">
        <v>66</v>
      </c>
      <c r="B67" s="84" t="s">
        <v>66</v>
      </c>
      <c r="C67" s="84">
        <f>'Оборот общ пит'!B67/Население!C67</f>
        <v>0.9468637634838194</v>
      </c>
      <c r="D67" s="84">
        <f>'Оборот общ пит'!C67/Население!D67</f>
        <v>1.2847031065670469</v>
      </c>
      <c r="E67" s="84">
        <f>'Оборот общ пит'!D67/Население!E67</f>
        <v>1.6864843440348791</v>
      </c>
      <c r="F67" s="84">
        <f>'Оборот общ пит'!E67/Население!F67</f>
        <v>2.4505582137161084</v>
      </c>
      <c r="G67" s="84">
        <f>'Оборот общ пит'!F67/Население!G67</f>
        <v>1.7424909891870244</v>
      </c>
      <c r="H67" s="84">
        <f>'Оборот общ пит'!G67/Население!H67</f>
        <v>2.0790235829540755</v>
      </c>
      <c r="I67" s="84">
        <f>'Оборот общ пит'!H67/Население!I67</f>
        <v>2.4972995429995843</v>
      </c>
      <c r="J67" s="84">
        <f>'Оборот общ пит'!I67/Население!J67</f>
        <v>2.7519799916631928</v>
      </c>
      <c r="K67" s="84">
        <f>'Оборот общ пит'!J67/Население!K67</f>
        <v>3.0635717273107486</v>
      </c>
      <c r="L67" s="84">
        <f>'Оборот общ пит'!K67/Население!L67</f>
        <v>3.3731656184486374</v>
      </c>
      <c r="M67" s="84">
        <f>'Оборот общ пит'!L67/Население!M67</f>
        <v>3.6575515355490116</v>
      </c>
      <c r="N67" s="84">
        <f>'Оборот общ пит'!M67/Население!N67</f>
        <v>3.834319526627219</v>
      </c>
      <c r="O67" s="84">
        <f>'Оборот общ пит'!N67/Население!O67</f>
        <v>4.0378723404255323</v>
      </c>
      <c r="P67" s="84">
        <f>'Оборот общ пит'!O67/Население!P67</f>
        <v>4.2246035147878267</v>
      </c>
      <c r="Q67" s="84">
        <f>'Оборот общ пит'!P67/Население!Q67</f>
        <v>4.4734570565386278</v>
      </c>
      <c r="R67" s="84">
        <f>'Оборот общ пит'!Q67/Население!R67</f>
        <v>3.7055749128919859</v>
      </c>
    </row>
    <row r="68" spans="1:18" x14ac:dyDescent="0.25">
      <c r="A68" s="84">
        <v>67</v>
      </c>
      <c r="B68" s="84" t="s">
        <v>73</v>
      </c>
      <c r="C68" s="84">
        <f>'Оборот общ пит'!B68/Население!C68</f>
        <v>1.6343416370106763</v>
      </c>
      <c r="D68" s="84">
        <f>'Оборот общ пит'!C68/Население!D68</f>
        <v>2.0390070921985815</v>
      </c>
      <c r="E68" s="84">
        <f>'Оборот общ пит'!D68/Население!E68</f>
        <v>2.5739750445632801</v>
      </c>
      <c r="F68" s="84">
        <f>'Оборот общ пит'!E68/Население!F68</f>
        <v>3.6532618409294013</v>
      </c>
      <c r="G68" s="84">
        <f>'Оборот общ пит'!F68/Население!G68</f>
        <v>3.9982094897045659</v>
      </c>
      <c r="H68" s="84">
        <f>'Оборот общ пит'!G68/Население!H68</f>
        <v>4.5922242314647379</v>
      </c>
      <c r="I68" s="84">
        <f>'Оборот общ пит'!H68/Население!I68</f>
        <v>5.6354545454545457</v>
      </c>
      <c r="J68" s="84">
        <f>'Оборот общ пит'!I68/Население!J68</f>
        <v>6.1662100456621003</v>
      </c>
      <c r="K68" s="84">
        <f>'Оборот общ пит'!J68/Население!K68</f>
        <v>6.8266055045871559</v>
      </c>
      <c r="L68" s="84">
        <f>'Оборот общ пит'!K68/Население!L68</f>
        <v>7.0846366145354187</v>
      </c>
      <c r="M68" s="84">
        <f>'Оборот общ пит'!L68/Население!M68</f>
        <v>7.5438596491228074</v>
      </c>
      <c r="N68" s="84">
        <f>'Оборот общ пит'!M68/Население!N68</f>
        <v>7.4253938832252082</v>
      </c>
      <c r="O68" s="84">
        <f>'Оборот общ пит'!N68/Население!O68</f>
        <v>7.8210624417520966</v>
      </c>
      <c r="P68" s="84">
        <f>'Оборот общ пит'!O68/Население!P68</f>
        <v>8.308630393996248</v>
      </c>
      <c r="Q68" s="84">
        <f>'Оборот общ пит'!P68/Население!Q68</f>
        <v>9.3415094339622637</v>
      </c>
      <c r="R68" s="84">
        <f>'Оборот общ пит'!Q68/Население!R68</f>
        <v>7.9363722697056032</v>
      </c>
    </row>
    <row r="69" spans="1:18" x14ac:dyDescent="0.25">
      <c r="A69" s="84">
        <v>68</v>
      </c>
      <c r="B69" s="84" t="s">
        <v>67</v>
      </c>
      <c r="C69" s="84">
        <f>'Оборот общ пит'!B69/Население!C69</f>
        <v>3.0996863018473335</v>
      </c>
      <c r="D69" s="84">
        <f>'Оборот общ пит'!C69/Население!D69</f>
        <v>3.5884377150722644</v>
      </c>
      <c r="E69" s="84">
        <f>'Оборот общ пит'!D69/Население!E69</f>
        <v>4.07705597788528</v>
      </c>
      <c r="F69" s="84">
        <f>'Оборот общ пит'!E69/Население!F69</f>
        <v>4.8564013840830453</v>
      </c>
      <c r="G69" s="84">
        <f>'Оборот общ пит'!F69/Население!G69</f>
        <v>3.9484429065743947</v>
      </c>
      <c r="H69" s="84">
        <f>'Оборот общ пит'!G69/Население!H69</f>
        <v>3.8649699540473668</v>
      </c>
      <c r="I69" s="84">
        <f>'Оборот общ пит'!H69/Население!I69</f>
        <v>4.5961945031712474</v>
      </c>
      <c r="J69" s="84">
        <f>'Оборот общ пит'!I69/Население!J69</f>
        <v>5.5096592904812081</v>
      </c>
      <c r="K69" s="84">
        <f>'Оборот общ пит'!J69/Население!K69</f>
        <v>5.9523308797756744</v>
      </c>
      <c r="L69" s="84">
        <f>'Оборот общ пит'!K69/Население!L69</f>
        <v>6.3441762854144805</v>
      </c>
      <c r="M69" s="84">
        <f>'Оборот общ пит'!L69/Население!M69</f>
        <v>6.2763433356594556</v>
      </c>
      <c r="N69" s="84">
        <f>'Оборот общ пит'!M69/Население!N69</f>
        <v>7.4921739130434784</v>
      </c>
      <c r="O69" s="84">
        <f>'Оборот общ пит'!N69/Население!O69</f>
        <v>8.0361613351877601</v>
      </c>
      <c r="P69" s="84">
        <f>'Оборот общ пит'!O69/Население!P69</f>
        <v>9.2160751565762009</v>
      </c>
      <c r="Q69" s="84">
        <f>'Оборот общ пит'!P69/Население!Q69</f>
        <v>10.569783670621074</v>
      </c>
      <c r="R69" s="84">
        <f>'Оборот общ пит'!Q69/Население!R69</f>
        <v>8.4600840336134446</v>
      </c>
    </row>
    <row r="70" spans="1:18" x14ac:dyDescent="0.25">
      <c r="A70" s="84">
        <v>69</v>
      </c>
      <c r="B70" s="84" t="s">
        <v>68</v>
      </c>
      <c r="C70" s="84">
        <f>'Оборот общ пит'!B70/Население!C70</f>
        <v>1.6356340288924558</v>
      </c>
      <c r="D70" s="84">
        <f>'Оборот общ пит'!C70/Население!D70</f>
        <v>1.9058171745152355</v>
      </c>
      <c r="E70" s="84">
        <f>'Оборот общ пит'!D70/Население!E70</f>
        <v>2.245425616547335</v>
      </c>
      <c r="F70" s="84">
        <f>'Оборот общ пит'!E70/Население!F70</f>
        <v>2.9700956937799043</v>
      </c>
      <c r="G70" s="84">
        <f>'Оборот общ пит'!F70/Население!G70</f>
        <v>2.9377245508982037</v>
      </c>
      <c r="H70" s="84">
        <f>'Оборот общ пит'!G70/Население!H70</f>
        <v>3.158154859967051</v>
      </c>
      <c r="I70" s="84">
        <f>'Оборот общ пит'!H70/Население!I70</f>
        <v>3.745049504950495</v>
      </c>
      <c r="J70" s="84">
        <f>'Оборот общ пит'!I70/Население!J70</f>
        <v>3.9822460776218001</v>
      </c>
      <c r="K70" s="84">
        <f>'Оборот общ пит'!J70/Население!K70</f>
        <v>4.2630272952853598</v>
      </c>
      <c r="L70" s="84">
        <f>'Оборот общ пит'!K70/Население!L70</f>
        <v>4.5672877846790891</v>
      </c>
      <c r="M70" s="84">
        <f>'Оборот общ пит'!L70/Население!M70</f>
        <v>4.7219229175300459</v>
      </c>
      <c r="N70" s="84">
        <f>'Оборот общ пит'!M70/Население!N70</f>
        <v>5.3636363636363633</v>
      </c>
      <c r="O70" s="84">
        <f>'Оборот общ пит'!N70/Население!O70</f>
        <v>5.9255407653910153</v>
      </c>
      <c r="P70" s="84">
        <f>'Оборот общ пит'!O70/Население!P70</f>
        <v>6.5091743119266052</v>
      </c>
      <c r="Q70" s="84">
        <f>'Оборот общ пит'!P70/Население!Q70</f>
        <v>7.2199916352990376</v>
      </c>
      <c r="R70" s="84">
        <f>'Оборот общ пит'!Q70/Население!R70</f>
        <v>5.2934736842105261</v>
      </c>
    </row>
    <row r="71" spans="1:18" x14ac:dyDescent="0.25">
      <c r="A71" s="84">
        <v>70</v>
      </c>
      <c r="B71" s="84" t="s">
        <v>69</v>
      </c>
      <c r="C71" s="84">
        <f>'Оборот общ пит'!B71/Население!C71</f>
        <v>2.4864575908766926</v>
      </c>
      <c r="D71" s="84">
        <f>'Оборот общ пит'!C71/Население!D71</f>
        <v>3.4166960197252552</v>
      </c>
      <c r="E71" s="84">
        <f>'Оборот общ пит'!D71/Население!E71</f>
        <v>4.376857749469214</v>
      </c>
      <c r="F71" s="84">
        <f>'Оборот общ пит'!E71/Население!F71</f>
        <v>5.8724760892667378</v>
      </c>
      <c r="G71" s="84">
        <f>'Оборот общ пит'!F71/Население!G71</f>
        <v>3.9946846208362863</v>
      </c>
      <c r="H71" s="84">
        <f>'Оборот общ пит'!G71/Население!H71</f>
        <v>3.7124230351321983</v>
      </c>
      <c r="I71" s="84">
        <f>'Оборот общ пит'!H71/Население!I71</f>
        <v>4.2900763358778624</v>
      </c>
      <c r="J71" s="84">
        <f>'Оборот общ пит'!I71/Население!J71</f>
        <v>5.2461706783369806</v>
      </c>
      <c r="K71" s="84">
        <f>'Оборот общ пит'!J71/Население!K71</f>
        <v>5.6887344550109731</v>
      </c>
      <c r="L71" s="84">
        <f>'Оборот общ пит'!K71/Население!L71</f>
        <v>5.9915596330275234</v>
      </c>
      <c r="M71" s="84">
        <f>'Оборот общ пит'!L71/Население!M71</f>
        <v>6.441501103752759</v>
      </c>
      <c r="N71" s="84">
        <f>'Оборот общ пит'!M71/Население!N71</f>
        <v>6.8073089700996681</v>
      </c>
      <c r="O71" s="84">
        <f>'Оборот общ пит'!N71/Население!O71</f>
        <v>7.0656771799628943</v>
      </c>
      <c r="P71" s="84">
        <f>'Оборот общ пит'!O71/Население!P71</f>
        <v>7.5351533283470458</v>
      </c>
      <c r="Q71" s="84">
        <f>'Оборот общ пит'!P71/Население!Q71</f>
        <v>8.3092550790067712</v>
      </c>
      <c r="R71" s="84">
        <f>'Оборот общ пит'!Q71/Население!R71</f>
        <v>6.5803266236232432</v>
      </c>
    </row>
    <row r="72" spans="1:18" x14ac:dyDescent="0.25">
      <c r="A72" s="84">
        <v>71</v>
      </c>
      <c r="B72" s="84" t="s">
        <v>70</v>
      </c>
      <c r="C72" s="84">
        <f>'Оборот общ пит'!B72/Население!C72</f>
        <v>1.4677966101694915</v>
      </c>
      <c r="D72" s="84">
        <f>'Оборот общ пит'!C72/Население!D72</f>
        <v>1.9147169811320754</v>
      </c>
      <c r="E72" s="84">
        <f>'Оборот общ пит'!D72/Население!E72</f>
        <v>3.311624384702764</v>
      </c>
      <c r="F72" s="84">
        <f>'Оборот общ пит'!E72/Население!F72</f>
        <v>4.4586494688922613</v>
      </c>
      <c r="G72" s="84">
        <f>'Оборот общ пит'!F72/Население!G72</f>
        <v>3.6200757575757576</v>
      </c>
      <c r="H72" s="84">
        <f>'Оборот общ пит'!G72/Население!H72</f>
        <v>3.9549887471867966</v>
      </c>
      <c r="I72" s="84">
        <f>'Оборот общ пит'!H72/Население!I72</f>
        <v>4.3881652400446596</v>
      </c>
      <c r="J72" s="84">
        <f>'Оборот общ пит'!I72/Население!J72</f>
        <v>5.387822878228782</v>
      </c>
      <c r="K72" s="84">
        <f>'Оборот общ пит'!J72/Население!K72</f>
        <v>6.0790919077261076</v>
      </c>
      <c r="L72" s="84">
        <f>'Оборот общ пит'!K72/Население!L72</f>
        <v>6.6982162358937023</v>
      </c>
      <c r="M72" s="84">
        <f>'Оборот общ пит'!L72/Население!M72</f>
        <v>6.8414192614047789</v>
      </c>
      <c r="N72" s="84">
        <f>'Оборот общ пит'!M72/Население!N72</f>
        <v>7.6931654676258994</v>
      </c>
      <c r="O72" s="84">
        <f>'Оборот общ пит'!N72/Население!O72</f>
        <v>9.2330584438866978</v>
      </c>
      <c r="P72" s="84">
        <f>'Оборот общ пит'!O72/Население!P72</f>
        <v>11.197636949516649</v>
      </c>
      <c r="Q72" s="84">
        <f>'Оборот общ пит'!P72/Население!Q72</f>
        <v>12.725160829163688</v>
      </c>
      <c r="R72" s="84">
        <f>'Оборот общ пит'!Q72/Население!R72</f>
        <v>9.481694185211774</v>
      </c>
    </row>
    <row r="73" spans="1:18" x14ac:dyDescent="0.25">
      <c r="A73" s="84">
        <v>72</v>
      </c>
      <c r="B73" s="84" t="s">
        <v>71</v>
      </c>
      <c r="C73" s="84">
        <f>'Оборот общ пит'!B73/Население!C73</f>
        <v>1.9181547619047619</v>
      </c>
      <c r="D73" s="84">
        <f>'Оборот общ пит'!C73/Население!D73</f>
        <v>2.3164619164619165</v>
      </c>
      <c r="E73" s="84">
        <f>'Оборот общ пит'!D73/Население!E73</f>
        <v>2.9664363277393879</v>
      </c>
      <c r="F73" s="84">
        <f>'Оборот общ пит'!E73/Население!F73</f>
        <v>3.9796828543111991</v>
      </c>
      <c r="G73" s="84">
        <f>'Оборот общ пит'!F73/Население!G73</f>
        <v>3.0233366434955311</v>
      </c>
      <c r="H73" s="84">
        <f>'Оборот общ пит'!G73/Население!H73</f>
        <v>3.2883156297420335</v>
      </c>
      <c r="I73" s="84">
        <f>'Оборот общ пит'!H73/Население!I73</f>
        <v>3.9898734177215189</v>
      </c>
      <c r="J73" s="84">
        <f>'Оборот общ пит'!I73/Население!J73</f>
        <v>4.6950354609929077</v>
      </c>
      <c r="K73" s="84">
        <f>'Оборот общ пит'!J73/Население!K73</f>
        <v>5.3485309017223912</v>
      </c>
      <c r="L73" s="84">
        <f>'Оборот общ пит'!K73/Население!L73</f>
        <v>6.1562184024266937</v>
      </c>
      <c r="M73" s="84">
        <f>'Оборот общ пит'!L73/Население!M73</f>
        <v>6.3867542972699693</v>
      </c>
      <c r="N73" s="84">
        <f>'Оборот общ пит'!M73/Население!N73</f>
        <v>6.7425240750126711</v>
      </c>
      <c r="O73" s="84">
        <f>'Оборот общ пит'!N73/Население!O73</f>
        <v>7.3331632653061227</v>
      </c>
      <c r="P73" s="84">
        <f>'Оборот общ пит'!O73/Население!P73</f>
        <v>7.4963991769547329</v>
      </c>
      <c r="Q73" s="84">
        <f>'Оборот общ пит'!P73/Население!Q73</f>
        <v>8.7727036844836537</v>
      </c>
      <c r="R73" s="84">
        <f>'Оборот общ пит'!Q73/Население!R73</f>
        <v>7.732668067226891</v>
      </c>
    </row>
    <row r="74" spans="1:18" x14ac:dyDescent="0.25">
      <c r="A74" s="84">
        <v>73</v>
      </c>
      <c r="B74" s="84" t="s">
        <v>72</v>
      </c>
      <c r="C74" s="84">
        <f>'Оборот общ пит'!B74/Население!C74</f>
        <v>2.1279296875</v>
      </c>
      <c r="D74" s="84">
        <f>'Оборот общ пит'!C74/Население!D74</f>
        <v>2.5725338491295937</v>
      </c>
      <c r="E74" s="84">
        <f>'Оборот общ пит'!D74/Население!E74</f>
        <v>3.0290416263310744</v>
      </c>
      <c r="F74" s="84">
        <f>'Оборот общ пит'!E74/Население!F74</f>
        <v>3.8483091787439614</v>
      </c>
      <c r="G74" s="84">
        <f>'Оборот общ пит'!F74/Население!G74</f>
        <v>4.0231213872832372</v>
      </c>
      <c r="H74" s="84">
        <f>'Оборот общ пит'!G74/Население!H74</f>
        <v>4.3870352716873215</v>
      </c>
      <c r="I74" s="84">
        <f>'Оборот общ пит'!H74/Население!I74</f>
        <v>4.9187145557655958</v>
      </c>
      <c r="J74" s="84">
        <f>'Оборот общ пит'!I74/Население!J74</f>
        <v>5.8101503759398501</v>
      </c>
      <c r="K74" s="84">
        <f>'Оборот общ пит'!J74/Население!K74</f>
        <v>7.0364485981308409</v>
      </c>
      <c r="L74" s="84">
        <f>'Оборот общ пит'!K74/Население!L74</f>
        <v>7.7690875232774674</v>
      </c>
      <c r="M74" s="84">
        <f>'Оборот общ пит'!L74/Население!M74</f>
        <v>8.1940575673166194</v>
      </c>
      <c r="N74" s="84">
        <f>'Оборот общ пит'!M74/Население!N74</f>
        <v>8.2715477293790549</v>
      </c>
      <c r="O74" s="84">
        <f>'Оборот общ пит'!N74/Население!O74</f>
        <v>8.0547309833024112</v>
      </c>
      <c r="P74" s="84">
        <f>'Оборот общ пит'!O74/Население!P74</f>
        <v>8.6833797585886714</v>
      </c>
      <c r="Q74" s="84">
        <f>'Оборот общ пит'!P74/Население!Q74</f>
        <v>8.8324074074074073</v>
      </c>
      <c r="R74" s="84">
        <f>'Оборот общ пит'!Q74/Население!R74</f>
        <v>5.8588785046728971</v>
      </c>
    </row>
    <row r="75" spans="1:18" x14ac:dyDescent="0.25">
      <c r="A75" s="84">
        <v>74</v>
      </c>
      <c r="B75" s="84" t="s">
        <v>74</v>
      </c>
      <c r="C75" s="84">
        <f>'Оборот общ пит'!B75/Население!C75</f>
        <v>4.6708595387840672</v>
      </c>
      <c r="D75" s="84">
        <f>'Оборот общ пит'!C75/Население!D75</f>
        <v>5.9410526315789474</v>
      </c>
      <c r="E75" s="84">
        <f>'Оборот общ пит'!D75/Население!E75</f>
        <v>6.9010526315789473</v>
      </c>
      <c r="F75" s="84">
        <f>'Оборот общ пит'!E75/Население!F75</f>
        <v>7.8201892744479498</v>
      </c>
      <c r="G75" s="84">
        <f>'Оборот общ пит'!F75/Население!G75</f>
        <v>8.6621052631578941</v>
      </c>
      <c r="H75" s="84">
        <f>'Оборот общ пит'!G75/Население!H75</f>
        <v>9.4018789144050103</v>
      </c>
      <c r="I75" s="84">
        <f>'Оборот общ пит'!H75/Население!I75</f>
        <v>10.630753138075313</v>
      </c>
      <c r="J75" s="84">
        <f>'Оборот общ пит'!I75/Население!J75</f>
        <v>11.730125523012552</v>
      </c>
      <c r="K75" s="84">
        <f>'Оборот общ пит'!J75/Население!K75</f>
        <v>12.563350785340313</v>
      </c>
      <c r="L75" s="84">
        <f>'Оборот общ пит'!K75/Население!L75</f>
        <v>13.597701149425287</v>
      </c>
      <c r="M75" s="84">
        <f>'Оборот общ пит'!L75/Население!M75</f>
        <v>15.402083333333334</v>
      </c>
      <c r="N75" s="84">
        <f>'Оборот общ пит'!M75/Население!N75</f>
        <v>16.710280373831775</v>
      </c>
      <c r="O75" s="84">
        <f>'Оборот общ пит'!N75/Население!O75</f>
        <v>17.4201244813278</v>
      </c>
      <c r="P75" s="84">
        <f>'Оборот общ пит'!O75/Население!P75</f>
        <v>19.516028955532576</v>
      </c>
      <c r="Q75" s="84">
        <f>'Оборот общ пит'!P75/Население!Q75</f>
        <v>23.281893004115226</v>
      </c>
      <c r="R75" s="84">
        <f>'Оборот общ пит'!Q75/Население!R75</f>
        <v>21.194501018329937</v>
      </c>
    </row>
    <row r="76" spans="1:18" x14ac:dyDescent="0.25">
      <c r="A76" s="84">
        <v>75</v>
      </c>
      <c r="B76" s="84" t="s">
        <v>75</v>
      </c>
      <c r="C76" s="84">
        <f>'Оборот общ пит'!B76/Население!C76</f>
        <v>1.513353115727003</v>
      </c>
      <c r="D76" s="84">
        <f>'Оборот общ пит'!C76/Население!D76</f>
        <v>2.3782234957020059</v>
      </c>
      <c r="E76" s="84">
        <f>'Оборот общ пит'!D76/Население!E76</f>
        <v>5.7031700288184437</v>
      </c>
      <c r="F76" s="84">
        <f>'Оборот общ пит'!E76/Население!F76</f>
        <v>6.8092485549132951</v>
      </c>
      <c r="G76" s="84">
        <f>'Оборот общ пит'!F76/Население!G76</f>
        <v>8.2965116279069768</v>
      </c>
      <c r="H76" s="84">
        <f>'Оборот общ пит'!G76/Население!H76</f>
        <v>9.5900621118012417</v>
      </c>
      <c r="I76" s="84">
        <f>'Оборот общ пит'!H76/Население!I76</f>
        <v>9.9593749999999996</v>
      </c>
      <c r="J76" s="84">
        <f>'Оборот общ пит'!I76/Население!J76</f>
        <v>10.5875</v>
      </c>
      <c r="K76" s="84">
        <f>'Оборот общ пит'!J76/Население!K76</f>
        <v>11.21875</v>
      </c>
      <c r="L76" s="84">
        <f>'Оборот общ пит'!K76/Население!L76</f>
        <v>11.968454258675079</v>
      </c>
      <c r="M76" s="84">
        <f>'Оборот общ пит'!L76/Население!M76</f>
        <v>13.199367088607595</v>
      </c>
      <c r="N76" s="84">
        <f>'Оборот общ пит'!M76/Население!N76</f>
        <v>17.49206349206349</v>
      </c>
      <c r="O76" s="84">
        <f>'Оборот общ пит'!N76/Население!O76</f>
        <v>18.14240506329114</v>
      </c>
      <c r="P76" s="84">
        <f>'Оборот общ пит'!O76/Население!P76</f>
        <v>18.873015873015873</v>
      </c>
      <c r="Q76" s="84">
        <f>'Оборот общ пит'!P76/Население!Q76</f>
        <v>19.904153354632587</v>
      </c>
      <c r="R76" s="84">
        <f>'Оборот общ пит'!Q76/Население!R76</f>
        <v>19.40192926045016</v>
      </c>
    </row>
    <row r="77" spans="1:18" x14ac:dyDescent="0.25">
      <c r="A77" s="84">
        <v>76</v>
      </c>
      <c r="B77" s="84" t="s">
        <v>76</v>
      </c>
      <c r="C77" s="84">
        <f>'Оборот общ пит'!B77/Население!C77</f>
        <v>1.8131539611360239</v>
      </c>
      <c r="D77" s="84">
        <f>'Оборот общ пит'!C77/Население!D77</f>
        <v>2.1124318969787024</v>
      </c>
      <c r="E77" s="84">
        <f>'Оборот общ пит'!D77/Население!E77</f>
        <v>2.4670987038883352</v>
      </c>
      <c r="F77" s="84">
        <f>'Оборот общ пит'!E77/Население!F77</f>
        <v>3.0120240480961922</v>
      </c>
      <c r="G77" s="84">
        <f>'Оборот общ пит'!F77/Население!G77</f>
        <v>3.3667002012072436</v>
      </c>
      <c r="H77" s="84">
        <f>'Оборот общ пит'!G77/Население!H77</f>
        <v>3.7572964669738864</v>
      </c>
      <c r="I77" s="84">
        <f>'Оборот общ пит'!H77/Население!I77</f>
        <v>4.1404407995899541</v>
      </c>
      <c r="J77" s="84">
        <f>'Оборот общ пит'!I77/Население!J77</f>
        <v>5.4925526450950182</v>
      </c>
      <c r="K77" s="84">
        <f>'Оборот общ пит'!J77/Население!K77</f>
        <v>6.7100103199174406</v>
      </c>
      <c r="L77" s="84">
        <f>'Оборот общ пит'!K77/Население!L77</f>
        <v>7.6523538541127785</v>
      </c>
      <c r="M77" s="84">
        <f>'Оборот общ пит'!L77/Население!M77</f>
        <v>8.7496111975116637</v>
      </c>
      <c r="N77" s="84">
        <f>'Оборот общ пит'!M77/Население!N77</f>
        <v>8.1783671346853879</v>
      </c>
      <c r="O77" s="84">
        <f>'Оборот общ пит'!N77/Население!O77</f>
        <v>8.8687924725561942</v>
      </c>
      <c r="P77" s="84">
        <f>'Оборот общ пит'!O77/Население!P77</f>
        <v>9.4900105152471088</v>
      </c>
      <c r="Q77" s="84">
        <f>'Оборот общ пит'!P77/Население!Q77</f>
        <v>10.282700421940929</v>
      </c>
      <c r="R77" s="84">
        <f>'Оборот общ пит'!Q77/Население!R77</f>
        <v>6.9856230031948883</v>
      </c>
    </row>
    <row r="78" spans="1:18" x14ac:dyDescent="0.25">
      <c r="A78" s="84">
        <v>77</v>
      </c>
      <c r="B78" s="84" t="s">
        <v>77</v>
      </c>
      <c r="C78" s="84">
        <f>'Оборот общ пит'!B78/Население!C78</f>
        <v>2.625</v>
      </c>
      <c r="D78" s="84">
        <f>'Оборот общ пит'!C78/Население!D78</f>
        <v>3.2584985835694051</v>
      </c>
      <c r="E78" s="84">
        <f>'Оборот общ пит'!D78/Население!E78</f>
        <v>3.5430604982206404</v>
      </c>
      <c r="F78" s="84">
        <f>'Оборот общ пит'!E78/Население!F78</f>
        <v>4.3012820512820511</v>
      </c>
      <c r="G78" s="84">
        <f>'Оборот общ пит'!F78/Население!G78</f>
        <v>4.7375178316690443</v>
      </c>
      <c r="H78" s="84">
        <f>'Оборот общ пит'!G78/Население!H78</f>
        <v>5.7207743857036482</v>
      </c>
      <c r="I78" s="84">
        <f>'Оборот общ пит'!H78/Население!I78</f>
        <v>6.3845007451564832</v>
      </c>
      <c r="J78" s="84">
        <f>'Оборот общ пит'!I78/Население!J78</f>
        <v>7.2831594634873325</v>
      </c>
      <c r="K78" s="84">
        <f>'Оборот общ пит'!J78/Население!K78</f>
        <v>8.7171641791044774</v>
      </c>
      <c r="L78" s="84">
        <f>'Оборот общ пит'!K78/Население!L78</f>
        <v>10.190582959641256</v>
      </c>
      <c r="M78" s="84">
        <f>'Оборот общ пит'!L78/Население!M78</f>
        <v>11.669415292353824</v>
      </c>
      <c r="N78" s="84">
        <f>'Оборот общ пит'!M78/Население!N78</f>
        <v>12.306076519129782</v>
      </c>
      <c r="O78" s="84">
        <f>'Оборот общ пит'!N78/Население!O78</f>
        <v>12.949548192771084</v>
      </c>
      <c r="P78" s="84">
        <f>'Оборот общ пит'!O78/Население!P78</f>
        <v>13.691900075700227</v>
      </c>
      <c r="Q78" s="84">
        <f>'Оборот общ пит'!P78/Население!Q78</f>
        <v>14.822188449848024</v>
      </c>
      <c r="R78" s="84">
        <f>'Оборот общ пит'!Q78/Население!R78</f>
        <v>12.525749423520368</v>
      </c>
    </row>
    <row r="79" spans="1:18" x14ac:dyDescent="0.25">
      <c r="A79" s="84">
        <v>78</v>
      </c>
      <c r="B79" s="84" t="s">
        <v>78</v>
      </c>
      <c r="C79" s="84">
        <f>'Оборот общ пит'!B79/Население!C79</f>
        <v>1.386759581881533</v>
      </c>
      <c r="D79" s="84">
        <f>'Оборот общ пит'!C79/Население!D79</f>
        <v>1.8093076049943246</v>
      </c>
      <c r="E79" s="84">
        <f>'Оборот общ пит'!D79/Население!E79</f>
        <v>2.5211428571428574</v>
      </c>
      <c r="F79" s="84">
        <f>'Оборот общ пит'!E79/Население!F79</f>
        <v>3.1413793103448278</v>
      </c>
      <c r="G79" s="84">
        <f>'Оборот общ пит'!F79/Население!G79</f>
        <v>3.53125</v>
      </c>
      <c r="H79" s="84">
        <f>'Оборот общ пит'!G79/Население!H79</f>
        <v>4.125452352231604</v>
      </c>
      <c r="I79" s="84">
        <f>'Оборот общ пит'!H79/Население!I79</f>
        <v>5.2119366626065773</v>
      </c>
      <c r="J79" s="84">
        <f>'Оборот общ пит'!I79/Население!J79</f>
        <v>5.5116279069767442</v>
      </c>
      <c r="K79" s="84">
        <f>'Оборот общ пит'!J79/Население!K79</f>
        <v>5.9827373612823678</v>
      </c>
      <c r="L79" s="84">
        <f>'Оборот общ пит'!K79/Население!L79</f>
        <v>6.9666666666666668</v>
      </c>
      <c r="M79" s="84">
        <f>'Оборот общ пит'!L79/Население!M79</f>
        <v>7.2977667493796528</v>
      </c>
      <c r="N79" s="84">
        <f>'Оборот общ пит'!M79/Население!N79</f>
        <v>7.1334164588528681</v>
      </c>
      <c r="O79" s="84">
        <f>'Оборот общ пит'!N79/Население!O79</f>
        <v>7.4486215538847116</v>
      </c>
      <c r="P79" s="84">
        <f>'Оборот общ пит'!O79/Население!P79</f>
        <v>7.7783375314861463</v>
      </c>
      <c r="Q79" s="84">
        <f>'Оборот общ пит'!P79/Население!Q79</f>
        <v>8.1949367088607588</v>
      </c>
      <c r="R79" s="84">
        <f>'Оборот общ пит'!Q79/Население!R79</f>
        <v>8.1419437340153458</v>
      </c>
    </row>
    <row r="80" spans="1:18" x14ac:dyDescent="0.25">
      <c r="A80" s="84">
        <v>79</v>
      </c>
      <c r="B80" s="84" t="s">
        <v>79</v>
      </c>
      <c r="C80" s="84">
        <f>'Оборот общ пит'!B80/Население!C80</f>
        <v>2.1941176470588237</v>
      </c>
      <c r="D80" s="84">
        <f>'Оборот общ пит'!C80/Население!D80</f>
        <v>2.7441860465116279</v>
      </c>
      <c r="E80" s="84">
        <f>'Оборот общ пит'!D80/Население!E80</f>
        <v>3.4852071005917158</v>
      </c>
      <c r="F80" s="84">
        <f>'Оборот общ пит'!E80/Население!F80</f>
        <v>4.3554216867469879</v>
      </c>
      <c r="G80" s="84">
        <f>'Оборот общ пит'!F80/Население!G80</f>
        <v>5.0245398773006134</v>
      </c>
      <c r="H80" s="84">
        <f>'Оборот общ пит'!G80/Население!H80</f>
        <v>5.7051282051282053</v>
      </c>
      <c r="I80" s="84">
        <f>'Оборот общ пит'!H80/Население!I80</f>
        <v>9.4387096774193555</v>
      </c>
      <c r="J80" s="84">
        <f>'Оборот общ пит'!I80/Население!J80</f>
        <v>10.776315789473685</v>
      </c>
      <c r="K80" s="84">
        <f>'Оборот общ пит'!J80/Население!K80</f>
        <v>12.886666666666667</v>
      </c>
      <c r="L80" s="84">
        <f>'Оборот общ пит'!K80/Население!L80</f>
        <v>12.918918918918919</v>
      </c>
      <c r="M80" s="84">
        <f>'Оборот общ пит'!L80/Население!M80</f>
        <v>12.29251700680272</v>
      </c>
      <c r="N80" s="84">
        <f>'Оборот общ пит'!M80/Население!N80</f>
        <v>14.102739726027398</v>
      </c>
      <c r="O80" s="84">
        <f>'Оборот общ пит'!N80/Население!O80</f>
        <v>15.715277777777779</v>
      </c>
      <c r="P80" s="84">
        <f>'Оборот общ пит'!O80/Население!P80</f>
        <v>18.843971631205672</v>
      </c>
      <c r="Q80" s="84">
        <f>'Оборот общ пит'!P80/Население!Q80</f>
        <v>19.557142857142857</v>
      </c>
      <c r="R80" s="84">
        <f>'Оборот общ пит'!Q80/Население!R80</f>
        <v>19.906474820143885</v>
      </c>
    </row>
    <row r="81" spans="1:18" x14ac:dyDescent="0.25">
      <c r="A81" s="84">
        <v>80</v>
      </c>
      <c r="B81" s="84" t="s">
        <v>80</v>
      </c>
      <c r="C81" s="84">
        <f>'Оборот общ пит'!B81/Население!C81</f>
        <v>3.0652591170825336</v>
      </c>
      <c r="D81" s="84">
        <f>'Оборот общ пит'!C81/Население!D81</f>
        <v>4.1577946768060841</v>
      </c>
      <c r="E81" s="84">
        <f>'Оборот общ пит'!D81/Население!E81</f>
        <v>5.4491362763915543</v>
      </c>
      <c r="F81" s="84">
        <f>'Оборот общ пит'!E81/Население!F81</f>
        <v>8.212355212355213</v>
      </c>
      <c r="G81" s="84">
        <f>'Оборот общ пит'!F81/Население!G81</f>
        <v>9.1575875486381317</v>
      </c>
      <c r="H81" s="84">
        <f>'Оборот общ пит'!G81/Население!H81</f>
        <v>10.217303822937625</v>
      </c>
      <c r="I81" s="84">
        <f>'Оборот общ пит'!H81/Население!I81</f>
        <v>8.7757575757575754</v>
      </c>
      <c r="J81" s="84">
        <f>'Оборот общ пит'!I81/Население!J81</f>
        <v>9.0627530364372468</v>
      </c>
      <c r="K81" s="84">
        <f>'Оборот общ пит'!J81/Население!K81</f>
        <v>9.2525458248472496</v>
      </c>
      <c r="L81" s="84">
        <f>'Оборот общ пит'!K81/Население!L81</f>
        <v>10.639344262295081</v>
      </c>
      <c r="M81" s="84">
        <f>'Оборот общ пит'!L81/Население!M81</f>
        <v>12.447638603696099</v>
      </c>
      <c r="N81" s="84">
        <f>'Оборот общ пит'!M81/Население!N81</f>
        <v>13.932238193018481</v>
      </c>
      <c r="O81" s="84">
        <f>'Оборот общ пит'!N81/Население!O81</f>
        <v>18.008163265306123</v>
      </c>
      <c r="P81" s="84">
        <f>'Оборот общ пит'!O81/Население!P81</f>
        <v>18.461224489795917</v>
      </c>
      <c r="Q81" s="84">
        <f>'Оборот общ пит'!P81/Население!Q81</f>
        <v>19.905737704918032</v>
      </c>
      <c r="R81" s="84">
        <f>'Оборот общ пит'!Q81/Население!R81</f>
        <v>16.849794238683128</v>
      </c>
    </row>
    <row r="82" spans="1:18" x14ac:dyDescent="0.25">
      <c r="A82" s="84">
        <v>81</v>
      </c>
      <c r="B82" s="84" t="s">
        <v>81</v>
      </c>
      <c r="C82" s="84">
        <f>'Оборот общ пит'!B82/Население!C82</f>
        <v>1.598901098901099</v>
      </c>
      <c r="D82" s="84">
        <f>'Оборот общ пит'!C82/Население!D82</f>
        <v>1.8609625668449199</v>
      </c>
      <c r="E82" s="84">
        <f>'Оборот общ пит'!D82/Население!E82</f>
        <v>2.150537634408602</v>
      </c>
      <c r="F82" s="84">
        <f>'Оборот общ пит'!E82/Население!F82</f>
        <v>2.7795698924731185</v>
      </c>
      <c r="G82" s="84">
        <f>'Оборот общ пит'!F82/Население!G82</f>
        <v>3.0540540540540539</v>
      </c>
      <c r="H82" s="84">
        <f>'Оборот общ пит'!G82/Население!H82</f>
        <v>3.3068181818181817</v>
      </c>
      <c r="I82" s="84">
        <f>'Оборот общ пит'!H82/Население!I82</f>
        <v>3.5657142857142858</v>
      </c>
      <c r="J82" s="84">
        <f>'Оборот общ пит'!I82/Население!J82</f>
        <v>4.1849710982658959</v>
      </c>
      <c r="K82" s="84">
        <f>'Оборот общ пит'!J82/Население!K82</f>
        <v>4.666666666666667</v>
      </c>
      <c r="L82" s="84">
        <f>'Оборот общ пит'!K82/Население!L82</f>
        <v>5.1597633136094672</v>
      </c>
      <c r="M82" s="84">
        <f>'Оборот общ пит'!L82/Население!M82</f>
        <v>5.3192771084337354</v>
      </c>
      <c r="N82" s="84">
        <f>'Оборот общ пит'!M82/Население!N82</f>
        <v>4.9024390243902438</v>
      </c>
      <c r="O82" s="84">
        <f>'Оборот общ пит'!N82/Население!O82</f>
        <v>4.9567901234567904</v>
      </c>
      <c r="P82" s="84">
        <f>'Оборот общ пит'!O82/Население!P82</f>
        <v>5.4375</v>
      </c>
      <c r="Q82" s="84">
        <f>'Оборот общ пит'!P82/Население!Q82</f>
        <v>5.9177215189873413</v>
      </c>
      <c r="R82" s="84">
        <f>'Оборот общ пит'!Q82/Население!R82</f>
        <v>4.2866242038216562</v>
      </c>
    </row>
    <row r="83" spans="1:18" x14ac:dyDescent="0.25">
      <c r="A83" s="84">
        <v>82</v>
      </c>
      <c r="B83" s="84" t="s">
        <v>82</v>
      </c>
      <c r="C83" s="84">
        <f>'Оборот общ пит'!B83/Население!C83</f>
        <v>2.5576923076923075</v>
      </c>
      <c r="D83" s="84">
        <f>'Оборот общ пит'!C83/Население!D83</f>
        <v>3.0392156862745097</v>
      </c>
      <c r="E83" s="84">
        <f>'Оборот общ пит'!D83/Население!E83</f>
        <v>3.58</v>
      </c>
      <c r="F83" s="84">
        <f>'Оборот общ пит'!E83/Население!F83</f>
        <v>4.8600000000000003</v>
      </c>
      <c r="G83" s="84">
        <f>'Оборот общ пит'!F83/Население!G83</f>
        <v>4.4400000000000004</v>
      </c>
      <c r="H83" s="84">
        <f>'Оборот общ пит'!G83/Население!H83</f>
        <v>3.1568627450980391</v>
      </c>
      <c r="I83" s="84">
        <f>'Оборот общ пит'!H83/Население!I83</f>
        <v>5.9019607843137258</v>
      </c>
      <c r="J83" s="84">
        <f>'Оборот общ пит'!I83/Население!J83</f>
        <v>9.1568627450980387</v>
      </c>
      <c r="K83" s="84">
        <f>'Оборот общ пит'!J83/Население!K83</f>
        <v>2.6274509803921569</v>
      </c>
      <c r="L83" s="84">
        <f>'Оборот общ пит'!K83/Население!L83</f>
        <v>3.2352941176470589</v>
      </c>
      <c r="M83" s="84">
        <f>'Оборот общ пит'!L83/Население!M83</f>
        <v>8.82</v>
      </c>
      <c r="N83" s="84">
        <f>'Оборот общ пит'!M83/Население!N83</f>
        <v>10.36</v>
      </c>
      <c r="O83" s="84">
        <f>'Оборот общ пит'!N83/Население!O83</f>
        <v>12.06</v>
      </c>
      <c r="P83" s="84">
        <f>'Оборот общ пит'!O83/Население!P83</f>
        <v>14.46</v>
      </c>
      <c r="Q83" s="84">
        <f>'Оборот общ пит'!P83/Население!Q83</f>
        <v>21.36</v>
      </c>
      <c r="R83" s="84">
        <f>'Оборот общ пит'!Q83/Население!R83</f>
        <v>31.1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83"/>
  <sheetViews>
    <sheetView workbookViewId="0">
      <selection activeCell="C1" sqref="C1"/>
    </sheetView>
  </sheetViews>
  <sheetFormatPr defaultRowHeight="15.75" x14ac:dyDescent="0.25"/>
  <cols>
    <col min="1" max="1" width="9.140625" style="80"/>
    <col min="2" max="2" width="35.5703125" style="80" customWidth="1"/>
    <col min="3" max="3" width="9" style="80" customWidth="1"/>
    <col min="4" max="4" width="13.7109375" style="80" bestFit="1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8" width="9.140625" style="80"/>
    <col min="19" max="19" width="11.7109375" style="80" bestFit="1" customWidth="1"/>
    <col min="20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0.291063820863524</v>
      </c>
      <c r="C2" s="187">
        <v>43831</v>
      </c>
      <c r="D2" s="80">
        <v>44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0.35942215217099743</v>
      </c>
      <c r="C3" s="187">
        <v>43831</v>
      </c>
      <c r="D3" s="80">
        <v>44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0.33358913162495946</v>
      </c>
      <c r="C4" s="187">
        <v>43831</v>
      </c>
      <c r="D4" s="80">
        <v>44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0.31705169638099434</v>
      </c>
      <c r="C5" s="187">
        <v>43831</v>
      </c>
      <c r="D5" s="80">
        <v>44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0.33002731918937139</v>
      </c>
      <c r="C6" s="187">
        <v>43831</v>
      </c>
      <c r="D6" s="80">
        <v>44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0.44390877902332432</v>
      </c>
      <c r="C7" s="187">
        <v>43831</v>
      </c>
      <c r="D7" s="80">
        <v>44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0.27151465043841144</v>
      </c>
      <c r="C8" s="187">
        <v>43831</v>
      </c>
      <c r="D8" s="80">
        <v>44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0.25625657515814032</v>
      </c>
      <c r="C9" s="187">
        <v>43831</v>
      </c>
      <c r="D9" s="80">
        <v>44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0.27459202233507141</v>
      </c>
      <c r="C10" s="187">
        <v>43831</v>
      </c>
      <c r="D10" s="80">
        <v>44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0.55861247922797364</v>
      </c>
      <c r="C11" s="187">
        <v>43831</v>
      </c>
      <c r="D11" s="80">
        <v>44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0.21115914329601529</v>
      </c>
      <c r="C12" s="187">
        <v>43831</v>
      </c>
      <c r="D12" s="80">
        <v>44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0.30111917108761865</v>
      </c>
      <c r="C13" s="187">
        <v>43831</v>
      </c>
      <c r="D13" s="80">
        <v>44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0.28789357143671357</v>
      </c>
      <c r="C14" s="187">
        <v>43831</v>
      </c>
      <c r="D14" s="80">
        <v>44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0.26243947627677439</v>
      </c>
      <c r="C15" s="187">
        <v>43831</v>
      </c>
      <c r="D15" s="80">
        <v>44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0.30130485558959152</v>
      </c>
      <c r="C16" s="187">
        <v>43831</v>
      </c>
      <c r="D16" s="80">
        <v>44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0.25234662851988382</v>
      </c>
      <c r="C17" s="187">
        <v>43831</v>
      </c>
      <c r="D17" s="80">
        <v>44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0.45306707519850742</v>
      </c>
      <c r="C18" s="187">
        <v>43831</v>
      </c>
      <c r="D18" s="80">
        <v>44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0.68449703908575998</v>
      </c>
      <c r="C19" s="187">
        <v>43831</v>
      </c>
      <c r="D19" s="80">
        <v>44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0.44350616752476246</v>
      </c>
      <c r="C20" s="187">
        <v>43831</v>
      </c>
      <c r="D20" s="80">
        <v>44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0.51627437186689118</v>
      </c>
      <c r="C21" s="187">
        <v>43831</v>
      </c>
      <c r="D21" s="80">
        <v>44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0.52976135004807234</v>
      </c>
      <c r="C22" s="187">
        <v>43831</v>
      </c>
      <c r="D22" s="80">
        <v>44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0.32494688467580785</v>
      </c>
      <c r="C23" s="187">
        <v>43831</v>
      </c>
      <c r="D23" s="80">
        <v>44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0.50124882516074154</v>
      </c>
      <c r="C24" s="187">
        <v>43831</v>
      </c>
      <c r="D24" s="80">
        <v>44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0.36687322069216299</v>
      </c>
      <c r="C25" s="187">
        <v>43831</v>
      </c>
      <c r="D25" s="80">
        <v>44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0.63393178491664204</v>
      </c>
      <c r="C26" s="187">
        <v>43831</v>
      </c>
      <c r="D26" s="80">
        <v>44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0.37769312663225924</v>
      </c>
      <c r="C27" s="187">
        <v>43831</v>
      </c>
      <c r="D27" s="80">
        <v>44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0.4333076289645133</v>
      </c>
      <c r="C28" s="187">
        <v>43831</v>
      </c>
      <c r="D28" s="80">
        <v>44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0.54068417211388919</v>
      </c>
      <c r="C29" s="187">
        <v>43831</v>
      </c>
      <c r="D29" s="80">
        <v>44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0.29121900451992916</v>
      </c>
      <c r="C30" s="187">
        <v>43831</v>
      </c>
      <c r="D30" s="80">
        <v>44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2.1809128054029046E-2</v>
      </c>
      <c r="C31" s="187">
        <v>43831</v>
      </c>
      <c r="D31" s="80">
        <v>44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0.32234068162311252</v>
      </c>
      <c r="C32" s="187">
        <v>43831</v>
      </c>
      <c r="D32" s="80">
        <v>44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0.56049282208759899</v>
      </c>
      <c r="C33" s="187">
        <v>43831</v>
      </c>
      <c r="D33" s="80">
        <v>44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0.39714078057266039</v>
      </c>
      <c r="C34" s="187">
        <v>43831</v>
      </c>
      <c r="D34" s="80">
        <v>44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0.24123932222267713</v>
      </c>
      <c r="C35" s="187">
        <v>43831</v>
      </c>
      <c r="D35" s="80">
        <v>44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0.41610444524964274</v>
      </c>
      <c r="C36" s="187">
        <v>43831</v>
      </c>
      <c r="D36" s="80">
        <v>44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0.51068873993852615</v>
      </c>
      <c r="C37" s="187">
        <v>43831</v>
      </c>
      <c r="D37" s="80">
        <v>44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0.64482079483376187</v>
      </c>
      <c r="C38" s="187">
        <v>43831</v>
      </c>
      <c r="D38" s="80">
        <v>44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1.8843498902195856E-4</v>
      </c>
      <c r="C39" s="187">
        <v>43831</v>
      </c>
      <c r="D39" s="80">
        <v>44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0.25859396624714576</v>
      </c>
      <c r="C40" s="187">
        <v>43831</v>
      </c>
      <c r="D40" s="80">
        <v>44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2.1591171739623136E-2</v>
      </c>
      <c r="C41" s="187">
        <v>43831</v>
      </c>
      <c r="D41" s="80">
        <v>44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0.23186544166577838</v>
      </c>
      <c r="C42" s="187">
        <v>43831</v>
      </c>
      <c r="D42" s="80">
        <v>44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0.40167913499157432</v>
      </c>
      <c r="C43" s="187">
        <v>43831</v>
      </c>
      <c r="D43" s="80">
        <v>44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0.47073523848948207</v>
      </c>
      <c r="C44" s="187">
        <v>43831</v>
      </c>
      <c r="D44" s="80">
        <v>44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0.27283091329587411</v>
      </c>
      <c r="C45" s="187">
        <v>43831</v>
      </c>
      <c r="D45" s="80">
        <v>44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0.2989676851185597</v>
      </c>
      <c r="C46" s="187">
        <v>43831</v>
      </c>
      <c r="D46" s="80">
        <v>44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0.21238330955013479</v>
      </c>
      <c r="C47" s="187">
        <v>43831</v>
      </c>
      <c r="D47" s="80">
        <v>44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0.44985304112559821</v>
      </c>
      <c r="C48" s="187">
        <v>43831</v>
      </c>
      <c r="D48" s="80">
        <v>44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0.34447926971733694</v>
      </c>
      <c r="C49" s="187">
        <v>43831</v>
      </c>
      <c r="D49" s="80">
        <v>44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0.33546156440482289</v>
      </c>
      <c r="C50" s="187">
        <v>43831</v>
      </c>
      <c r="D50" s="80">
        <v>44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0.33142028693477971</v>
      </c>
      <c r="C51" s="187">
        <v>43831</v>
      </c>
      <c r="D51" s="80">
        <v>44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0.35793680343617973</v>
      </c>
      <c r="C52" s="187">
        <v>43831</v>
      </c>
      <c r="D52" s="80">
        <v>44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0.31753528866159009</v>
      </c>
      <c r="C53" s="187">
        <v>43831</v>
      </c>
      <c r="D53" s="80">
        <v>44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0.31552698026717824</v>
      </c>
      <c r="C54" s="187">
        <v>43831</v>
      </c>
      <c r="D54" s="80">
        <v>44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0.33077025971830187</v>
      </c>
      <c r="C55" s="187">
        <v>43831</v>
      </c>
      <c r="D55" s="80">
        <v>44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0.30650851135359708</v>
      </c>
      <c r="C56" s="187">
        <v>43831</v>
      </c>
      <c r="D56" s="80">
        <v>44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0.2673611135739104</v>
      </c>
      <c r="C57" s="187">
        <v>43831</v>
      </c>
      <c r="D57" s="80">
        <v>44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0.207524908192838</v>
      </c>
      <c r="C58" s="187">
        <v>43831</v>
      </c>
      <c r="D58" s="80">
        <v>44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0.12358288091886918</v>
      </c>
      <c r="C59" s="187">
        <v>43831</v>
      </c>
      <c r="D59" s="80">
        <v>44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0.4274681433908783</v>
      </c>
      <c r="C60" s="187">
        <v>43831</v>
      </c>
      <c r="D60" s="80">
        <v>44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0.66444849355782087</v>
      </c>
      <c r="C61" s="187">
        <v>43831</v>
      </c>
      <c r="D61" s="80">
        <v>44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0.31054654096678064</v>
      </c>
      <c r="C62" s="187">
        <v>43831</v>
      </c>
      <c r="D62" s="80">
        <v>44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0.18103508838579949</v>
      </c>
      <c r="C63" s="187">
        <v>43831</v>
      </c>
      <c r="D63" s="80">
        <v>44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0.46026436530319642</v>
      </c>
      <c r="C64" s="187">
        <v>43831</v>
      </c>
      <c r="D64" s="80">
        <v>44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5.6703893509851049E-2</v>
      </c>
      <c r="C65" s="187">
        <v>43831</v>
      </c>
      <c r="D65" s="80">
        <v>44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0.46081265721720432</v>
      </c>
      <c r="C66" s="187">
        <v>43831</v>
      </c>
      <c r="D66" s="80">
        <v>44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0.12589157457492683</v>
      </c>
      <c r="C67" s="187">
        <v>43831</v>
      </c>
      <c r="D67" s="80">
        <v>44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0.37999603468529713</v>
      </c>
      <c r="C68" s="187">
        <v>43831</v>
      </c>
      <c r="D68" s="80">
        <v>44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0.4034524508407023</v>
      </c>
      <c r="C69" s="187">
        <v>43831</v>
      </c>
      <c r="D69" s="80">
        <v>44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0.23440846772815693</v>
      </c>
      <c r="C70" s="187">
        <v>43831</v>
      </c>
      <c r="D70" s="80">
        <v>44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0.31130186789555292</v>
      </c>
      <c r="C71" s="187">
        <v>43831</v>
      </c>
      <c r="D71" s="80">
        <v>44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0.44490416224460033</v>
      </c>
      <c r="C72" s="187">
        <v>43831</v>
      </c>
      <c r="D72" s="80">
        <v>44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0.37043246982827693</v>
      </c>
      <c r="C73" s="187">
        <v>43831</v>
      </c>
      <c r="D73" s="80">
        <v>44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0.26963319074181102</v>
      </c>
      <c r="C74" s="187">
        <v>43831</v>
      </c>
      <c r="D74" s="80">
        <v>44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0.69605965085033239</v>
      </c>
      <c r="C75" s="187">
        <v>43831</v>
      </c>
      <c r="D75" s="80">
        <v>44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0.67314456335548833</v>
      </c>
      <c r="C76" s="187">
        <v>43831</v>
      </c>
      <c r="D76" s="80">
        <v>44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0.33310920651791071</v>
      </c>
      <c r="C77" s="187">
        <v>43831</v>
      </c>
      <c r="D77" s="80">
        <v>44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0.54168410071169559</v>
      </c>
      <c r="C78" s="187">
        <v>43831</v>
      </c>
      <c r="D78" s="80">
        <v>44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0.38939376406818926</v>
      </c>
      <c r="C79" s="187">
        <v>43831</v>
      </c>
      <c r="D79" s="80">
        <v>44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0.67993136329095827</v>
      </c>
      <c r="C80" s="187">
        <v>43831</v>
      </c>
      <c r="D80" s="80">
        <v>44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0.63397621858727149</v>
      </c>
      <c r="C81" s="187">
        <v>43831</v>
      </c>
      <c r="D81" s="80">
        <v>44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0.1667214840296849</v>
      </c>
      <c r="C82" s="187">
        <v>43831</v>
      </c>
      <c r="D82" s="80">
        <v>44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0.78120374363865164</v>
      </c>
      <c r="C83" s="187">
        <v>43831</v>
      </c>
      <c r="D83" s="80">
        <v>44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3"/>
  <sheetViews>
    <sheetView workbookViewId="0">
      <selection activeCell="S61" sqref="S61"/>
    </sheetView>
  </sheetViews>
  <sheetFormatPr defaultRowHeight="15" x14ac:dyDescent="0.25"/>
  <cols>
    <col min="1" max="1" width="9.28515625" bestFit="1" customWidth="1"/>
    <col min="2" max="2" width="34.5703125" customWidth="1"/>
    <col min="3" max="3" width="12.140625" bestFit="1" customWidth="1"/>
    <col min="4" max="5" width="10.5703125" customWidth="1"/>
    <col min="6" max="6" width="10.85546875" customWidth="1"/>
    <col min="7" max="7" width="11" customWidth="1"/>
    <col min="8" max="9" width="12.140625" bestFit="1" customWidth="1"/>
    <col min="10" max="10" width="11.140625" customWidth="1"/>
    <col min="11" max="12" width="11.5703125" customWidth="1"/>
    <col min="13" max="13" width="10.85546875" customWidth="1"/>
    <col min="14" max="14" width="10" customWidth="1"/>
    <col min="15" max="15" width="11.5703125" customWidth="1"/>
    <col min="16" max="16" width="12.28515625" customWidth="1"/>
    <col min="17" max="17" width="13.7109375" customWidth="1"/>
    <col min="18" max="18" width="12" customWidth="1"/>
  </cols>
  <sheetData>
    <row r="1" spans="1:18" ht="15.75" x14ac:dyDescent="0.25">
      <c r="A1" s="84" t="s">
        <v>0</v>
      </c>
      <c r="B1" s="84"/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6">
        <v>2020</v>
      </c>
    </row>
    <row r="2" spans="1:18" ht="15.75" x14ac:dyDescent="0.25">
      <c r="A2" s="84">
        <v>1</v>
      </c>
      <c r="B2" s="84" t="s">
        <v>1</v>
      </c>
      <c r="C2" s="90">
        <v>144987.79999999999</v>
      </c>
      <c r="D2" s="90">
        <v>178846.1</v>
      </c>
      <c r="E2" s="90">
        <v>237013.3</v>
      </c>
      <c r="F2" s="90">
        <v>317656.3</v>
      </c>
      <c r="G2" s="90">
        <v>304345.3</v>
      </c>
      <c r="H2" s="90">
        <v>398361.4</v>
      </c>
      <c r="I2" s="90">
        <v>507839.8</v>
      </c>
      <c r="J2" s="90">
        <v>545517.19999999995</v>
      </c>
      <c r="K2" s="90">
        <v>569006.4</v>
      </c>
      <c r="L2" s="90">
        <v>619677.69999999995</v>
      </c>
      <c r="M2" s="90">
        <v>693379.4</v>
      </c>
      <c r="N2" s="90">
        <v>729083.8</v>
      </c>
      <c r="O2" s="90">
        <v>785254.1</v>
      </c>
      <c r="P2" s="90">
        <v>865979</v>
      </c>
      <c r="Q2" s="170">
        <v>955951.6</v>
      </c>
      <c r="R2" s="49">
        <f>FORECAST($R$1,M2:Q2,$M$1:$Q$1)</f>
        <v>1004541.4600000083</v>
      </c>
    </row>
    <row r="3" spans="1:18" ht="15.75" x14ac:dyDescent="0.25">
      <c r="A3" s="84">
        <v>2</v>
      </c>
      <c r="B3" s="84" t="s">
        <v>2</v>
      </c>
      <c r="C3" s="90">
        <v>66692.3</v>
      </c>
      <c r="D3" s="90">
        <v>82100.399999999994</v>
      </c>
      <c r="E3" s="90">
        <v>102706.2</v>
      </c>
      <c r="F3" s="90">
        <v>125834.4</v>
      </c>
      <c r="G3" s="90">
        <v>126477.4</v>
      </c>
      <c r="H3" s="90">
        <v>147024</v>
      </c>
      <c r="I3" s="90">
        <v>174211.8</v>
      </c>
      <c r="J3" s="90">
        <v>207397.5</v>
      </c>
      <c r="K3" s="90">
        <v>219502.8</v>
      </c>
      <c r="L3" s="90">
        <v>242722.4</v>
      </c>
      <c r="M3" s="90">
        <v>271782.5</v>
      </c>
      <c r="N3" s="90">
        <v>281131</v>
      </c>
      <c r="O3" s="90">
        <v>305258.90000000002</v>
      </c>
      <c r="P3" s="90">
        <v>328814</v>
      </c>
      <c r="Q3" s="170">
        <v>397714.3</v>
      </c>
      <c r="R3" s="49">
        <f t="shared" ref="R3:R66" si="0">FORECAST($R$1,M3:Q3,$M$1:$Q$1)</f>
        <v>406804.12000000477</v>
      </c>
    </row>
    <row r="4" spans="1:18" ht="15.75" x14ac:dyDescent="0.25">
      <c r="A4" s="84">
        <v>3</v>
      </c>
      <c r="B4" s="84" t="s">
        <v>3</v>
      </c>
      <c r="C4" s="90">
        <v>86926.8</v>
      </c>
      <c r="D4" s="90">
        <v>112841.7</v>
      </c>
      <c r="E4" s="90">
        <v>146663</v>
      </c>
      <c r="F4" s="90">
        <v>175395.7</v>
      </c>
      <c r="G4" s="90">
        <v>185824.6</v>
      </c>
      <c r="H4" s="90">
        <v>224759.2</v>
      </c>
      <c r="I4" s="90">
        <v>261222.6</v>
      </c>
      <c r="J4" s="90">
        <v>286018.59999999998</v>
      </c>
      <c r="K4" s="90">
        <v>306641.40000000002</v>
      </c>
      <c r="L4" s="90">
        <v>328064.2</v>
      </c>
      <c r="M4" s="90">
        <v>368489.2</v>
      </c>
      <c r="N4" s="90">
        <v>393775.1</v>
      </c>
      <c r="O4" s="90">
        <v>412942.7</v>
      </c>
      <c r="P4" s="90">
        <v>440543</v>
      </c>
      <c r="Q4" s="170">
        <v>537434.6</v>
      </c>
      <c r="R4" s="49">
        <f t="shared" si="0"/>
        <v>546034.53000000119</v>
      </c>
    </row>
    <row r="5" spans="1:18" ht="15.75" x14ac:dyDescent="0.25">
      <c r="A5" s="84">
        <v>4</v>
      </c>
      <c r="B5" s="84" t="s">
        <v>4</v>
      </c>
      <c r="C5" s="90">
        <v>133586.6</v>
      </c>
      <c r="D5" s="90">
        <v>166176.5</v>
      </c>
      <c r="E5" s="90">
        <v>222811.9</v>
      </c>
      <c r="F5" s="90">
        <v>287072.09999999998</v>
      </c>
      <c r="G5" s="90">
        <v>301729.09999999998</v>
      </c>
      <c r="H5" s="90">
        <v>346568.2</v>
      </c>
      <c r="I5" s="90">
        <v>474973.9</v>
      </c>
      <c r="J5" s="90">
        <v>563965.4</v>
      </c>
      <c r="K5" s="90">
        <v>611720.4</v>
      </c>
      <c r="L5" s="90">
        <v>717667.2</v>
      </c>
      <c r="M5" s="90">
        <v>805969.6</v>
      </c>
      <c r="N5" s="90">
        <v>817283</v>
      </c>
      <c r="O5" s="90">
        <v>868290.6</v>
      </c>
      <c r="P5" s="90">
        <v>943595.6</v>
      </c>
      <c r="Q5" s="170">
        <v>1002597.7</v>
      </c>
      <c r="R5" s="49">
        <f t="shared" si="0"/>
        <v>1043417.9399999976</v>
      </c>
    </row>
    <row r="6" spans="1:18" ht="15.75" x14ac:dyDescent="0.25">
      <c r="A6" s="84">
        <v>5</v>
      </c>
      <c r="B6" s="84" t="s">
        <v>5</v>
      </c>
      <c r="C6" s="90">
        <v>44415.4</v>
      </c>
      <c r="D6" s="90">
        <v>55090</v>
      </c>
      <c r="E6" s="90">
        <v>74752</v>
      </c>
      <c r="F6" s="90">
        <v>86980.3</v>
      </c>
      <c r="G6" s="90">
        <v>87061.9</v>
      </c>
      <c r="H6" s="90">
        <v>109884.5</v>
      </c>
      <c r="I6" s="90">
        <v>128905.4</v>
      </c>
      <c r="J6" s="90">
        <v>136115</v>
      </c>
      <c r="K6" s="90">
        <v>158228.70000000001</v>
      </c>
      <c r="L6" s="90">
        <v>151876.79999999999</v>
      </c>
      <c r="M6" s="90">
        <v>180517.5</v>
      </c>
      <c r="N6" s="90">
        <v>178895.9</v>
      </c>
      <c r="O6" s="90">
        <v>184807</v>
      </c>
      <c r="P6" s="90">
        <v>197839.8</v>
      </c>
      <c r="Q6" s="170">
        <v>249755.8</v>
      </c>
      <c r="R6" s="49">
        <f t="shared" si="0"/>
        <v>245589.35000000149</v>
      </c>
    </row>
    <row r="7" spans="1:18" ht="15.75" x14ac:dyDescent="0.25">
      <c r="A7" s="84">
        <v>6</v>
      </c>
      <c r="B7" s="84" t="s">
        <v>6</v>
      </c>
      <c r="C7" s="90">
        <v>70953.899999999994</v>
      </c>
      <c r="D7" s="90">
        <v>86150.5</v>
      </c>
      <c r="E7" s="90">
        <v>111869</v>
      </c>
      <c r="F7" s="90">
        <v>150394.4</v>
      </c>
      <c r="G7" s="90">
        <v>154946.1</v>
      </c>
      <c r="H7" s="90">
        <v>188601.3</v>
      </c>
      <c r="I7" s="90">
        <v>234749</v>
      </c>
      <c r="J7" s="90">
        <v>285256.59999999998</v>
      </c>
      <c r="K7" s="90">
        <v>292841</v>
      </c>
      <c r="L7" s="90">
        <v>326459.5</v>
      </c>
      <c r="M7" s="90">
        <v>339760.8</v>
      </c>
      <c r="N7" s="90">
        <v>372345.1</v>
      </c>
      <c r="O7" s="90">
        <v>415966.7</v>
      </c>
      <c r="P7" s="90">
        <v>465987.5</v>
      </c>
      <c r="Q7" s="170">
        <v>545109.4</v>
      </c>
      <c r="R7" s="49">
        <f t="shared" si="0"/>
        <v>579135.78000001609</v>
      </c>
    </row>
    <row r="8" spans="1:18" ht="15.75" x14ac:dyDescent="0.25">
      <c r="A8" s="84">
        <v>7</v>
      </c>
      <c r="B8" s="84" t="s">
        <v>7</v>
      </c>
      <c r="C8" s="90">
        <v>44684.7</v>
      </c>
      <c r="D8" s="90">
        <v>54351.1</v>
      </c>
      <c r="E8" s="90">
        <v>65700.399999999994</v>
      </c>
      <c r="F8" s="90">
        <v>81040.7</v>
      </c>
      <c r="G8" s="90">
        <v>78920.7</v>
      </c>
      <c r="H8" s="90">
        <v>98130.7</v>
      </c>
      <c r="I8" s="90">
        <v>116629.8</v>
      </c>
      <c r="J8" s="90">
        <v>130840.4</v>
      </c>
      <c r="K8" s="90">
        <v>139015.9</v>
      </c>
      <c r="L8" s="90">
        <v>146731.5</v>
      </c>
      <c r="M8" s="90">
        <v>160579.79999999999</v>
      </c>
      <c r="N8" s="90">
        <v>158127.5</v>
      </c>
      <c r="O8" s="90">
        <v>166945.29999999999</v>
      </c>
      <c r="P8" s="90">
        <v>180287.2</v>
      </c>
      <c r="Q8" s="170">
        <v>202926.1</v>
      </c>
      <c r="R8" s="49">
        <f t="shared" si="0"/>
        <v>205828.86999999732</v>
      </c>
    </row>
    <row r="9" spans="1:18" ht="15.75" x14ac:dyDescent="0.25">
      <c r="A9" s="84">
        <v>8</v>
      </c>
      <c r="B9" s="84" t="s">
        <v>8</v>
      </c>
      <c r="C9" s="90">
        <v>86624.9</v>
      </c>
      <c r="D9" s="90">
        <v>104035.7</v>
      </c>
      <c r="E9" s="90">
        <v>128799</v>
      </c>
      <c r="F9" s="90">
        <v>167865.8</v>
      </c>
      <c r="G9" s="90">
        <v>161570.9</v>
      </c>
      <c r="H9" s="90">
        <v>193648.6</v>
      </c>
      <c r="I9" s="90">
        <v>228851.4</v>
      </c>
      <c r="J9" s="90">
        <v>248213.1</v>
      </c>
      <c r="K9" s="90">
        <v>271542.5</v>
      </c>
      <c r="L9" s="90">
        <v>298287.3</v>
      </c>
      <c r="M9" s="90">
        <v>336999.4</v>
      </c>
      <c r="N9" s="90">
        <v>362393.8</v>
      </c>
      <c r="O9" s="90">
        <v>387309.8</v>
      </c>
      <c r="P9" s="90">
        <v>428441.3</v>
      </c>
      <c r="Q9" s="170">
        <v>496699.4</v>
      </c>
      <c r="R9" s="49">
        <f t="shared" si="0"/>
        <v>518002.98999999464</v>
      </c>
    </row>
    <row r="10" spans="1:18" ht="15.75" x14ac:dyDescent="0.25">
      <c r="A10" s="84">
        <v>9</v>
      </c>
      <c r="B10" s="84" t="s">
        <v>9</v>
      </c>
      <c r="C10" s="90">
        <v>145194.4</v>
      </c>
      <c r="D10" s="90">
        <v>179057.3</v>
      </c>
      <c r="E10" s="90">
        <v>209821.5</v>
      </c>
      <c r="F10" s="90">
        <v>259532.2</v>
      </c>
      <c r="G10" s="90">
        <v>226662</v>
      </c>
      <c r="H10" s="90">
        <v>248544.9</v>
      </c>
      <c r="I10" s="90">
        <v>287816.8</v>
      </c>
      <c r="J10" s="90">
        <v>293301.3</v>
      </c>
      <c r="K10" s="90">
        <v>315685.40000000002</v>
      </c>
      <c r="L10" s="90">
        <v>398464.5</v>
      </c>
      <c r="M10" s="90">
        <v>448994.3</v>
      </c>
      <c r="N10" s="90">
        <v>483653.3</v>
      </c>
      <c r="O10" s="90">
        <v>506340.5</v>
      </c>
      <c r="P10" s="90">
        <v>580504</v>
      </c>
      <c r="Q10" s="170">
        <v>570380</v>
      </c>
      <c r="R10" s="49">
        <f t="shared" si="0"/>
        <v>619861.05000001192</v>
      </c>
    </row>
    <row r="11" spans="1:18" ht="15.75" x14ac:dyDescent="0.25">
      <c r="A11" s="84">
        <v>10</v>
      </c>
      <c r="B11" s="84" t="s">
        <v>10</v>
      </c>
      <c r="C11" s="90">
        <v>708062.1</v>
      </c>
      <c r="D11" s="90">
        <v>934328.9</v>
      </c>
      <c r="E11" s="90">
        <v>1295649.8999999999</v>
      </c>
      <c r="F11" s="90">
        <v>1645753</v>
      </c>
      <c r="G11" s="90">
        <v>1519446.3</v>
      </c>
      <c r="H11" s="90">
        <v>1832867.3</v>
      </c>
      <c r="I11" s="90">
        <v>2176795.2999999998</v>
      </c>
      <c r="J11" s="90">
        <v>2357081.9</v>
      </c>
      <c r="K11" s="90">
        <v>2545951.5</v>
      </c>
      <c r="L11" s="90">
        <v>2742886.1</v>
      </c>
      <c r="M11" s="90">
        <v>3180924.6</v>
      </c>
      <c r="N11" s="90">
        <v>3662299.8</v>
      </c>
      <c r="O11" s="90">
        <v>3780063.1</v>
      </c>
      <c r="P11" s="90">
        <v>4201768.8</v>
      </c>
      <c r="Q11" s="170">
        <v>5128439.0999999996</v>
      </c>
      <c r="R11" s="49">
        <f t="shared" si="0"/>
        <v>5321048.4800000191</v>
      </c>
    </row>
    <row r="12" spans="1:18" ht="15.75" x14ac:dyDescent="0.25">
      <c r="A12" s="84">
        <v>11</v>
      </c>
      <c r="B12" s="84" t="s">
        <v>11</v>
      </c>
      <c r="C12" s="90">
        <v>53181.9</v>
      </c>
      <c r="D12" s="90">
        <v>64801.599999999999</v>
      </c>
      <c r="E12" s="90">
        <v>77101.2</v>
      </c>
      <c r="F12" s="90">
        <v>96669.9</v>
      </c>
      <c r="G12" s="90">
        <v>90623.6</v>
      </c>
      <c r="H12" s="90">
        <v>106196.7</v>
      </c>
      <c r="I12" s="90">
        <v>131198.20000000001</v>
      </c>
      <c r="J12" s="90">
        <v>146103.20000000001</v>
      </c>
      <c r="K12" s="90">
        <v>164797</v>
      </c>
      <c r="L12" s="90">
        <v>178822.5</v>
      </c>
      <c r="M12" s="90">
        <v>208237.9</v>
      </c>
      <c r="N12" s="90">
        <v>215356.5</v>
      </c>
      <c r="O12" s="90">
        <v>215146.6</v>
      </c>
      <c r="P12" s="90">
        <v>230706.2</v>
      </c>
      <c r="Q12" s="170">
        <v>265672.7</v>
      </c>
      <c r="R12" s="49">
        <f t="shared" si="0"/>
        <v>266089.77000000328</v>
      </c>
    </row>
    <row r="13" spans="1:18" ht="15.75" x14ac:dyDescent="0.25">
      <c r="A13" s="84">
        <v>12</v>
      </c>
      <c r="B13" s="84" t="s">
        <v>12</v>
      </c>
      <c r="C13" s="90">
        <v>84382.7</v>
      </c>
      <c r="D13" s="90">
        <v>105491.9</v>
      </c>
      <c r="E13" s="90">
        <v>121305.2</v>
      </c>
      <c r="F13" s="90">
        <v>150151.20000000001</v>
      </c>
      <c r="G13" s="90">
        <v>153634.1</v>
      </c>
      <c r="H13" s="90">
        <v>179127.9</v>
      </c>
      <c r="I13" s="90">
        <v>214142.6</v>
      </c>
      <c r="J13" s="90">
        <v>253881.60000000001</v>
      </c>
      <c r="K13" s="90">
        <v>279286.5</v>
      </c>
      <c r="L13" s="90">
        <v>295611.7</v>
      </c>
      <c r="M13" s="90">
        <v>323131.8</v>
      </c>
      <c r="N13" s="90">
        <v>334299.09999999998</v>
      </c>
      <c r="O13" s="90">
        <v>360932</v>
      </c>
      <c r="P13" s="90">
        <v>383110.2</v>
      </c>
      <c r="Q13" s="170">
        <v>436043.2</v>
      </c>
      <c r="R13" s="49">
        <f t="shared" si="0"/>
        <v>449893.4299999997</v>
      </c>
    </row>
    <row r="14" spans="1:18" ht="15.75" x14ac:dyDescent="0.25">
      <c r="A14" s="84">
        <v>13</v>
      </c>
      <c r="B14" s="84" t="s">
        <v>13</v>
      </c>
      <c r="C14" s="90">
        <v>65525.599999999999</v>
      </c>
      <c r="D14" s="90">
        <v>79043.399999999994</v>
      </c>
      <c r="E14" s="90">
        <v>95703.4</v>
      </c>
      <c r="F14" s="90">
        <v>121601.3</v>
      </c>
      <c r="G14" s="90">
        <v>125348.9</v>
      </c>
      <c r="H14" s="90">
        <v>154681.1</v>
      </c>
      <c r="I14" s="90">
        <v>180811.5</v>
      </c>
      <c r="J14" s="90">
        <v>201817</v>
      </c>
      <c r="K14" s="90">
        <v>225887.1</v>
      </c>
      <c r="L14" s="90">
        <v>234710.1</v>
      </c>
      <c r="M14" s="90">
        <v>256706.8</v>
      </c>
      <c r="N14" s="90">
        <v>263301.59999999998</v>
      </c>
      <c r="O14" s="90">
        <v>291483.40000000002</v>
      </c>
      <c r="P14" s="90">
        <v>312857</v>
      </c>
      <c r="Q14" s="170">
        <v>348061.5</v>
      </c>
      <c r="R14" s="49">
        <f t="shared" si="0"/>
        <v>364161.50000000745</v>
      </c>
    </row>
    <row r="15" spans="1:18" ht="15.75" x14ac:dyDescent="0.25">
      <c r="A15" s="84">
        <v>14</v>
      </c>
      <c r="B15" s="84" t="s">
        <v>14</v>
      </c>
      <c r="C15" s="90">
        <v>63614.8</v>
      </c>
      <c r="D15" s="90">
        <v>79766.2</v>
      </c>
      <c r="E15" s="90">
        <v>106039.6</v>
      </c>
      <c r="F15" s="90">
        <v>120836</v>
      </c>
      <c r="G15" s="90">
        <v>136323.9</v>
      </c>
      <c r="H15" s="90">
        <v>143902.39999999999</v>
      </c>
      <c r="I15" s="90">
        <v>173283.1</v>
      </c>
      <c r="J15" s="90">
        <v>203331.5</v>
      </c>
      <c r="K15" s="90">
        <v>236335.9</v>
      </c>
      <c r="L15" s="90">
        <v>285656.5</v>
      </c>
      <c r="M15" s="90">
        <v>317213.7</v>
      </c>
      <c r="N15" s="90">
        <v>297740.2</v>
      </c>
      <c r="O15" s="90">
        <v>298791.09999999998</v>
      </c>
      <c r="P15" s="90">
        <v>331631.2</v>
      </c>
      <c r="Q15" s="170">
        <v>354301.8</v>
      </c>
      <c r="R15" s="49">
        <f t="shared" si="0"/>
        <v>352355.76000000164</v>
      </c>
    </row>
    <row r="16" spans="1:18" ht="15.75" x14ac:dyDescent="0.25">
      <c r="A16" s="84">
        <v>15</v>
      </c>
      <c r="B16" s="84" t="s">
        <v>15</v>
      </c>
      <c r="C16" s="90">
        <v>96897.4</v>
      </c>
      <c r="D16" s="90">
        <v>127363.8</v>
      </c>
      <c r="E16" s="90">
        <v>156034.6</v>
      </c>
      <c r="F16" s="90">
        <v>192283</v>
      </c>
      <c r="G16" s="90">
        <v>197687</v>
      </c>
      <c r="H16" s="90">
        <v>219004.9</v>
      </c>
      <c r="I16" s="90">
        <v>255073</v>
      </c>
      <c r="J16" s="90">
        <v>268063.90000000002</v>
      </c>
      <c r="K16" s="90">
        <v>298669.2</v>
      </c>
      <c r="L16" s="90">
        <v>316613.2</v>
      </c>
      <c r="M16" s="90">
        <v>329616</v>
      </c>
      <c r="N16" s="90">
        <v>361522.2</v>
      </c>
      <c r="O16" s="90">
        <v>387524.9</v>
      </c>
      <c r="P16" s="90">
        <v>441653.6</v>
      </c>
      <c r="Q16" s="170">
        <v>485166.6</v>
      </c>
      <c r="R16" s="49">
        <f t="shared" si="0"/>
        <v>518466.43999999762</v>
      </c>
    </row>
    <row r="17" spans="1:18" ht="15.75" x14ac:dyDescent="0.25">
      <c r="A17" s="84">
        <v>16</v>
      </c>
      <c r="B17" s="84" t="s">
        <v>16</v>
      </c>
      <c r="C17" s="90">
        <v>116221.2</v>
      </c>
      <c r="D17" s="90">
        <v>142240.1</v>
      </c>
      <c r="E17" s="90">
        <v>174110.9</v>
      </c>
      <c r="F17" s="90">
        <v>231730.8</v>
      </c>
      <c r="G17" s="90">
        <v>214925.4</v>
      </c>
      <c r="H17" s="90">
        <v>237629.2</v>
      </c>
      <c r="I17" s="90">
        <v>279879.3</v>
      </c>
      <c r="J17" s="90">
        <v>311240.3</v>
      </c>
      <c r="K17" s="90">
        <v>348034.8</v>
      </c>
      <c r="L17" s="90">
        <v>411122.3</v>
      </c>
      <c r="M17" s="90">
        <v>477537.8</v>
      </c>
      <c r="N17" s="90">
        <v>518687.2</v>
      </c>
      <c r="O17" s="90">
        <v>556772.80000000005</v>
      </c>
      <c r="P17" s="90">
        <v>636133.69999999995</v>
      </c>
      <c r="Q17" s="170">
        <v>681612.3</v>
      </c>
      <c r="R17" s="49">
        <f t="shared" si="0"/>
        <v>731827.40999999642</v>
      </c>
    </row>
    <row r="18" spans="1:18" ht="15.75" x14ac:dyDescent="0.25">
      <c r="A18" s="84">
        <v>17</v>
      </c>
      <c r="B18" s="84" t="s">
        <v>17</v>
      </c>
      <c r="C18" s="90">
        <v>131252.1</v>
      </c>
      <c r="D18" s="90">
        <v>153251.5</v>
      </c>
      <c r="E18" s="90">
        <v>186577.5</v>
      </c>
      <c r="F18" s="90">
        <v>214946.3</v>
      </c>
      <c r="G18" s="90">
        <v>212684.4</v>
      </c>
      <c r="H18" s="90">
        <v>239644</v>
      </c>
      <c r="I18" s="90">
        <v>286967.5</v>
      </c>
      <c r="J18" s="90">
        <v>327279.59999999998</v>
      </c>
      <c r="K18" s="90">
        <v>362861.8</v>
      </c>
      <c r="L18" s="90">
        <v>391462.8</v>
      </c>
      <c r="M18" s="90">
        <v>443054.1</v>
      </c>
      <c r="N18" s="90">
        <v>472344</v>
      </c>
      <c r="O18" s="90">
        <v>511136.6</v>
      </c>
      <c r="P18" s="90">
        <v>560577.9</v>
      </c>
      <c r="Q18" s="170">
        <v>606820.69999999995</v>
      </c>
      <c r="R18" s="49">
        <f t="shared" si="0"/>
        <v>643516.79000000656</v>
      </c>
    </row>
    <row r="19" spans="1:18" ht="15.75" x14ac:dyDescent="0.25">
      <c r="A19" s="84">
        <v>18</v>
      </c>
      <c r="B19" s="84" t="s">
        <v>18</v>
      </c>
      <c r="C19" s="90">
        <v>4135154.6</v>
      </c>
      <c r="D19" s="90">
        <v>5260232.8</v>
      </c>
      <c r="E19" s="90">
        <v>6696259.0999999996</v>
      </c>
      <c r="F19" s="90">
        <v>8248652</v>
      </c>
      <c r="G19" s="90">
        <v>7126972.4000000004</v>
      </c>
      <c r="H19" s="90">
        <v>8375863.7999999998</v>
      </c>
      <c r="I19" s="90">
        <v>9948772.8000000007</v>
      </c>
      <c r="J19" s="90">
        <v>10666870.5</v>
      </c>
      <c r="K19" s="90">
        <v>11814897.4</v>
      </c>
      <c r="L19" s="90">
        <v>12779525.699999999</v>
      </c>
      <c r="M19" s="90">
        <v>13520862.9</v>
      </c>
      <c r="N19" s="90">
        <v>14237751</v>
      </c>
      <c r="O19" s="90">
        <v>15688281.4</v>
      </c>
      <c r="P19" s="90">
        <v>17881516.199999999</v>
      </c>
      <c r="Q19" s="170">
        <v>19673004</v>
      </c>
      <c r="R19" s="49">
        <f t="shared" si="0"/>
        <v>20984697.320000172</v>
      </c>
    </row>
    <row r="20" spans="1:18" ht="15.75" x14ac:dyDescent="0.25">
      <c r="A20" s="84">
        <v>19</v>
      </c>
      <c r="B20" s="84" t="s">
        <v>19</v>
      </c>
      <c r="C20" s="90">
        <v>77124.800000000003</v>
      </c>
      <c r="D20" s="90">
        <v>84228.3</v>
      </c>
      <c r="E20" s="90">
        <v>104603.3</v>
      </c>
      <c r="F20" s="90">
        <v>115208.2</v>
      </c>
      <c r="G20" s="90">
        <v>105924.1</v>
      </c>
      <c r="H20" s="90">
        <v>120511.3</v>
      </c>
      <c r="I20" s="90">
        <v>154953.70000000001</v>
      </c>
      <c r="J20" s="90">
        <v>160841.5</v>
      </c>
      <c r="K20" s="90">
        <v>178636.2</v>
      </c>
      <c r="L20" s="90">
        <v>191192.1</v>
      </c>
      <c r="M20" s="90">
        <v>212049.5</v>
      </c>
      <c r="N20" s="90">
        <v>231437.5</v>
      </c>
      <c r="O20" s="90">
        <v>251835.7</v>
      </c>
      <c r="P20" s="90">
        <v>280012.40000000002</v>
      </c>
      <c r="Q20" s="170">
        <v>325184.7</v>
      </c>
      <c r="R20" s="49">
        <f t="shared" si="0"/>
        <v>342557.54999999702</v>
      </c>
    </row>
    <row r="21" spans="1:18" ht="15.75" x14ac:dyDescent="0.25">
      <c r="A21" s="84">
        <v>20</v>
      </c>
      <c r="B21" s="84" t="s">
        <v>20</v>
      </c>
      <c r="C21" s="90">
        <v>171307.2</v>
      </c>
      <c r="D21" s="90">
        <v>218490.7</v>
      </c>
      <c r="E21" s="90">
        <v>241150.5</v>
      </c>
      <c r="F21" s="90">
        <v>291812.09999999998</v>
      </c>
      <c r="G21" s="90">
        <v>302629.2</v>
      </c>
      <c r="H21" s="90">
        <v>353853</v>
      </c>
      <c r="I21" s="90">
        <v>435959.3</v>
      </c>
      <c r="J21" s="90">
        <v>479051.3</v>
      </c>
      <c r="K21" s="90">
        <v>482329.9</v>
      </c>
      <c r="L21" s="90">
        <v>484166.5</v>
      </c>
      <c r="M21" s="90">
        <v>528403.4</v>
      </c>
      <c r="N21" s="90">
        <v>547665.4</v>
      </c>
      <c r="O21" s="90">
        <v>575652.1</v>
      </c>
      <c r="P21" s="90">
        <v>665735.69999999995</v>
      </c>
      <c r="Q21" s="170">
        <v>720665.3</v>
      </c>
      <c r="R21" s="49">
        <f t="shared" si="0"/>
        <v>758402.6099999845</v>
      </c>
    </row>
    <row r="22" spans="1:18" ht="15.75" x14ac:dyDescent="0.25">
      <c r="A22" s="84">
        <v>21</v>
      </c>
      <c r="B22" s="84" t="s">
        <v>21</v>
      </c>
      <c r="C22" s="90">
        <v>166433.4</v>
      </c>
      <c r="D22" s="90">
        <v>215932.7</v>
      </c>
      <c r="E22" s="90">
        <v>268672.09999999998</v>
      </c>
      <c r="F22" s="90">
        <v>289755.90000000002</v>
      </c>
      <c r="G22" s="90">
        <v>323606.8</v>
      </c>
      <c r="H22" s="90">
        <v>372804.8</v>
      </c>
      <c r="I22" s="90">
        <v>439116.79999999999</v>
      </c>
      <c r="J22" s="90">
        <v>472470.9</v>
      </c>
      <c r="K22" s="90">
        <v>500095.1</v>
      </c>
      <c r="L22" s="90">
        <v>542695.30000000005</v>
      </c>
      <c r="M22" s="90">
        <v>627698.1</v>
      </c>
      <c r="N22" s="90">
        <v>680482.3</v>
      </c>
      <c r="O22" s="90">
        <v>726004.8</v>
      </c>
      <c r="P22" s="90">
        <v>819247</v>
      </c>
      <c r="Q22" s="170">
        <v>890166.5</v>
      </c>
      <c r="R22" s="49">
        <f t="shared" si="0"/>
        <v>947830.18999999762</v>
      </c>
    </row>
    <row r="23" spans="1:18" ht="15.75" x14ac:dyDescent="0.25">
      <c r="A23" s="84">
        <v>22</v>
      </c>
      <c r="B23" s="84" t="s">
        <v>22</v>
      </c>
      <c r="C23" s="90">
        <v>193966.1</v>
      </c>
      <c r="D23" s="90">
        <v>201939.20000000001</v>
      </c>
      <c r="E23" s="90">
        <v>243336.3</v>
      </c>
      <c r="F23" s="90">
        <v>294926.2</v>
      </c>
      <c r="G23" s="90">
        <v>213396.9</v>
      </c>
      <c r="H23" s="90">
        <v>262432.7</v>
      </c>
      <c r="I23" s="90">
        <v>323067.90000000002</v>
      </c>
      <c r="J23" s="90">
        <v>355291.3</v>
      </c>
      <c r="K23" s="90">
        <v>346227.6</v>
      </c>
      <c r="L23" s="90">
        <v>387211.7</v>
      </c>
      <c r="M23" s="90">
        <v>478893</v>
      </c>
      <c r="N23" s="90">
        <v>477220.4</v>
      </c>
      <c r="O23" s="90">
        <v>508767.7</v>
      </c>
      <c r="P23" s="90">
        <v>582630.40000000002</v>
      </c>
      <c r="Q23" s="170">
        <v>559051.1</v>
      </c>
      <c r="R23" s="49">
        <f t="shared" si="0"/>
        <v>601030.38000000268</v>
      </c>
    </row>
    <row r="24" spans="1:18" ht="15.75" x14ac:dyDescent="0.25">
      <c r="A24" s="84">
        <v>23</v>
      </c>
      <c r="B24" s="84" t="s">
        <v>23</v>
      </c>
      <c r="C24" s="90">
        <v>81837.600000000006</v>
      </c>
      <c r="D24" s="90">
        <v>103138.7</v>
      </c>
      <c r="E24" s="90">
        <v>143927.70000000001</v>
      </c>
      <c r="F24" s="90">
        <v>179266.7</v>
      </c>
      <c r="G24" s="90">
        <v>169519.6</v>
      </c>
      <c r="H24" s="90">
        <v>195749.1</v>
      </c>
      <c r="I24" s="90">
        <v>241004.79999999999</v>
      </c>
      <c r="J24" s="90">
        <v>265361.2</v>
      </c>
      <c r="K24" s="90">
        <v>275885.8</v>
      </c>
      <c r="L24" s="90">
        <v>314088.3</v>
      </c>
      <c r="M24" s="90">
        <v>349818.6</v>
      </c>
      <c r="N24" s="90">
        <v>385499.1</v>
      </c>
      <c r="O24" s="90">
        <v>417287.1</v>
      </c>
      <c r="P24" s="90">
        <v>460854.9</v>
      </c>
      <c r="Q24" s="170">
        <v>630137.69999999995</v>
      </c>
      <c r="R24" s="49">
        <f t="shared" si="0"/>
        <v>639517.68000000715</v>
      </c>
    </row>
    <row r="25" spans="1:18" ht="15.75" x14ac:dyDescent="0.25">
      <c r="A25" s="84">
        <v>24</v>
      </c>
      <c r="B25" s="84" t="s">
        <v>24</v>
      </c>
      <c r="C25" s="90">
        <v>205416.9</v>
      </c>
      <c r="D25" s="90">
        <v>265260.40000000002</v>
      </c>
      <c r="E25" s="90">
        <v>309028.59999999998</v>
      </c>
      <c r="F25" s="90">
        <v>383255.4</v>
      </c>
      <c r="G25" s="90">
        <v>430395.5</v>
      </c>
      <c r="H25" s="90">
        <v>490303.7</v>
      </c>
      <c r="I25" s="90">
        <v>581712</v>
      </c>
      <c r="J25" s="90">
        <v>672066.9</v>
      </c>
      <c r="K25" s="90">
        <v>678718.3</v>
      </c>
      <c r="L25" s="90">
        <v>703325.6</v>
      </c>
      <c r="M25" s="90">
        <v>849616.6</v>
      </c>
      <c r="N25" s="90">
        <v>916452.6</v>
      </c>
      <c r="O25" s="90">
        <v>963804.1</v>
      </c>
      <c r="P25" s="90">
        <v>1104435.8999999999</v>
      </c>
      <c r="Q25" s="170">
        <v>519724.5</v>
      </c>
      <c r="R25" s="49">
        <f t="shared" si="0"/>
        <v>729266.46999998391</v>
      </c>
    </row>
    <row r="26" spans="1:18" ht="15.75" x14ac:dyDescent="0.25">
      <c r="A26" s="84">
        <v>25</v>
      </c>
      <c r="B26" s="84" t="s">
        <v>25</v>
      </c>
      <c r="C26" s="90">
        <v>132870.20000000001</v>
      </c>
      <c r="D26" s="90">
        <v>158127</v>
      </c>
      <c r="E26" s="90">
        <v>191584.6</v>
      </c>
      <c r="F26" s="90">
        <v>213733.5</v>
      </c>
      <c r="G26" s="90">
        <v>202235.5</v>
      </c>
      <c r="H26" s="90">
        <v>233438.9</v>
      </c>
      <c r="I26" s="90">
        <v>263811.7</v>
      </c>
      <c r="J26" s="90">
        <v>283846.2</v>
      </c>
      <c r="K26" s="90">
        <v>306578.7</v>
      </c>
      <c r="L26" s="90">
        <v>328291.8</v>
      </c>
      <c r="M26" s="90">
        <v>401582.7</v>
      </c>
      <c r="N26" s="90">
        <v>432362.8</v>
      </c>
      <c r="O26" s="90">
        <v>442609.6</v>
      </c>
      <c r="P26" s="90">
        <v>482547.9</v>
      </c>
      <c r="Q26" s="170">
        <v>1224514.1000000001</v>
      </c>
      <c r="R26" s="49">
        <f t="shared" si="0"/>
        <v>1105537.7900000215</v>
      </c>
    </row>
    <row r="27" spans="1:18" ht="15.75" x14ac:dyDescent="0.25">
      <c r="A27" s="84">
        <v>26</v>
      </c>
      <c r="B27" s="84" t="s">
        <v>26</v>
      </c>
      <c r="C27" s="90">
        <v>63848.3</v>
      </c>
      <c r="D27" s="90">
        <v>74923.8</v>
      </c>
      <c r="E27" s="90">
        <v>86664.9</v>
      </c>
      <c r="F27" s="90">
        <v>115141.3</v>
      </c>
      <c r="G27" s="90">
        <v>117710</v>
      </c>
      <c r="H27" s="90">
        <v>127407.8</v>
      </c>
      <c r="I27" s="90">
        <v>153419.70000000001</v>
      </c>
      <c r="J27" s="90">
        <v>170605.7</v>
      </c>
      <c r="K27" s="90">
        <v>178818.1</v>
      </c>
      <c r="L27" s="90">
        <v>209304.4</v>
      </c>
      <c r="M27" s="90">
        <v>234075.7</v>
      </c>
      <c r="N27" s="90">
        <v>243392.9</v>
      </c>
      <c r="O27" s="90">
        <v>252650.2</v>
      </c>
      <c r="P27" s="90">
        <v>262008</v>
      </c>
      <c r="Q27" s="170">
        <v>616909</v>
      </c>
      <c r="R27" s="49">
        <f t="shared" si="0"/>
        <v>557091.67000001669</v>
      </c>
    </row>
    <row r="28" spans="1:18" ht="15.75" x14ac:dyDescent="0.25">
      <c r="A28" s="84">
        <v>27</v>
      </c>
      <c r="B28" s="84" t="s">
        <v>27</v>
      </c>
      <c r="C28" s="90">
        <v>40582.9</v>
      </c>
      <c r="D28" s="90">
        <v>51464.9</v>
      </c>
      <c r="E28" s="90">
        <v>61561.9</v>
      </c>
      <c r="F28" s="90">
        <v>73283.199999999997</v>
      </c>
      <c r="G28" s="90">
        <v>74647.8</v>
      </c>
      <c r="H28" s="90">
        <v>87066</v>
      </c>
      <c r="I28" s="90">
        <v>100498.5</v>
      </c>
      <c r="J28" s="90">
        <v>107547.5</v>
      </c>
      <c r="K28" s="90">
        <v>114676.2</v>
      </c>
      <c r="L28" s="90">
        <v>123825.60000000001</v>
      </c>
      <c r="M28" s="90">
        <v>135239.5</v>
      </c>
      <c r="N28" s="90">
        <v>145554.1</v>
      </c>
      <c r="O28" s="90">
        <v>151518.5</v>
      </c>
      <c r="P28" s="90">
        <v>164228.5</v>
      </c>
      <c r="Q28" s="170">
        <v>273543.5</v>
      </c>
      <c r="R28" s="49">
        <f t="shared" si="0"/>
        <v>262601.53999999911</v>
      </c>
    </row>
    <row r="29" spans="1:18" ht="15.75" x14ac:dyDescent="0.25">
      <c r="A29" s="84">
        <v>28</v>
      </c>
      <c r="B29" s="84" t="s">
        <v>28</v>
      </c>
      <c r="C29" s="90">
        <v>666392.80000000005</v>
      </c>
      <c r="D29" s="90">
        <v>825102.3</v>
      </c>
      <c r="E29" s="90">
        <v>1119660.3</v>
      </c>
      <c r="F29" s="90">
        <v>1431839.6</v>
      </c>
      <c r="G29" s="90">
        <v>1475805.3</v>
      </c>
      <c r="H29" s="90">
        <v>1699486.4</v>
      </c>
      <c r="I29" s="90">
        <v>2091914.3</v>
      </c>
      <c r="J29" s="90">
        <v>2280426</v>
      </c>
      <c r="K29" s="90">
        <v>2491423.2999999998</v>
      </c>
      <c r="L29" s="90">
        <v>2661210</v>
      </c>
      <c r="M29" s="90">
        <v>3387417.7</v>
      </c>
      <c r="N29" s="90">
        <v>3666017.9</v>
      </c>
      <c r="O29" s="90">
        <v>3824577.7</v>
      </c>
      <c r="P29" s="90">
        <v>4193489.5</v>
      </c>
      <c r="Q29" s="170">
        <v>197129.60000000001</v>
      </c>
      <c r="R29" s="49">
        <f t="shared" si="0"/>
        <v>1297795.1000001431</v>
      </c>
    </row>
    <row r="30" spans="1:18" ht="15.75" x14ac:dyDescent="0.25">
      <c r="A30" s="84">
        <v>29</v>
      </c>
      <c r="B30" s="84" t="s">
        <v>29</v>
      </c>
      <c r="C30" s="90">
        <v>17029.099999999999</v>
      </c>
      <c r="D30" s="90">
        <v>201939.20000000001</v>
      </c>
      <c r="E30" s="90">
        <v>243336.3</v>
      </c>
      <c r="F30" s="90">
        <v>294926.2</v>
      </c>
      <c r="G30" s="90">
        <v>213396.9</v>
      </c>
      <c r="H30" s="90">
        <v>47194.5</v>
      </c>
      <c r="I30" s="90">
        <v>56803.3</v>
      </c>
      <c r="J30" s="90">
        <v>65300.4</v>
      </c>
      <c r="K30" s="90">
        <v>70862.3</v>
      </c>
      <c r="L30" s="90">
        <v>75622.5</v>
      </c>
      <c r="M30" s="90">
        <v>84306</v>
      </c>
      <c r="N30" s="90">
        <v>90384.1</v>
      </c>
      <c r="O30" s="90">
        <v>99495.6</v>
      </c>
      <c r="P30" s="90">
        <v>108417.60000000001</v>
      </c>
      <c r="Q30" s="170">
        <v>5124594</v>
      </c>
      <c r="R30" s="49">
        <f t="shared" si="0"/>
        <v>4131022.3100001812</v>
      </c>
    </row>
    <row r="31" spans="1:18" ht="15.75" x14ac:dyDescent="0.25">
      <c r="A31" s="84">
        <v>30</v>
      </c>
      <c r="B31" s="84" t="s">
        <v>30</v>
      </c>
      <c r="C31" s="90">
        <v>9685.7000000000007</v>
      </c>
      <c r="D31" s="90">
        <v>103138.7</v>
      </c>
      <c r="E31" s="90">
        <v>143927.70000000001</v>
      </c>
      <c r="F31" s="90">
        <v>179266.7</v>
      </c>
      <c r="G31" s="90">
        <v>169519.6</v>
      </c>
      <c r="H31" s="90">
        <v>24404.1</v>
      </c>
      <c r="I31" s="90">
        <v>29318.7</v>
      </c>
      <c r="J31" s="90">
        <v>35897.800000000003</v>
      </c>
      <c r="K31" s="90">
        <v>41165.9</v>
      </c>
      <c r="L31" s="90">
        <v>46680.6</v>
      </c>
      <c r="M31" s="90">
        <v>51958.5</v>
      </c>
      <c r="N31" s="90">
        <v>61403.4</v>
      </c>
      <c r="O31" s="90">
        <v>71358.399999999994</v>
      </c>
      <c r="P31" s="90">
        <v>73692.2</v>
      </c>
      <c r="Q31" s="170">
        <v>132235.6</v>
      </c>
      <c r="R31" s="49">
        <f t="shared" si="0"/>
        <v>129982.51999999583</v>
      </c>
    </row>
    <row r="32" spans="1:18" ht="15.75" x14ac:dyDescent="0.25">
      <c r="A32" s="84">
        <v>31</v>
      </c>
      <c r="B32" s="84" t="s">
        <v>31</v>
      </c>
      <c r="C32" s="113"/>
      <c r="D32" s="113"/>
      <c r="E32" s="113"/>
      <c r="F32" s="113"/>
      <c r="G32" s="113"/>
      <c r="H32" s="113"/>
      <c r="I32" s="113"/>
      <c r="J32" s="113"/>
      <c r="K32" s="113"/>
      <c r="L32" s="90">
        <v>189439.2</v>
      </c>
      <c r="M32" s="90">
        <v>265970.59999999998</v>
      </c>
      <c r="N32" s="90">
        <v>327739.3</v>
      </c>
      <c r="O32" s="90">
        <v>346100.4</v>
      </c>
      <c r="P32" s="90">
        <v>391299</v>
      </c>
      <c r="Q32" s="170">
        <v>88948.9</v>
      </c>
      <c r="R32" s="49">
        <f t="shared" si="0"/>
        <v>196866.53000000119</v>
      </c>
    </row>
    <row r="33" spans="1:18" ht="15.75" x14ac:dyDescent="0.25">
      <c r="A33" s="84">
        <v>32</v>
      </c>
      <c r="B33" s="84" t="s">
        <v>32</v>
      </c>
      <c r="C33" s="90">
        <v>372929.8</v>
      </c>
      <c r="D33" s="90">
        <v>158127</v>
      </c>
      <c r="E33" s="90">
        <v>191584.6</v>
      </c>
      <c r="F33" s="90">
        <v>213733.5</v>
      </c>
      <c r="G33" s="90">
        <v>202235.5</v>
      </c>
      <c r="H33" s="90">
        <v>1028308.4</v>
      </c>
      <c r="I33" s="90">
        <v>1244652.8</v>
      </c>
      <c r="J33" s="90">
        <v>1459490.8</v>
      </c>
      <c r="K33" s="90">
        <v>1662969.1</v>
      </c>
      <c r="L33" s="90">
        <v>1784833.5</v>
      </c>
      <c r="M33" s="90">
        <v>1933512.1</v>
      </c>
      <c r="N33" s="90">
        <v>2076603.8</v>
      </c>
      <c r="O33" s="90">
        <v>2227575.6</v>
      </c>
      <c r="P33" s="90">
        <v>2344620.7000000002</v>
      </c>
      <c r="Q33" s="170">
        <v>469281.3</v>
      </c>
      <c r="R33" s="49">
        <f t="shared" si="0"/>
        <v>1012185.2899999619</v>
      </c>
    </row>
    <row r="34" spans="1:18" ht="15.75" x14ac:dyDescent="0.25">
      <c r="A34" s="84">
        <v>33</v>
      </c>
      <c r="B34" s="84" t="s">
        <v>33</v>
      </c>
      <c r="C34" s="90">
        <v>70127.600000000006</v>
      </c>
      <c r="D34" s="90">
        <v>74923.8</v>
      </c>
      <c r="E34" s="90">
        <v>86664.9</v>
      </c>
      <c r="F34" s="90">
        <v>115141.3</v>
      </c>
      <c r="G34" s="90">
        <v>117710</v>
      </c>
      <c r="H34" s="90">
        <v>144888.79999999999</v>
      </c>
      <c r="I34" s="90">
        <v>172616.6</v>
      </c>
      <c r="J34" s="90">
        <v>209654.39999999999</v>
      </c>
      <c r="K34" s="90">
        <v>273917.09999999998</v>
      </c>
      <c r="L34" s="90">
        <v>296319.3</v>
      </c>
      <c r="M34" s="90">
        <v>322303</v>
      </c>
      <c r="N34" s="90">
        <v>346779.4</v>
      </c>
      <c r="O34" s="90">
        <v>420601.7</v>
      </c>
      <c r="P34" s="90">
        <v>553395.69999999995</v>
      </c>
      <c r="Q34" s="170">
        <v>2569810.7000000002</v>
      </c>
      <c r="R34" s="49">
        <f t="shared" si="0"/>
        <v>2253067.6100000143</v>
      </c>
    </row>
    <row r="35" spans="1:18" ht="15.75" x14ac:dyDescent="0.25">
      <c r="A35" s="84">
        <v>34</v>
      </c>
      <c r="B35" s="84" t="s">
        <v>34</v>
      </c>
      <c r="C35" s="90">
        <v>203232.2</v>
      </c>
      <c r="D35" s="90">
        <v>252142.7</v>
      </c>
      <c r="E35" s="90">
        <v>331766.8</v>
      </c>
      <c r="F35" s="90">
        <v>416678.5</v>
      </c>
      <c r="G35" s="90">
        <v>377514.3</v>
      </c>
      <c r="H35" s="90">
        <v>433473.7</v>
      </c>
      <c r="I35" s="90">
        <v>508433.3</v>
      </c>
      <c r="J35" s="90">
        <v>571516.1</v>
      </c>
      <c r="K35" s="90">
        <v>607472.19999999995</v>
      </c>
      <c r="L35" s="90">
        <v>715409.6</v>
      </c>
      <c r="M35" s="90">
        <v>740458</v>
      </c>
      <c r="N35" s="90">
        <v>746794.8</v>
      </c>
      <c r="O35" s="90">
        <v>772624.2</v>
      </c>
      <c r="P35" s="90">
        <v>852028.6</v>
      </c>
      <c r="Q35" s="170">
        <v>602306.69999999995</v>
      </c>
      <c r="R35" s="49">
        <f t="shared" si="0"/>
        <v>691521.8200000003</v>
      </c>
    </row>
    <row r="36" spans="1:18" ht="15.75" x14ac:dyDescent="0.25">
      <c r="A36" s="84">
        <v>35</v>
      </c>
      <c r="B36" s="84" t="s">
        <v>35</v>
      </c>
      <c r="C36" s="90">
        <v>263051.5</v>
      </c>
      <c r="D36" s="90">
        <v>825102.3</v>
      </c>
      <c r="E36" s="90">
        <v>1119660.3</v>
      </c>
      <c r="F36" s="90">
        <v>1431839.6</v>
      </c>
      <c r="G36" s="90">
        <v>1475805.3</v>
      </c>
      <c r="H36" s="90">
        <v>659667.4</v>
      </c>
      <c r="I36" s="90">
        <v>765967.2</v>
      </c>
      <c r="J36" s="90">
        <v>843560.3</v>
      </c>
      <c r="K36" s="90">
        <v>917689.1</v>
      </c>
      <c r="L36" s="90">
        <v>1007758.8</v>
      </c>
      <c r="M36" s="90">
        <v>1189144</v>
      </c>
      <c r="N36" s="90">
        <v>1283748.1000000001</v>
      </c>
      <c r="O36" s="90">
        <v>1352321.9</v>
      </c>
      <c r="P36" s="90">
        <v>1446226.6</v>
      </c>
      <c r="Q36" s="170">
        <v>961413.3</v>
      </c>
      <c r="R36" s="49">
        <f t="shared" si="0"/>
        <v>1158675.9099999964</v>
      </c>
    </row>
    <row r="37" spans="1:18" ht="15.75" x14ac:dyDescent="0.25">
      <c r="A37" s="84">
        <v>36</v>
      </c>
      <c r="B37" s="84" t="s">
        <v>36</v>
      </c>
      <c r="C37" s="114"/>
      <c r="D37" s="113"/>
      <c r="E37" s="113"/>
      <c r="F37" s="113"/>
      <c r="G37" s="113"/>
      <c r="H37" s="113"/>
      <c r="I37" s="113"/>
      <c r="J37" s="113"/>
      <c r="K37" s="113"/>
      <c r="L37" s="90">
        <v>30148.6</v>
      </c>
      <c r="M37" s="90">
        <v>48663.3</v>
      </c>
      <c r="N37" s="90">
        <v>65863.7</v>
      </c>
      <c r="O37" s="90">
        <v>72789.600000000006</v>
      </c>
      <c r="P37" s="90">
        <v>79254.600000000006</v>
      </c>
      <c r="Q37" s="170">
        <v>1637748.1</v>
      </c>
      <c r="R37" s="49">
        <f t="shared" si="0"/>
        <v>1338332.0099999905</v>
      </c>
    </row>
    <row r="38" spans="1:18" ht="15.75" x14ac:dyDescent="0.25">
      <c r="A38" s="84">
        <v>37</v>
      </c>
      <c r="B38" s="84" t="s">
        <v>37</v>
      </c>
      <c r="C38" s="90">
        <v>90442.6</v>
      </c>
      <c r="D38" s="90">
        <v>124153.5</v>
      </c>
      <c r="E38" s="90">
        <v>156928.79999999999</v>
      </c>
      <c r="F38" s="90">
        <v>216277.2</v>
      </c>
      <c r="G38" s="90">
        <v>257832.7</v>
      </c>
      <c r="H38" s="90">
        <v>274354.2</v>
      </c>
      <c r="I38" s="90">
        <v>330322.8</v>
      </c>
      <c r="J38" s="90">
        <v>374710.3</v>
      </c>
      <c r="K38" s="90">
        <v>452882.2</v>
      </c>
      <c r="L38" s="90">
        <v>528131.30000000005</v>
      </c>
      <c r="M38" s="90">
        <v>569297.30000000005</v>
      </c>
      <c r="N38" s="90">
        <v>582901</v>
      </c>
      <c r="O38" s="90">
        <v>591849.80000000005</v>
      </c>
      <c r="P38" s="90">
        <v>625063.4</v>
      </c>
      <c r="Q38" s="170">
        <v>718497.8</v>
      </c>
      <c r="R38" s="49">
        <f t="shared" si="0"/>
        <v>719690.88000001013</v>
      </c>
    </row>
    <row r="39" spans="1:18" ht="15.75" x14ac:dyDescent="0.25">
      <c r="A39" s="84">
        <v>38</v>
      </c>
      <c r="B39" s="84" t="s">
        <v>38</v>
      </c>
      <c r="C39" s="90">
        <v>7419.3</v>
      </c>
      <c r="D39" s="90">
        <v>9033.5</v>
      </c>
      <c r="E39" s="90">
        <v>16812.400000000001</v>
      </c>
      <c r="F39" s="90">
        <v>19172.900000000001</v>
      </c>
      <c r="G39" s="90">
        <v>18953.3</v>
      </c>
      <c r="H39" s="90">
        <v>19929.099999999999</v>
      </c>
      <c r="I39" s="90">
        <v>26858.9</v>
      </c>
      <c r="J39" s="90">
        <v>37413.9</v>
      </c>
      <c r="K39" s="90">
        <v>45766.7</v>
      </c>
      <c r="L39" s="90">
        <v>51908.2</v>
      </c>
      <c r="M39" s="90">
        <v>50091</v>
      </c>
      <c r="N39" s="90">
        <v>52201.599999999999</v>
      </c>
      <c r="O39" s="90">
        <v>52708.4</v>
      </c>
      <c r="P39" s="90">
        <v>55457.1</v>
      </c>
      <c r="Q39" s="170">
        <v>73186.100000000006</v>
      </c>
      <c r="R39" s="49">
        <f t="shared" si="0"/>
        <v>71562.549999998882</v>
      </c>
    </row>
    <row r="40" spans="1:18" ht="15.75" x14ac:dyDescent="0.25">
      <c r="A40" s="84">
        <v>39</v>
      </c>
      <c r="B40" s="84" t="s">
        <v>42</v>
      </c>
      <c r="C40" s="90">
        <v>36833.4</v>
      </c>
      <c r="D40" s="90">
        <v>43309.7</v>
      </c>
      <c r="E40" s="90">
        <v>48908.7</v>
      </c>
      <c r="F40" s="90">
        <v>58093.4</v>
      </c>
      <c r="G40" s="90">
        <v>65660.100000000006</v>
      </c>
      <c r="H40" s="90">
        <v>77086.399999999994</v>
      </c>
      <c r="I40" s="90">
        <v>90594.5</v>
      </c>
      <c r="J40" s="90">
        <v>106711.2</v>
      </c>
      <c r="K40" s="90">
        <v>110971.5</v>
      </c>
      <c r="L40" s="90">
        <v>116886</v>
      </c>
      <c r="M40" s="90">
        <v>120528.8</v>
      </c>
      <c r="N40" s="90">
        <v>135416.70000000001</v>
      </c>
      <c r="O40" s="90">
        <v>138345.60000000001</v>
      </c>
      <c r="P40" s="90">
        <v>145658.20000000001</v>
      </c>
      <c r="Q40" s="170">
        <v>171044.4</v>
      </c>
      <c r="R40" s="49">
        <f t="shared" si="0"/>
        <v>175580.55000000075</v>
      </c>
    </row>
    <row r="41" spans="1:18" ht="15.75" x14ac:dyDescent="0.25">
      <c r="A41" s="84">
        <v>40</v>
      </c>
      <c r="B41" s="84" t="s">
        <v>39</v>
      </c>
      <c r="C41" s="90">
        <v>16724.3</v>
      </c>
      <c r="D41" s="90">
        <v>23260.1</v>
      </c>
      <c r="E41" s="90">
        <v>27469.7</v>
      </c>
      <c r="F41" s="90">
        <v>35714.199999999997</v>
      </c>
      <c r="G41" s="90">
        <v>38584.1</v>
      </c>
      <c r="H41" s="90">
        <v>43651.5</v>
      </c>
      <c r="I41" s="90">
        <v>49252.1</v>
      </c>
      <c r="J41" s="90">
        <v>58712.1</v>
      </c>
      <c r="K41" s="90">
        <v>66106.600000000006</v>
      </c>
      <c r="L41" s="90">
        <v>65326.6</v>
      </c>
      <c r="M41" s="90">
        <v>67482.7</v>
      </c>
      <c r="N41" s="90">
        <v>71382.100000000006</v>
      </c>
      <c r="O41" s="90">
        <v>75645.8</v>
      </c>
      <c r="P41" s="90">
        <v>77046.3</v>
      </c>
      <c r="Q41" s="170">
        <v>92019</v>
      </c>
      <c r="R41" s="49">
        <f t="shared" si="0"/>
        <v>93136.220000000671</v>
      </c>
    </row>
    <row r="42" spans="1:18" ht="15.75" x14ac:dyDescent="0.25">
      <c r="A42" s="84">
        <v>41</v>
      </c>
      <c r="B42" s="84" t="s">
        <v>43</v>
      </c>
      <c r="C42" s="90">
        <v>31182.2</v>
      </c>
      <c r="D42" s="90">
        <v>43341.2</v>
      </c>
      <c r="E42" s="90">
        <v>52804.800000000003</v>
      </c>
      <c r="F42" s="90">
        <v>57707.4</v>
      </c>
      <c r="G42" s="90">
        <v>64081.4</v>
      </c>
      <c r="H42" s="90">
        <v>75327.399999999994</v>
      </c>
      <c r="I42" s="90">
        <v>85876.7</v>
      </c>
      <c r="J42" s="90">
        <v>97448.8</v>
      </c>
      <c r="K42" s="90">
        <v>118637.5</v>
      </c>
      <c r="L42" s="90">
        <v>125960.5</v>
      </c>
      <c r="M42" s="90">
        <v>126051.2</v>
      </c>
      <c r="N42" s="90">
        <v>125196.6</v>
      </c>
      <c r="O42" s="90">
        <v>128161.1</v>
      </c>
      <c r="P42" s="90">
        <v>130043.4</v>
      </c>
      <c r="Q42" s="170">
        <v>173235.4</v>
      </c>
      <c r="R42" s="49">
        <f t="shared" si="0"/>
        <v>166302.10000000149</v>
      </c>
    </row>
    <row r="43" spans="1:18" ht="15.75" x14ac:dyDescent="0.25">
      <c r="A43" s="84">
        <v>42</v>
      </c>
      <c r="B43" s="84" t="s">
        <v>40</v>
      </c>
      <c r="C43" s="90">
        <v>22898.9</v>
      </c>
      <c r="D43" s="90">
        <v>32344.400000000001</v>
      </c>
      <c r="E43" s="90">
        <v>48056.1</v>
      </c>
      <c r="F43" s="90">
        <v>66273.8</v>
      </c>
      <c r="G43" s="90">
        <v>64308.3</v>
      </c>
      <c r="H43" s="90">
        <v>70694.899999999994</v>
      </c>
      <c r="I43" s="90">
        <v>86623</v>
      </c>
      <c r="J43" s="90">
        <v>102289.1</v>
      </c>
      <c r="K43" s="90">
        <v>122402.8</v>
      </c>
      <c r="L43" s="90">
        <v>148942.1</v>
      </c>
      <c r="M43" s="90">
        <v>154401.4</v>
      </c>
      <c r="N43" s="90">
        <v>169380.3</v>
      </c>
      <c r="O43" s="90">
        <v>178943.5</v>
      </c>
      <c r="P43" s="90">
        <v>193077.1</v>
      </c>
      <c r="Q43" s="170">
        <v>241631.6</v>
      </c>
      <c r="R43" s="49">
        <f t="shared" si="0"/>
        <v>246933.94000000507</v>
      </c>
    </row>
    <row r="44" spans="1:18" ht="15.75" x14ac:dyDescent="0.25">
      <c r="A44" s="84">
        <v>43</v>
      </c>
      <c r="B44" s="84" t="s">
        <v>41</v>
      </c>
      <c r="C44" s="90">
        <v>146569.29999999999</v>
      </c>
      <c r="D44" s="90">
        <v>181675.1</v>
      </c>
      <c r="E44" s="90">
        <v>222239.6</v>
      </c>
      <c r="F44" s="90">
        <v>274992</v>
      </c>
      <c r="G44" s="90">
        <v>277251</v>
      </c>
      <c r="H44" s="90">
        <v>330790.8</v>
      </c>
      <c r="I44" s="90">
        <v>396791.6</v>
      </c>
      <c r="J44" s="90">
        <v>431753.4</v>
      </c>
      <c r="K44" s="90">
        <v>480905.3</v>
      </c>
      <c r="L44" s="90">
        <v>540796.80000000005</v>
      </c>
      <c r="M44" s="90">
        <v>621198.30000000005</v>
      </c>
      <c r="N44" s="90">
        <v>642895.30000000005</v>
      </c>
      <c r="O44" s="90">
        <v>663211</v>
      </c>
      <c r="P44" s="90">
        <v>715511.4</v>
      </c>
      <c r="Q44" s="170">
        <v>827044.4</v>
      </c>
      <c r="R44" s="49">
        <f t="shared" si="0"/>
        <v>839264.57000000775</v>
      </c>
    </row>
    <row r="45" spans="1:18" ht="15.75" x14ac:dyDescent="0.25">
      <c r="A45" s="84">
        <v>44</v>
      </c>
      <c r="B45" s="84" t="s">
        <v>44</v>
      </c>
      <c r="C45" s="90">
        <v>381646.5</v>
      </c>
      <c r="D45" s="90">
        <v>505205.8</v>
      </c>
      <c r="E45" s="90">
        <v>590054.1</v>
      </c>
      <c r="F45" s="90">
        <v>743133.4</v>
      </c>
      <c r="G45" s="90">
        <v>647911.69999999995</v>
      </c>
      <c r="H45" s="90">
        <v>759203.3</v>
      </c>
      <c r="I45" s="90">
        <v>941023.6</v>
      </c>
      <c r="J45" s="90">
        <v>1149384.6000000001</v>
      </c>
      <c r="K45" s="90">
        <v>1163219</v>
      </c>
      <c r="L45" s="90">
        <v>1260010.3999999999</v>
      </c>
      <c r="M45" s="90">
        <v>1316598.3</v>
      </c>
      <c r="N45" s="90">
        <v>1337977.6000000001</v>
      </c>
      <c r="O45" s="90">
        <v>1410203.4</v>
      </c>
      <c r="P45" s="90">
        <v>1673695.8</v>
      </c>
      <c r="Q45" s="170">
        <v>1810091</v>
      </c>
      <c r="R45" s="49">
        <f t="shared" si="0"/>
        <v>1906524.2999999821</v>
      </c>
    </row>
    <row r="46" spans="1:18" ht="15.75" x14ac:dyDescent="0.25">
      <c r="A46" s="84">
        <v>45</v>
      </c>
      <c r="B46" s="84" t="s">
        <v>45</v>
      </c>
      <c r="C46" s="90">
        <v>33350.699999999997</v>
      </c>
      <c r="D46" s="90">
        <v>43663.7</v>
      </c>
      <c r="E46" s="90">
        <v>55069.2</v>
      </c>
      <c r="F46" s="90">
        <v>65765.3</v>
      </c>
      <c r="G46" s="90">
        <v>69271.5</v>
      </c>
      <c r="H46" s="90">
        <v>82374.399999999994</v>
      </c>
      <c r="I46" s="90">
        <v>97323.3</v>
      </c>
      <c r="J46" s="90">
        <v>117201.1</v>
      </c>
      <c r="K46" s="90">
        <v>125950.2</v>
      </c>
      <c r="L46" s="90">
        <v>143396.1</v>
      </c>
      <c r="M46" s="90">
        <v>171689.5</v>
      </c>
      <c r="N46" s="90">
        <v>158716.70000000001</v>
      </c>
      <c r="O46" s="90">
        <v>166158.6</v>
      </c>
      <c r="P46" s="90">
        <v>177728.7</v>
      </c>
      <c r="Q46" s="170">
        <v>204080.8</v>
      </c>
      <c r="R46" s="49">
        <f t="shared" si="0"/>
        <v>200813.24000000209</v>
      </c>
    </row>
    <row r="47" spans="1:18" ht="15.75" x14ac:dyDescent="0.25">
      <c r="A47" s="84">
        <v>46</v>
      </c>
      <c r="B47" s="84" t="s">
        <v>46</v>
      </c>
      <c r="C47" s="90">
        <v>44267</v>
      </c>
      <c r="D47" s="90">
        <v>57974.2</v>
      </c>
      <c r="E47" s="90">
        <v>77048.800000000003</v>
      </c>
      <c r="F47" s="90">
        <v>94058.3</v>
      </c>
      <c r="G47" s="90">
        <v>90862.399999999994</v>
      </c>
      <c r="H47" s="90">
        <v>105343.8</v>
      </c>
      <c r="I47" s="90">
        <v>119955.2</v>
      </c>
      <c r="J47" s="90">
        <v>134315.6</v>
      </c>
      <c r="K47" s="90">
        <v>148705.70000000001</v>
      </c>
      <c r="L47" s="90">
        <v>173872.7</v>
      </c>
      <c r="M47" s="90">
        <v>180352.3</v>
      </c>
      <c r="N47" s="90">
        <v>201715.7</v>
      </c>
      <c r="O47" s="90">
        <v>215348.8</v>
      </c>
      <c r="P47" s="90">
        <v>227287.6</v>
      </c>
      <c r="Q47" s="170">
        <v>263349.2</v>
      </c>
      <c r="R47" s="49">
        <f t="shared" si="0"/>
        <v>275080.4299999997</v>
      </c>
    </row>
    <row r="48" spans="1:18" ht="15.75" x14ac:dyDescent="0.25">
      <c r="A48" s="84">
        <v>47</v>
      </c>
      <c r="B48" s="84" t="s">
        <v>47</v>
      </c>
      <c r="C48" s="90">
        <v>482759.2</v>
      </c>
      <c r="D48" s="90">
        <v>605911.5</v>
      </c>
      <c r="E48" s="90">
        <v>757401.4</v>
      </c>
      <c r="F48" s="90">
        <v>926056.7</v>
      </c>
      <c r="G48" s="90">
        <v>885064</v>
      </c>
      <c r="H48" s="90">
        <v>1001622.8</v>
      </c>
      <c r="I48" s="90">
        <v>1305947</v>
      </c>
      <c r="J48" s="90">
        <v>1437001</v>
      </c>
      <c r="K48" s="90">
        <v>1551472.1</v>
      </c>
      <c r="L48" s="90">
        <v>1661413.8</v>
      </c>
      <c r="M48" s="90">
        <v>1867258.7</v>
      </c>
      <c r="N48" s="90">
        <v>1933091.5</v>
      </c>
      <c r="O48" s="90">
        <v>2139809.5</v>
      </c>
      <c r="P48" s="90">
        <v>2469217.4</v>
      </c>
      <c r="Q48" s="170">
        <v>2795850.6</v>
      </c>
      <c r="R48" s="49">
        <f t="shared" si="0"/>
        <v>2959038.4499999881</v>
      </c>
    </row>
    <row r="49" spans="1:18" ht="15.75" x14ac:dyDescent="0.25">
      <c r="A49" s="84">
        <v>48</v>
      </c>
      <c r="B49" s="84" t="s">
        <v>48</v>
      </c>
      <c r="C49" s="90">
        <v>139995.29999999999</v>
      </c>
      <c r="D49" s="90">
        <v>164848.5</v>
      </c>
      <c r="E49" s="90">
        <v>205647.4</v>
      </c>
      <c r="F49" s="90">
        <v>243135.5</v>
      </c>
      <c r="G49" s="90">
        <v>230938.3</v>
      </c>
      <c r="H49" s="90">
        <v>274578.09999999998</v>
      </c>
      <c r="I49" s="90">
        <v>335984</v>
      </c>
      <c r="J49" s="90">
        <v>372782.7</v>
      </c>
      <c r="K49" s="90">
        <v>405126.40000000002</v>
      </c>
      <c r="L49" s="90">
        <v>450548.9</v>
      </c>
      <c r="M49" s="90">
        <v>517999.8</v>
      </c>
      <c r="N49" s="90">
        <v>531855.80000000005</v>
      </c>
      <c r="O49" s="90">
        <v>552303.5</v>
      </c>
      <c r="P49" s="90">
        <v>631118.30000000005</v>
      </c>
      <c r="Q49" s="170">
        <v>721345.1</v>
      </c>
      <c r="R49" s="49">
        <f t="shared" si="0"/>
        <v>742710.42999999225</v>
      </c>
    </row>
    <row r="50" spans="1:18" ht="15.75" x14ac:dyDescent="0.25">
      <c r="A50" s="84">
        <v>49</v>
      </c>
      <c r="B50" s="84" t="s">
        <v>49</v>
      </c>
      <c r="C50" s="90">
        <v>69391.600000000006</v>
      </c>
      <c r="D50" s="90">
        <v>93172</v>
      </c>
      <c r="E50" s="90">
        <v>123453.3</v>
      </c>
      <c r="F50" s="90">
        <v>155032.29999999999</v>
      </c>
      <c r="G50" s="90">
        <v>139909.5</v>
      </c>
      <c r="H50" s="90">
        <v>157704.6</v>
      </c>
      <c r="I50" s="90">
        <v>188785.7</v>
      </c>
      <c r="J50" s="90">
        <v>217821.1</v>
      </c>
      <c r="K50" s="90">
        <v>223147.9</v>
      </c>
      <c r="L50" s="90">
        <v>237447.2</v>
      </c>
      <c r="M50" s="90">
        <v>251307</v>
      </c>
      <c r="N50" s="90">
        <v>260565.7</v>
      </c>
      <c r="O50" s="90">
        <v>275272.2</v>
      </c>
      <c r="P50" s="90">
        <v>297774.09999999998</v>
      </c>
      <c r="Q50" s="170">
        <v>339766.5</v>
      </c>
      <c r="R50" s="49">
        <f t="shared" si="0"/>
        <v>349175.3200000003</v>
      </c>
    </row>
    <row r="51" spans="1:18" ht="15.75" x14ac:dyDescent="0.25">
      <c r="A51" s="84">
        <v>50</v>
      </c>
      <c r="B51" s="84" t="s">
        <v>50</v>
      </c>
      <c r="C51" s="90">
        <v>327273.3</v>
      </c>
      <c r="D51" s="90">
        <v>383770.1</v>
      </c>
      <c r="E51" s="90">
        <v>477794.2</v>
      </c>
      <c r="F51" s="90">
        <v>607362.69999999995</v>
      </c>
      <c r="G51" s="90">
        <v>539831.5</v>
      </c>
      <c r="H51" s="90">
        <v>623116.80000000005</v>
      </c>
      <c r="I51" s="90">
        <v>840101.1</v>
      </c>
      <c r="J51" s="90">
        <v>860342.7</v>
      </c>
      <c r="K51" s="90">
        <v>880264.4</v>
      </c>
      <c r="L51" s="90">
        <v>974192.9</v>
      </c>
      <c r="M51" s="90">
        <v>1063780.3</v>
      </c>
      <c r="N51" s="90">
        <v>1095969.3999999999</v>
      </c>
      <c r="O51" s="90">
        <v>1191441</v>
      </c>
      <c r="P51" s="90">
        <v>1318472.7</v>
      </c>
      <c r="Q51" s="170">
        <v>1495011.8</v>
      </c>
      <c r="R51" s="49">
        <f t="shared" si="0"/>
        <v>1558424.9300000072</v>
      </c>
    </row>
    <row r="52" spans="1:18" ht="15.75" x14ac:dyDescent="0.25">
      <c r="A52" s="84">
        <v>51</v>
      </c>
      <c r="B52" s="84" t="s">
        <v>51</v>
      </c>
      <c r="C52" s="90">
        <v>79800.600000000006</v>
      </c>
      <c r="D52" s="90">
        <v>97047.1</v>
      </c>
      <c r="E52" s="90">
        <v>118154.9</v>
      </c>
      <c r="F52" s="90">
        <v>151116.70000000001</v>
      </c>
      <c r="G52" s="90">
        <v>146321.29999999999</v>
      </c>
      <c r="H52" s="90">
        <v>172352</v>
      </c>
      <c r="I52" s="90">
        <v>195269.5</v>
      </c>
      <c r="J52" s="90">
        <v>208505.4</v>
      </c>
      <c r="K52" s="90">
        <v>224152.3</v>
      </c>
      <c r="L52" s="90">
        <v>254089.4</v>
      </c>
      <c r="M52" s="90">
        <v>282191</v>
      </c>
      <c r="N52" s="90">
        <v>293082.5</v>
      </c>
      <c r="O52" s="90">
        <v>307058.7</v>
      </c>
      <c r="P52" s="90">
        <v>332556.2</v>
      </c>
      <c r="Q52" s="170">
        <v>370255.9</v>
      </c>
      <c r="R52" s="49">
        <f t="shared" si="0"/>
        <v>381709.91000000387</v>
      </c>
    </row>
    <row r="53" spans="1:18" ht="15.75" x14ac:dyDescent="0.25">
      <c r="A53" s="84">
        <v>52</v>
      </c>
      <c r="B53" s="84" t="s">
        <v>52</v>
      </c>
      <c r="C53" s="90">
        <v>299723.7</v>
      </c>
      <c r="D53" s="90">
        <v>376180.3</v>
      </c>
      <c r="E53" s="90">
        <v>473307.4</v>
      </c>
      <c r="F53" s="90">
        <v>588790.80000000005</v>
      </c>
      <c r="G53" s="90">
        <v>547223</v>
      </c>
      <c r="H53" s="90">
        <v>652805.9</v>
      </c>
      <c r="I53" s="90">
        <v>770774</v>
      </c>
      <c r="J53" s="90">
        <v>842195.5</v>
      </c>
      <c r="K53" s="90">
        <v>925182</v>
      </c>
      <c r="L53" s="90">
        <v>1009460.1</v>
      </c>
      <c r="M53" s="90">
        <v>1104643.2</v>
      </c>
      <c r="N53" s="90">
        <v>1160782.3</v>
      </c>
      <c r="O53" s="90">
        <v>1261939.3999999999</v>
      </c>
      <c r="P53" s="90">
        <v>1367544</v>
      </c>
      <c r="Q53" s="170">
        <v>1621913.1</v>
      </c>
      <c r="R53" s="49">
        <f t="shared" si="0"/>
        <v>1675754.8500000238</v>
      </c>
    </row>
    <row r="54" spans="1:18" ht="15.75" x14ac:dyDescent="0.25">
      <c r="A54" s="84">
        <v>53</v>
      </c>
      <c r="B54" s="84" t="s">
        <v>53</v>
      </c>
      <c r="C54" s="90">
        <v>213138.2</v>
      </c>
      <c r="D54" s="90">
        <v>302808.40000000002</v>
      </c>
      <c r="E54" s="90">
        <v>370880.9</v>
      </c>
      <c r="F54" s="90">
        <v>430023.1</v>
      </c>
      <c r="G54" s="90">
        <v>413395.5</v>
      </c>
      <c r="H54" s="90">
        <v>458145.4</v>
      </c>
      <c r="I54" s="90">
        <v>553320.9</v>
      </c>
      <c r="J54" s="90">
        <v>628563.6</v>
      </c>
      <c r="K54" s="90">
        <v>717014.8</v>
      </c>
      <c r="L54" s="90">
        <v>731277.7</v>
      </c>
      <c r="M54" s="90">
        <v>774962.1</v>
      </c>
      <c r="N54" s="90">
        <v>765333.3</v>
      </c>
      <c r="O54" s="90">
        <v>823856.4</v>
      </c>
      <c r="P54" s="90">
        <v>1000644</v>
      </c>
      <c r="Q54" s="170">
        <v>1107155.3</v>
      </c>
      <c r="R54" s="49">
        <f t="shared" si="0"/>
        <v>1164299.349999994</v>
      </c>
    </row>
    <row r="55" spans="1:18" ht="15.75" x14ac:dyDescent="0.25">
      <c r="A55" s="84">
        <v>54</v>
      </c>
      <c r="B55" s="84" t="s">
        <v>54</v>
      </c>
      <c r="C55" s="90">
        <v>74362.7</v>
      </c>
      <c r="D55" s="90">
        <v>88805</v>
      </c>
      <c r="E55" s="90">
        <v>119104</v>
      </c>
      <c r="F55" s="90">
        <v>147853.20000000001</v>
      </c>
      <c r="G55" s="90">
        <v>147185.1</v>
      </c>
      <c r="H55" s="90">
        <v>172166.7</v>
      </c>
      <c r="I55" s="90">
        <v>213401.2</v>
      </c>
      <c r="J55" s="90">
        <v>239962.5</v>
      </c>
      <c r="K55" s="90">
        <v>270436.8</v>
      </c>
      <c r="L55" s="90">
        <v>295238.7</v>
      </c>
      <c r="M55" s="90">
        <v>343328.6</v>
      </c>
      <c r="N55" s="90">
        <v>348877</v>
      </c>
      <c r="O55" s="90">
        <v>366719.7</v>
      </c>
      <c r="P55" s="90">
        <v>400516.8</v>
      </c>
      <c r="Q55" s="170">
        <v>448975.5</v>
      </c>
      <c r="R55" s="49">
        <f t="shared" si="0"/>
        <v>460563.60000000149</v>
      </c>
    </row>
    <row r="56" spans="1:18" ht="15.75" x14ac:dyDescent="0.25">
      <c r="A56" s="84">
        <v>55</v>
      </c>
      <c r="B56" s="84" t="s">
        <v>55</v>
      </c>
      <c r="C56" s="90">
        <v>401812.2</v>
      </c>
      <c r="D56" s="90">
        <v>487713.5</v>
      </c>
      <c r="E56" s="90">
        <v>584968.6</v>
      </c>
      <c r="F56" s="90">
        <v>699295.6</v>
      </c>
      <c r="G56" s="90">
        <v>583999.9</v>
      </c>
      <c r="H56" s="90">
        <v>695651.2</v>
      </c>
      <c r="I56" s="90">
        <v>834149.3</v>
      </c>
      <c r="J56" s="90">
        <v>937434.5</v>
      </c>
      <c r="K56" s="90">
        <v>1048545.8</v>
      </c>
      <c r="L56" s="90">
        <v>1149147.8</v>
      </c>
      <c r="M56" s="90">
        <v>1264910.3</v>
      </c>
      <c r="N56" s="90">
        <v>1270326.2</v>
      </c>
      <c r="O56" s="90">
        <v>1349094.9</v>
      </c>
      <c r="P56" s="90">
        <v>1510518.7</v>
      </c>
      <c r="Q56" s="170">
        <v>1687924.3</v>
      </c>
      <c r="R56" s="49">
        <f t="shared" si="0"/>
        <v>1742421.0300000012</v>
      </c>
    </row>
    <row r="57" spans="1:18" ht="15.75" x14ac:dyDescent="0.25">
      <c r="A57" s="84">
        <v>56</v>
      </c>
      <c r="B57" s="84" t="s">
        <v>56</v>
      </c>
      <c r="C57" s="90">
        <v>170930.5</v>
      </c>
      <c r="D57" s="90">
        <v>204291.20000000001</v>
      </c>
      <c r="E57" s="90">
        <v>252867.20000000001</v>
      </c>
      <c r="F57" s="90">
        <v>321747.20000000001</v>
      </c>
      <c r="G57" s="90">
        <v>326370.40000000002</v>
      </c>
      <c r="H57" s="90">
        <v>376169.4</v>
      </c>
      <c r="I57" s="90">
        <v>431028</v>
      </c>
      <c r="J57" s="90">
        <v>478275.8</v>
      </c>
      <c r="K57" s="90">
        <v>526178.9</v>
      </c>
      <c r="L57" s="90">
        <v>566646.1</v>
      </c>
      <c r="M57" s="90">
        <v>625176.80000000005</v>
      </c>
      <c r="N57" s="90">
        <v>643125.1</v>
      </c>
      <c r="O57" s="90">
        <v>668592.80000000005</v>
      </c>
      <c r="P57" s="90">
        <v>712545.4</v>
      </c>
      <c r="Q57" s="170">
        <v>811772.2</v>
      </c>
      <c r="R57" s="49">
        <f t="shared" si="0"/>
        <v>825025.78999999166</v>
      </c>
    </row>
    <row r="58" spans="1:18" ht="15.75" x14ac:dyDescent="0.25">
      <c r="A58" s="84">
        <v>57</v>
      </c>
      <c r="B58" s="84" t="s">
        <v>57</v>
      </c>
      <c r="C58" s="90">
        <v>80584.399999999994</v>
      </c>
      <c r="D58" s="90">
        <v>101950.3</v>
      </c>
      <c r="E58" s="90">
        <v>124676.2</v>
      </c>
      <c r="F58" s="90">
        <v>150680.29999999999</v>
      </c>
      <c r="G58" s="90">
        <v>154247.4</v>
      </c>
      <c r="H58" s="90">
        <v>178235.4</v>
      </c>
      <c r="I58" s="90">
        <v>223672.7</v>
      </c>
      <c r="J58" s="90">
        <v>240556.1</v>
      </c>
      <c r="K58" s="90">
        <v>265288.7</v>
      </c>
      <c r="L58" s="90">
        <v>278808.2</v>
      </c>
      <c r="M58" s="90">
        <v>304479.09999999998</v>
      </c>
      <c r="N58" s="90">
        <v>325284.2</v>
      </c>
      <c r="O58" s="90">
        <v>333508.8</v>
      </c>
      <c r="P58" s="90">
        <v>347854.1</v>
      </c>
      <c r="Q58" s="170">
        <v>420318.4</v>
      </c>
      <c r="R58" s="49">
        <f t="shared" si="0"/>
        <v>422563.47000000626</v>
      </c>
    </row>
    <row r="59" spans="1:18" ht="15.75" x14ac:dyDescent="0.25">
      <c r="A59" s="84">
        <v>58</v>
      </c>
      <c r="B59" s="84" t="s">
        <v>58</v>
      </c>
      <c r="C59" s="90">
        <v>50245.8</v>
      </c>
      <c r="D59" s="90">
        <v>68434.5</v>
      </c>
      <c r="E59" s="90">
        <v>81076</v>
      </c>
      <c r="F59" s="90">
        <v>106223.2</v>
      </c>
      <c r="G59" s="90">
        <v>107914.5</v>
      </c>
      <c r="H59" s="90">
        <v>117879.5</v>
      </c>
      <c r="I59" s="90">
        <v>136325.1</v>
      </c>
      <c r="J59" s="90">
        <v>146045.5</v>
      </c>
      <c r="K59" s="90">
        <v>167037.9</v>
      </c>
      <c r="L59" s="90">
        <v>170310.3</v>
      </c>
      <c r="M59" s="90">
        <v>179436.3</v>
      </c>
      <c r="N59" s="90">
        <v>189790.3</v>
      </c>
      <c r="O59" s="90">
        <v>197754.8</v>
      </c>
      <c r="P59" s="90">
        <v>213032.1</v>
      </c>
      <c r="Q59" s="170">
        <v>233468.6</v>
      </c>
      <c r="R59" s="49">
        <f t="shared" si="0"/>
        <v>242088.33999999985</v>
      </c>
    </row>
    <row r="60" spans="1:18" ht="15.75" x14ac:dyDescent="0.25">
      <c r="A60" s="84">
        <v>59</v>
      </c>
      <c r="B60" s="84" t="s">
        <v>59</v>
      </c>
      <c r="C60" s="90">
        <v>475575.5</v>
      </c>
      <c r="D60" s="90">
        <v>653908.30000000005</v>
      </c>
      <c r="E60" s="90">
        <v>820792.5</v>
      </c>
      <c r="F60" s="90">
        <v>923550.8</v>
      </c>
      <c r="G60" s="90">
        <v>825267.4</v>
      </c>
      <c r="H60" s="90">
        <v>1046600.1</v>
      </c>
      <c r="I60" s="90">
        <v>1291019.1000000001</v>
      </c>
      <c r="J60" s="90">
        <v>1484879</v>
      </c>
      <c r="K60" s="90">
        <v>1568655.2</v>
      </c>
      <c r="L60" s="90">
        <v>1659783.9</v>
      </c>
      <c r="M60" s="90">
        <v>1822835</v>
      </c>
      <c r="N60" s="90">
        <v>1990836.7</v>
      </c>
      <c r="O60" s="90">
        <v>2130909.7999999998</v>
      </c>
      <c r="P60" s="90">
        <v>2277576.2999999998</v>
      </c>
      <c r="Q60" s="170">
        <v>2529549.2999999998</v>
      </c>
      <c r="R60" s="49">
        <f t="shared" si="0"/>
        <v>2660391.8800000548</v>
      </c>
    </row>
    <row r="61" spans="1:18" ht="15.75" x14ac:dyDescent="0.25">
      <c r="A61" s="84">
        <v>60</v>
      </c>
      <c r="B61" s="84" t="s">
        <v>60</v>
      </c>
      <c r="C61" s="90">
        <v>2215584.4</v>
      </c>
      <c r="D61" s="90">
        <v>2551355.4</v>
      </c>
      <c r="E61" s="90">
        <v>2758813.1</v>
      </c>
      <c r="F61" s="90">
        <v>3121401.3</v>
      </c>
      <c r="G61" s="90">
        <v>2870284</v>
      </c>
      <c r="H61" s="90">
        <v>3301573.3</v>
      </c>
      <c r="I61" s="90">
        <v>4112596</v>
      </c>
      <c r="J61" s="90">
        <v>4625467.5</v>
      </c>
      <c r="K61" s="90">
        <v>4950207.4000000004</v>
      </c>
      <c r="L61" s="90">
        <v>5295348.5</v>
      </c>
      <c r="M61" s="90">
        <v>5851557.7999999998</v>
      </c>
      <c r="N61" s="90">
        <v>6009561.2999999998</v>
      </c>
      <c r="O61" s="90">
        <v>6975211.9000000004</v>
      </c>
      <c r="P61" s="90">
        <v>8790443.4000000004</v>
      </c>
      <c r="Q61" s="170">
        <v>8919088.8000000007</v>
      </c>
      <c r="R61" s="49">
        <f t="shared" si="0"/>
        <v>9983955.870000124</v>
      </c>
    </row>
    <row r="62" spans="1:18" ht="15.75" x14ac:dyDescent="0.25">
      <c r="A62" s="84">
        <v>61</v>
      </c>
      <c r="B62" s="84" t="s">
        <v>61</v>
      </c>
      <c r="C62" s="84">
        <v>349957.2</v>
      </c>
      <c r="D62" s="90">
        <v>446918</v>
      </c>
      <c r="E62" s="90">
        <v>575643.69999999995</v>
      </c>
      <c r="F62" s="90">
        <v>664492.69999999995</v>
      </c>
      <c r="G62" s="90">
        <v>556985.30000000005</v>
      </c>
      <c r="H62" s="90">
        <v>652865.5</v>
      </c>
      <c r="I62" s="90">
        <v>774401</v>
      </c>
      <c r="J62" s="90">
        <v>841972.3</v>
      </c>
      <c r="K62" s="90">
        <v>882339.6</v>
      </c>
      <c r="L62" s="90">
        <v>993900.6</v>
      </c>
      <c r="M62" s="90">
        <v>1209242.7</v>
      </c>
      <c r="N62" s="90">
        <v>1271133.1000000001</v>
      </c>
      <c r="O62" s="90">
        <v>1353119.5</v>
      </c>
      <c r="P62" s="90">
        <v>1473727.8</v>
      </c>
      <c r="Q62" s="170">
        <v>1545582.5</v>
      </c>
      <c r="R62" s="49">
        <f t="shared" si="0"/>
        <v>1633143.4100000262</v>
      </c>
    </row>
    <row r="63" spans="1:18" ht="15.75" x14ac:dyDescent="0.25">
      <c r="A63" s="84">
        <v>62</v>
      </c>
      <c r="B63" s="84" t="s">
        <v>62</v>
      </c>
      <c r="C63" s="84">
        <v>8805.7999999999993</v>
      </c>
      <c r="D63" s="90">
        <v>11609.4</v>
      </c>
      <c r="E63" s="90">
        <v>15108.5</v>
      </c>
      <c r="F63" s="90">
        <v>18701</v>
      </c>
      <c r="G63" s="90">
        <v>19911.599999999999</v>
      </c>
      <c r="H63" s="90">
        <v>22393.7</v>
      </c>
      <c r="I63" s="90">
        <v>26380.799999999999</v>
      </c>
      <c r="J63" s="90">
        <v>30444.6</v>
      </c>
      <c r="K63" s="90">
        <v>33313.5</v>
      </c>
      <c r="L63" s="90">
        <v>39191.9</v>
      </c>
      <c r="M63" s="90">
        <v>42165.7</v>
      </c>
      <c r="N63" s="90">
        <v>44264.7</v>
      </c>
      <c r="O63" s="90">
        <v>44897.9</v>
      </c>
      <c r="P63" s="90">
        <v>50566.8</v>
      </c>
      <c r="Q63" s="170">
        <v>58976.800000000003</v>
      </c>
      <c r="R63" s="49">
        <f t="shared" si="0"/>
        <v>60151.669999999925</v>
      </c>
    </row>
    <row r="64" spans="1:18" ht="15.75" x14ac:dyDescent="0.25">
      <c r="A64" s="84">
        <v>63</v>
      </c>
      <c r="B64" s="84" t="s">
        <v>63</v>
      </c>
      <c r="C64" s="84">
        <v>74912.899999999994</v>
      </c>
      <c r="D64" s="90">
        <v>91712.4</v>
      </c>
      <c r="E64" s="90">
        <v>107442</v>
      </c>
      <c r="F64" s="90">
        <v>124738.5</v>
      </c>
      <c r="G64" s="90">
        <v>121187.7</v>
      </c>
      <c r="H64" s="90">
        <v>133525.6</v>
      </c>
      <c r="I64" s="90">
        <v>153624.1</v>
      </c>
      <c r="J64" s="90">
        <v>164737.79999999999</v>
      </c>
      <c r="K64" s="90">
        <v>176888.9</v>
      </c>
      <c r="L64" s="90">
        <v>186492.9</v>
      </c>
      <c r="M64" s="90">
        <v>202823.4</v>
      </c>
      <c r="N64" s="90">
        <v>198230.1</v>
      </c>
      <c r="O64" s="90">
        <v>201614.7</v>
      </c>
      <c r="P64" s="90">
        <v>226134.7</v>
      </c>
      <c r="Q64" s="170">
        <v>285832.2</v>
      </c>
      <c r="R64" s="49">
        <f t="shared" si="0"/>
        <v>281103.68000000715</v>
      </c>
    </row>
    <row r="65" spans="1:18" ht="15.75" x14ac:dyDescent="0.25">
      <c r="A65" s="84">
        <v>64</v>
      </c>
      <c r="B65" s="84" t="s">
        <v>64</v>
      </c>
      <c r="C65" s="84">
        <v>11662.5</v>
      </c>
      <c r="D65" s="90">
        <v>15146.8</v>
      </c>
      <c r="E65" s="90">
        <v>19384.2</v>
      </c>
      <c r="F65" s="90">
        <v>23870.5</v>
      </c>
      <c r="G65" s="90">
        <v>26921.9</v>
      </c>
      <c r="H65" s="90">
        <v>30772.799999999999</v>
      </c>
      <c r="I65" s="90">
        <v>33398.9</v>
      </c>
      <c r="J65" s="90">
        <v>37369.1</v>
      </c>
      <c r="K65" s="90">
        <v>41298.699999999997</v>
      </c>
      <c r="L65" s="90">
        <v>45947.9</v>
      </c>
      <c r="M65" s="90">
        <v>47289.599999999999</v>
      </c>
      <c r="N65" s="90">
        <v>52769.4</v>
      </c>
      <c r="O65" s="90">
        <v>59446.3</v>
      </c>
      <c r="P65" s="90">
        <v>68774</v>
      </c>
      <c r="Q65" s="170">
        <v>79211.5</v>
      </c>
      <c r="R65" s="49">
        <f t="shared" si="0"/>
        <v>85452.679999999702</v>
      </c>
    </row>
    <row r="66" spans="1:18" ht="15.75" x14ac:dyDescent="0.25">
      <c r="A66" s="84">
        <v>65</v>
      </c>
      <c r="B66" s="84" t="s">
        <v>65</v>
      </c>
      <c r="C66" s="84">
        <v>41727.5</v>
      </c>
      <c r="D66" s="90">
        <v>53689.3</v>
      </c>
      <c r="E66" s="90">
        <v>63722</v>
      </c>
      <c r="F66" s="90">
        <v>72308.800000000003</v>
      </c>
      <c r="G66" s="90">
        <v>81019.899999999994</v>
      </c>
      <c r="H66" s="90">
        <v>96039.8</v>
      </c>
      <c r="I66" s="90">
        <v>113088.1</v>
      </c>
      <c r="J66" s="90">
        <v>130638.5</v>
      </c>
      <c r="K66" s="90">
        <v>141850.5</v>
      </c>
      <c r="L66" s="90">
        <v>158372.79999999999</v>
      </c>
      <c r="M66" s="90">
        <v>170413.1</v>
      </c>
      <c r="N66" s="90">
        <v>196321.7</v>
      </c>
      <c r="O66" s="90">
        <v>207531.3</v>
      </c>
      <c r="P66" s="90">
        <v>235310.9</v>
      </c>
      <c r="Q66" s="170">
        <v>256250.8</v>
      </c>
      <c r="R66" s="49">
        <f t="shared" si="0"/>
        <v>276364.93999999762</v>
      </c>
    </row>
    <row r="67" spans="1:18" ht="15.75" x14ac:dyDescent="0.25">
      <c r="A67" s="84">
        <v>66</v>
      </c>
      <c r="B67" s="84" t="s">
        <v>66</v>
      </c>
      <c r="C67" s="84">
        <v>135686.39999999999</v>
      </c>
      <c r="D67" s="90">
        <v>173810.5</v>
      </c>
      <c r="E67" s="90">
        <v>223563.4</v>
      </c>
      <c r="F67" s="90">
        <v>259343.1</v>
      </c>
      <c r="G67" s="90">
        <v>265613.3</v>
      </c>
      <c r="H67" s="90">
        <v>302900.7</v>
      </c>
      <c r="I67" s="90">
        <v>332117.8</v>
      </c>
      <c r="J67" s="90">
        <v>368995.2</v>
      </c>
      <c r="K67" s="90">
        <v>416110.3</v>
      </c>
      <c r="L67" s="90">
        <v>446023.8</v>
      </c>
      <c r="M67" s="90">
        <v>487903.3</v>
      </c>
      <c r="N67" s="90">
        <v>501889.3</v>
      </c>
      <c r="O67" s="90">
        <v>513463.9</v>
      </c>
      <c r="P67" s="90">
        <v>549972.9</v>
      </c>
      <c r="Q67" s="170">
        <v>630813.80000000005</v>
      </c>
      <c r="R67" s="49">
        <f t="shared" ref="R67:R83" si="1">FORECAST($R$1,M67:Q67,$M$1:$Q$1)</f>
        <v>636980.02000001073</v>
      </c>
    </row>
    <row r="68" spans="1:18" ht="15.75" x14ac:dyDescent="0.25">
      <c r="A68" s="84">
        <v>67</v>
      </c>
      <c r="B68" s="84" t="s">
        <v>73</v>
      </c>
      <c r="C68" s="84">
        <v>69647.100000000006</v>
      </c>
      <c r="D68" s="90">
        <v>90732.1</v>
      </c>
      <c r="E68" s="90">
        <v>110822.39999999999</v>
      </c>
      <c r="F68" s="90">
        <v>140302</v>
      </c>
      <c r="G68" s="90">
        <v>148587.9</v>
      </c>
      <c r="H68" s="90">
        <v>166742.5</v>
      </c>
      <c r="I68" s="90">
        <v>203869</v>
      </c>
      <c r="J68" s="90">
        <v>223968.8</v>
      </c>
      <c r="K68" s="90">
        <v>229239.4</v>
      </c>
      <c r="L68" s="90">
        <v>234840.8</v>
      </c>
      <c r="M68" s="90">
        <v>247666.2</v>
      </c>
      <c r="N68" s="90">
        <v>277100.5</v>
      </c>
      <c r="O68" s="90">
        <v>301050.5</v>
      </c>
      <c r="P68" s="90">
        <v>326865.7</v>
      </c>
      <c r="Q68" s="170">
        <v>364555.6</v>
      </c>
      <c r="R68" s="49">
        <f t="shared" si="1"/>
        <v>388510.89999999851</v>
      </c>
    </row>
    <row r="69" spans="1:18" ht="15.75" x14ac:dyDescent="0.25">
      <c r="A69" s="84">
        <v>68</v>
      </c>
      <c r="B69" s="84" t="s">
        <v>67</v>
      </c>
      <c r="C69" s="90">
        <v>439736.9</v>
      </c>
      <c r="D69" s="90">
        <v>585881.9</v>
      </c>
      <c r="E69" s="90">
        <v>734154.8</v>
      </c>
      <c r="F69" s="90">
        <v>737950.5</v>
      </c>
      <c r="G69" s="90">
        <v>749194.8</v>
      </c>
      <c r="H69" s="90">
        <v>1055525</v>
      </c>
      <c r="I69" s="90">
        <v>1170827.3</v>
      </c>
      <c r="J69" s="90">
        <v>1183228</v>
      </c>
      <c r="K69" s="90">
        <v>1256934.1000000001</v>
      </c>
      <c r="L69" s="90">
        <v>1410719.9</v>
      </c>
      <c r="M69" s="90">
        <v>1667041.1</v>
      </c>
      <c r="N69" s="90">
        <v>1745743.2</v>
      </c>
      <c r="O69" s="90">
        <v>1899226</v>
      </c>
      <c r="P69" s="90">
        <v>2280025.9</v>
      </c>
      <c r="Q69" s="170">
        <v>2692239.2</v>
      </c>
      <c r="R69" s="49">
        <f t="shared" si="1"/>
        <v>2832258.7499999404</v>
      </c>
    </row>
    <row r="70" spans="1:18" ht="15.75" x14ac:dyDescent="0.25">
      <c r="A70" s="84">
        <v>69</v>
      </c>
      <c r="B70" s="84" t="s">
        <v>68</v>
      </c>
      <c r="C70" s="90">
        <v>258095.5</v>
      </c>
      <c r="D70" s="90">
        <v>330834.3</v>
      </c>
      <c r="E70" s="90">
        <v>402654.7</v>
      </c>
      <c r="F70" s="90">
        <v>438852.4</v>
      </c>
      <c r="G70" s="90">
        <v>458774.9</v>
      </c>
      <c r="H70" s="90">
        <v>546141</v>
      </c>
      <c r="I70" s="90">
        <v>634561.4</v>
      </c>
      <c r="J70" s="90">
        <v>737971.6</v>
      </c>
      <c r="K70" s="90">
        <v>805197.5</v>
      </c>
      <c r="L70" s="90">
        <v>916317.5</v>
      </c>
      <c r="M70" s="90">
        <v>1001717.6</v>
      </c>
      <c r="N70" s="90">
        <v>1066420.7</v>
      </c>
      <c r="O70" s="90">
        <v>1194672.3999999999</v>
      </c>
      <c r="P70" s="90">
        <v>1392934.8</v>
      </c>
      <c r="Q70" s="170">
        <v>1545680.6</v>
      </c>
      <c r="R70" s="49">
        <f t="shared" si="1"/>
        <v>1664617.2500000596</v>
      </c>
    </row>
    <row r="71" spans="1:18" ht="15.75" x14ac:dyDescent="0.25">
      <c r="A71" s="84">
        <v>70</v>
      </c>
      <c r="B71" s="84" t="s">
        <v>69</v>
      </c>
      <c r="C71" s="90">
        <v>295378.40000000002</v>
      </c>
      <c r="D71" s="90">
        <v>342210.6</v>
      </c>
      <c r="E71" s="90">
        <v>437790.2</v>
      </c>
      <c r="F71" s="90">
        <v>575901.9</v>
      </c>
      <c r="G71" s="90">
        <v>512408</v>
      </c>
      <c r="H71" s="90">
        <v>625914.9</v>
      </c>
      <c r="I71" s="90">
        <v>751198.4</v>
      </c>
      <c r="J71" s="90">
        <v>718320.4</v>
      </c>
      <c r="K71" s="90">
        <v>667950.5</v>
      </c>
      <c r="L71" s="90">
        <v>752024</v>
      </c>
      <c r="M71" s="90">
        <v>843345.4</v>
      </c>
      <c r="N71" s="90">
        <v>865325.3</v>
      </c>
      <c r="O71" s="90">
        <v>1058430.3999999999</v>
      </c>
      <c r="P71" s="90">
        <v>1241598.6000000001</v>
      </c>
      <c r="Q71" s="170">
        <v>1110415.1000000001</v>
      </c>
      <c r="R71" s="49">
        <f t="shared" si="1"/>
        <v>1296946.7700000107</v>
      </c>
    </row>
    <row r="72" spans="1:18" ht="15.75" x14ac:dyDescent="0.25">
      <c r="A72" s="84">
        <v>71</v>
      </c>
      <c r="B72" s="84" t="s">
        <v>70</v>
      </c>
      <c r="C72" s="90">
        <v>235381.8</v>
      </c>
      <c r="D72" s="90">
        <v>296064.5</v>
      </c>
      <c r="E72" s="90">
        <v>365531.2</v>
      </c>
      <c r="F72" s="90">
        <v>453574.6</v>
      </c>
      <c r="G72" s="90">
        <v>425400.2</v>
      </c>
      <c r="H72" s="90">
        <v>484141.3</v>
      </c>
      <c r="I72" s="90">
        <v>598563.5</v>
      </c>
      <c r="J72" s="90">
        <v>728154</v>
      </c>
      <c r="K72" s="90">
        <v>817516.7</v>
      </c>
      <c r="L72" s="90">
        <v>911219</v>
      </c>
      <c r="M72" s="90">
        <v>1021642.9</v>
      </c>
      <c r="N72" s="90">
        <v>1046879</v>
      </c>
      <c r="O72" s="90">
        <v>1148427.6000000001</v>
      </c>
      <c r="P72" s="90">
        <v>1252258.7</v>
      </c>
      <c r="Q72" s="170">
        <v>1409192</v>
      </c>
      <c r="R72" s="49">
        <f t="shared" si="1"/>
        <v>1469823.4099999964</v>
      </c>
    </row>
    <row r="73" spans="1:18" ht="15.75" x14ac:dyDescent="0.25">
      <c r="A73" s="84">
        <v>72</v>
      </c>
      <c r="B73" s="84" t="s">
        <v>71</v>
      </c>
      <c r="C73" s="90">
        <v>220686.1</v>
      </c>
      <c r="D73" s="90">
        <v>262506.7</v>
      </c>
      <c r="E73" s="90">
        <v>296004.7</v>
      </c>
      <c r="F73" s="90">
        <v>347760.3</v>
      </c>
      <c r="G73" s="90">
        <v>336259.6</v>
      </c>
      <c r="H73" s="90">
        <v>382620.4</v>
      </c>
      <c r="I73" s="90">
        <v>451418.8</v>
      </c>
      <c r="J73" s="90">
        <v>491507.6</v>
      </c>
      <c r="K73" s="90">
        <v>551734</v>
      </c>
      <c r="L73" s="90">
        <v>602605.1</v>
      </c>
      <c r="M73" s="90">
        <v>618127.69999999995</v>
      </c>
      <c r="N73" s="90">
        <v>621502.80000000005</v>
      </c>
      <c r="O73" s="90">
        <v>650308.69999999995</v>
      </c>
      <c r="P73" s="90">
        <v>681619.5</v>
      </c>
      <c r="Q73" s="170">
        <v>772954.7</v>
      </c>
      <c r="R73" s="49">
        <f t="shared" si="1"/>
        <v>779833.8900000155</v>
      </c>
    </row>
    <row r="74" spans="1:18" ht="15.75" x14ac:dyDescent="0.25">
      <c r="A74" s="84">
        <v>73</v>
      </c>
      <c r="B74" s="84" t="s">
        <v>72</v>
      </c>
      <c r="C74" s="90">
        <v>159578.5</v>
      </c>
      <c r="D74" s="90">
        <v>188800.7</v>
      </c>
      <c r="E74" s="90">
        <v>214487</v>
      </c>
      <c r="F74" s="90">
        <v>248906.2</v>
      </c>
      <c r="G74" s="90">
        <v>245808.3</v>
      </c>
      <c r="H74" s="90">
        <v>284676.7</v>
      </c>
      <c r="I74" s="90">
        <v>333885.7</v>
      </c>
      <c r="J74" s="90">
        <v>371472.9</v>
      </c>
      <c r="K74" s="90">
        <v>402562.1</v>
      </c>
      <c r="L74" s="90">
        <v>430266.8</v>
      </c>
      <c r="M74" s="90">
        <v>471456.7</v>
      </c>
      <c r="N74" s="90">
        <v>480156.3</v>
      </c>
      <c r="O74" s="90">
        <v>510949.9</v>
      </c>
      <c r="P74" s="90">
        <v>579363.4</v>
      </c>
      <c r="Q74" s="170">
        <v>622805.30000000005</v>
      </c>
      <c r="R74" s="49">
        <f t="shared" si="1"/>
        <v>653517.6099999845</v>
      </c>
    </row>
    <row r="75" spans="1:18" ht="15.75" x14ac:dyDescent="0.25">
      <c r="A75" s="84">
        <v>74</v>
      </c>
      <c r="B75" s="84" t="s">
        <v>74</v>
      </c>
      <c r="C75" s="84">
        <v>183027</v>
      </c>
      <c r="D75" s="90">
        <v>206845</v>
      </c>
      <c r="E75" s="90">
        <v>242656.5</v>
      </c>
      <c r="F75" s="90">
        <v>309518.3</v>
      </c>
      <c r="G75" s="90">
        <v>328201.7</v>
      </c>
      <c r="H75" s="90">
        <v>386825.1</v>
      </c>
      <c r="I75" s="90">
        <v>486830.9</v>
      </c>
      <c r="J75" s="90">
        <v>541306.80000000005</v>
      </c>
      <c r="K75" s="90">
        <v>570284.69999999995</v>
      </c>
      <c r="L75" s="90">
        <v>658140.4</v>
      </c>
      <c r="M75" s="90">
        <v>747601.7</v>
      </c>
      <c r="N75" s="90">
        <v>862694.6</v>
      </c>
      <c r="O75" s="90">
        <v>916684.5</v>
      </c>
      <c r="P75" s="90">
        <v>1084556.2</v>
      </c>
      <c r="Q75" s="170">
        <v>1220319.8</v>
      </c>
      <c r="R75" s="49">
        <f t="shared" si="1"/>
        <v>1316560.7000000179</v>
      </c>
    </row>
    <row r="76" spans="1:18" ht="15.75" x14ac:dyDescent="0.25">
      <c r="A76" s="84">
        <v>75</v>
      </c>
      <c r="B76" s="84" t="s">
        <v>75</v>
      </c>
      <c r="C76" s="90">
        <v>43974.3</v>
      </c>
      <c r="D76" s="90">
        <v>56119.8</v>
      </c>
      <c r="E76" s="90">
        <v>66076.800000000003</v>
      </c>
      <c r="F76" s="90">
        <v>77854.3</v>
      </c>
      <c r="G76" s="90">
        <v>94643.199999999997</v>
      </c>
      <c r="H76" s="90">
        <v>103123.2</v>
      </c>
      <c r="I76" s="90">
        <v>114375.9</v>
      </c>
      <c r="J76" s="90">
        <v>127412.7</v>
      </c>
      <c r="K76" s="90">
        <v>133364</v>
      </c>
      <c r="L76" s="90">
        <v>145761.29999999999</v>
      </c>
      <c r="M76" s="90">
        <v>175404.79999999999</v>
      </c>
      <c r="N76" s="90">
        <v>197067.5</v>
      </c>
      <c r="O76" s="90">
        <v>201967.9</v>
      </c>
      <c r="P76" s="90">
        <v>236483.5</v>
      </c>
      <c r="Q76" s="170">
        <v>279672.7</v>
      </c>
      <c r="R76" s="49">
        <f t="shared" si="1"/>
        <v>292504.8200000003</v>
      </c>
    </row>
    <row r="77" spans="1:18" ht="15.75" x14ac:dyDescent="0.25">
      <c r="A77" s="84">
        <v>76</v>
      </c>
      <c r="B77" s="84" t="s">
        <v>76</v>
      </c>
      <c r="C77" s="90">
        <v>186623.3</v>
      </c>
      <c r="D77" s="90">
        <v>215934.4</v>
      </c>
      <c r="E77" s="90">
        <v>259041.4</v>
      </c>
      <c r="F77" s="90">
        <v>316581.90000000002</v>
      </c>
      <c r="G77" s="90">
        <v>368996.7</v>
      </c>
      <c r="H77" s="90">
        <v>470679.2</v>
      </c>
      <c r="I77" s="90">
        <v>549722.80000000005</v>
      </c>
      <c r="J77" s="90">
        <v>557489.30000000005</v>
      </c>
      <c r="K77" s="90">
        <v>577473.9</v>
      </c>
      <c r="L77" s="90">
        <v>642423</v>
      </c>
      <c r="M77" s="90">
        <v>717609.9</v>
      </c>
      <c r="N77" s="90">
        <v>739244.3</v>
      </c>
      <c r="O77" s="90">
        <v>776336.7</v>
      </c>
      <c r="P77" s="90">
        <v>834023.4</v>
      </c>
      <c r="Q77" s="170">
        <v>1066724.7</v>
      </c>
      <c r="R77" s="49">
        <f t="shared" si="1"/>
        <v>1064690.4099999964</v>
      </c>
    </row>
    <row r="78" spans="1:18" ht="15.75" x14ac:dyDescent="0.25">
      <c r="A78" s="84">
        <v>77</v>
      </c>
      <c r="B78" s="84" t="s">
        <v>77</v>
      </c>
      <c r="C78" s="90">
        <v>161194.4</v>
      </c>
      <c r="D78" s="90">
        <v>194259.6</v>
      </c>
      <c r="E78" s="90">
        <v>231293.2</v>
      </c>
      <c r="F78" s="90">
        <v>269178.59999999998</v>
      </c>
      <c r="G78" s="90">
        <v>276895.40000000002</v>
      </c>
      <c r="H78" s="90">
        <v>353590.3</v>
      </c>
      <c r="I78" s="90">
        <v>399594.2</v>
      </c>
      <c r="J78" s="90">
        <v>437994.3</v>
      </c>
      <c r="K78" s="90">
        <v>498067.20000000001</v>
      </c>
      <c r="L78" s="90">
        <v>539338.4</v>
      </c>
      <c r="M78" s="90">
        <v>595792.30000000005</v>
      </c>
      <c r="N78" s="90">
        <v>627406.5</v>
      </c>
      <c r="O78" s="90">
        <v>648395.1</v>
      </c>
      <c r="P78" s="90">
        <v>710639.6</v>
      </c>
      <c r="Q78" s="170">
        <v>802972.2</v>
      </c>
      <c r="R78" s="49">
        <f t="shared" si="1"/>
        <v>826319.00999999046</v>
      </c>
    </row>
    <row r="79" spans="1:18" ht="15.75" x14ac:dyDescent="0.25">
      <c r="A79" s="84">
        <v>78</v>
      </c>
      <c r="B79" s="84" t="s">
        <v>78</v>
      </c>
      <c r="C79" s="90">
        <v>76861.2</v>
      </c>
      <c r="D79" s="90">
        <v>95090.9</v>
      </c>
      <c r="E79" s="90">
        <v>111761.2</v>
      </c>
      <c r="F79" s="90">
        <v>131563.70000000001</v>
      </c>
      <c r="G79" s="90">
        <v>151118.6</v>
      </c>
      <c r="H79" s="90">
        <v>178689.6</v>
      </c>
      <c r="I79" s="90">
        <v>225401.7</v>
      </c>
      <c r="J79" s="90">
        <v>229407.1</v>
      </c>
      <c r="K79" s="90">
        <v>210700.9</v>
      </c>
      <c r="L79" s="90">
        <v>232053</v>
      </c>
      <c r="M79" s="90">
        <v>277380.5</v>
      </c>
      <c r="N79" s="90">
        <v>271096.5</v>
      </c>
      <c r="O79" s="90">
        <v>270474.3</v>
      </c>
      <c r="P79" s="90">
        <v>301069.40000000002</v>
      </c>
      <c r="Q79" s="170">
        <v>412481.1</v>
      </c>
      <c r="R79" s="49">
        <f t="shared" si="1"/>
        <v>396552.59000000358</v>
      </c>
    </row>
    <row r="80" spans="1:18" ht="15.75" x14ac:dyDescent="0.25">
      <c r="A80" s="84">
        <v>79</v>
      </c>
      <c r="B80" s="84" t="s">
        <v>79</v>
      </c>
      <c r="C80" s="90">
        <v>27167.8</v>
      </c>
      <c r="D80" s="90">
        <v>31203.200000000001</v>
      </c>
      <c r="E80" s="90">
        <v>35314.400000000001</v>
      </c>
      <c r="F80" s="90">
        <v>42053.8</v>
      </c>
      <c r="G80" s="90">
        <v>47895.9</v>
      </c>
      <c r="H80" s="90">
        <v>59619.7</v>
      </c>
      <c r="I80" s="90">
        <v>72174.2</v>
      </c>
      <c r="J80" s="90">
        <v>78417.899999999994</v>
      </c>
      <c r="K80" s="90">
        <v>88905.9</v>
      </c>
      <c r="L80" s="90">
        <v>96936.8</v>
      </c>
      <c r="M80" s="90">
        <v>125798.3</v>
      </c>
      <c r="N80" s="90">
        <v>148387.20000000001</v>
      </c>
      <c r="O80" s="90">
        <v>156829.9</v>
      </c>
      <c r="P80" s="90">
        <v>170723.4</v>
      </c>
      <c r="Q80" s="170">
        <v>213579.8</v>
      </c>
      <c r="R80" s="49">
        <f t="shared" si="1"/>
        <v>222433.48000000417</v>
      </c>
    </row>
    <row r="81" spans="1:18" ht="15.75" x14ac:dyDescent="0.25">
      <c r="A81" s="84">
        <v>80</v>
      </c>
      <c r="B81" s="84" t="s">
        <v>80</v>
      </c>
      <c r="C81" s="90">
        <v>121014.1</v>
      </c>
      <c r="D81" s="90">
        <v>166105.4</v>
      </c>
      <c r="E81" s="90">
        <v>286273</v>
      </c>
      <c r="F81" s="90">
        <v>333581.59999999998</v>
      </c>
      <c r="G81" s="90">
        <v>392380.1</v>
      </c>
      <c r="H81" s="90">
        <v>487659.5</v>
      </c>
      <c r="I81" s="90">
        <v>600247.9</v>
      </c>
      <c r="J81" s="90">
        <v>641886.4</v>
      </c>
      <c r="K81" s="90">
        <v>671743.6</v>
      </c>
      <c r="L81" s="90">
        <v>799165.4</v>
      </c>
      <c r="M81" s="90">
        <v>837495.2</v>
      </c>
      <c r="N81" s="90">
        <v>748695.8</v>
      </c>
      <c r="O81" s="90">
        <v>769248.7</v>
      </c>
      <c r="P81" s="90">
        <v>1179668.7</v>
      </c>
      <c r="Q81" s="170">
        <v>1173894.8</v>
      </c>
      <c r="R81" s="49">
        <f t="shared" si="1"/>
        <v>1272932.2699999809</v>
      </c>
    </row>
    <row r="82" spans="1:18" ht="15.75" x14ac:dyDescent="0.25">
      <c r="A82" s="84">
        <v>81</v>
      </c>
      <c r="B82" s="84" t="s">
        <v>81</v>
      </c>
      <c r="C82" s="90">
        <v>14204.2</v>
      </c>
      <c r="D82" s="90">
        <v>17976.8</v>
      </c>
      <c r="E82" s="90">
        <v>23726.1</v>
      </c>
      <c r="F82" s="90">
        <v>23977</v>
      </c>
      <c r="G82" s="90">
        <v>25320</v>
      </c>
      <c r="H82" s="90">
        <v>31555.9</v>
      </c>
      <c r="I82" s="90">
        <v>39467</v>
      </c>
      <c r="J82" s="90">
        <v>42743.6</v>
      </c>
      <c r="K82" s="90">
        <v>38428.699999999997</v>
      </c>
      <c r="L82" s="90">
        <v>41948.1</v>
      </c>
      <c r="M82" s="90">
        <v>44554.8</v>
      </c>
      <c r="N82" s="90">
        <v>46014.5</v>
      </c>
      <c r="O82" s="90">
        <v>52747.9</v>
      </c>
      <c r="P82" s="90">
        <v>55808.800000000003</v>
      </c>
      <c r="Q82" s="170">
        <v>56570.5</v>
      </c>
      <c r="R82" s="49">
        <f t="shared" si="1"/>
        <v>61287.009999999776</v>
      </c>
    </row>
    <row r="83" spans="1:18" ht="15.75" x14ac:dyDescent="0.25">
      <c r="A83" s="84">
        <v>82</v>
      </c>
      <c r="B83" s="84" t="s">
        <v>82</v>
      </c>
      <c r="C83" s="90">
        <v>12355.4</v>
      </c>
      <c r="D83" s="90">
        <v>15538</v>
      </c>
      <c r="E83" s="90">
        <v>20984.1</v>
      </c>
      <c r="F83" s="90">
        <v>30558.7</v>
      </c>
      <c r="G83" s="90">
        <v>45067.6</v>
      </c>
      <c r="H83" s="90">
        <v>38978.1</v>
      </c>
      <c r="I83" s="90">
        <v>44757.599999999999</v>
      </c>
      <c r="J83" s="90">
        <v>45633.9</v>
      </c>
      <c r="K83" s="90">
        <v>44466.9</v>
      </c>
      <c r="L83" s="90">
        <v>57751.3</v>
      </c>
      <c r="M83" s="90">
        <v>61735.5</v>
      </c>
      <c r="N83" s="90">
        <v>67704.800000000003</v>
      </c>
      <c r="O83" s="90">
        <v>68242.600000000006</v>
      </c>
      <c r="P83" s="90">
        <v>78143.399999999994</v>
      </c>
      <c r="Q83" s="170">
        <v>94884.3</v>
      </c>
      <c r="R83" s="49">
        <f t="shared" si="1"/>
        <v>97162.980000000447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 tint="0.59999389629810485"/>
  </sheetPr>
  <dimension ref="A1:R83"/>
  <sheetViews>
    <sheetView topLeftCell="I53" workbookViewId="0">
      <selection activeCell="R2" sqref="R2:R83"/>
    </sheetView>
  </sheetViews>
  <sheetFormatPr defaultRowHeight="15.75" x14ac:dyDescent="0.25"/>
  <cols>
    <col min="1" max="1" width="9.140625" style="80"/>
    <col min="2" max="2" width="34.7109375" style="80" customWidth="1"/>
    <col min="3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84">
        <f>'Объем  платных услуг насел'!B2/Население!C2</f>
        <v>9.0218253968253972</v>
      </c>
      <c r="D2" s="84">
        <f>'Объем  платных услуг насел'!C2/Население!D2</f>
        <v>11.521508934480476</v>
      </c>
      <c r="E2" s="84">
        <f>'Объем  платных услуг насел'!D2/Население!E2</f>
        <v>14.910832232496697</v>
      </c>
      <c r="F2" s="84">
        <f>'Объем  платных услуг насел'!E2/Население!F2</f>
        <v>20.188281764318631</v>
      </c>
      <c r="G2" s="84">
        <f>'Объем  платных услуг насел'!F2/Население!G2</f>
        <v>24.782295081967213</v>
      </c>
      <c r="H2" s="84">
        <f>'Объем  платных услуг насел'!G2/Население!H2</f>
        <v>29.005874673629243</v>
      </c>
      <c r="I2" s="84">
        <f>'Объем  платных услуг насел'!H2/Население!I2</f>
        <v>32.40625</v>
      </c>
      <c r="J2" s="84">
        <f>'Объем  платных услуг насел'!I2/Население!J2</f>
        <v>34.467878001297862</v>
      </c>
      <c r="K2" s="84">
        <f>'Объем  платных услуг насел'!J2/Население!K2</f>
        <v>41.52525906735751</v>
      </c>
      <c r="L2" s="84">
        <f>'Объем  платных услуг насел'!K2/Население!L2</f>
        <v>45.512273901808783</v>
      </c>
      <c r="M2" s="84">
        <f>'Объем  платных услуг насел'!L2/Население!M2</f>
        <v>47.995483870967739</v>
      </c>
      <c r="N2" s="84">
        <f>'Объем  платных услуг насел'!M2/Население!N2</f>
        <v>50.01738570508693</v>
      </c>
      <c r="O2" s="84">
        <f>'Объем  платных услуг насел'!N2/Население!O2</f>
        <v>52.166451612903224</v>
      </c>
      <c r="P2" s="84">
        <f>'Объем  платных услуг насел'!O2/Население!P2</f>
        <v>53.868863049095609</v>
      </c>
      <c r="Q2" s="84">
        <f>'Объем  платных услуг насел'!P2/Население!Q2</f>
        <v>56.799870884441575</v>
      </c>
      <c r="R2" s="84">
        <f>'Объем  платных услуг насел'!Q2/Население!R2</f>
        <v>56.28423101881895</v>
      </c>
    </row>
    <row r="3" spans="1:18" x14ac:dyDescent="0.25">
      <c r="A3" s="84">
        <v>2</v>
      </c>
      <c r="B3" s="84" t="s">
        <v>2</v>
      </c>
      <c r="C3" s="84">
        <f>'Объем  платных услуг насел'!B3/Население!C3</f>
        <v>10.359457422758101</v>
      </c>
      <c r="D3" s="84">
        <f>'Объем  платных услуг насел'!C3/Население!D3</f>
        <v>12.852742299023291</v>
      </c>
      <c r="E3" s="84">
        <f>'Объем  платных услуг насел'!D3/Население!E3</f>
        <v>15.664388762338648</v>
      </c>
      <c r="F3" s="84">
        <f>'Объем  платных услуг насел'!E3/Население!F3</f>
        <v>18.886936592818945</v>
      </c>
      <c r="G3" s="84">
        <f>'Объем  платных услуг насел'!F3/Население!G3</f>
        <v>20.727692307692308</v>
      </c>
      <c r="H3" s="84">
        <f>'Объем  платных услуг насел'!G3/Население!H3</f>
        <v>23.616470588235295</v>
      </c>
      <c r="I3" s="84">
        <f>'Объем  платных услуг насел'!H3/Население!I3</f>
        <v>26.997626582278482</v>
      </c>
      <c r="J3" s="84">
        <f>'Объем  платных услуг насел'!I3/Население!J3</f>
        <v>28.833333333333332</v>
      </c>
      <c r="K3" s="84">
        <f>'Объем  платных услуг насел'!J3/Население!K3</f>
        <v>32.257648953301128</v>
      </c>
      <c r="L3" s="84">
        <f>'Объем  платных услуг насел'!K3/Население!L3</f>
        <v>34.616382806163827</v>
      </c>
      <c r="M3" s="84">
        <f>'Объем  платных услуг насел'!L3/Население!M3</f>
        <v>36.76508972267537</v>
      </c>
      <c r="N3" s="84">
        <f>'Объем  платных услуг насел'!M3/Население!N3</f>
        <v>38.828828828828826</v>
      </c>
      <c r="O3" s="84">
        <f>'Объем  платных услуг насел'!N3/Население!O3</f>
        <v>41.198183319570603</v>
      </c>
      <c r="P3" s="84">
        <f>'Объем  платных услуг насел'!O3/Население!P3</f>
        <v>44.299166666666665</v>
      </c>
      <c r="Q3" s="84">
        <f>'Объем  платных услуг насел'!P3/Население!Q3</f>
        <v>47.03772003352892</v>
      </c>
      <c r="R3" s="84">
        <f>'Объем  платных услуг насел'!Q3/Население!R3</f>
        <v>44.183431952662723</v>
      </c>
    </row>
    <row r="4" spans="1:18" x14ac:dyDescent="0.25">
      <c r="A4" s="84">
        <v>3</v>
      </c>
      <c r="B4" s="84" t="s">
        <v>3</v>
      </c>
      <c r="C4" s="84">
        <f>'Объем  платных услуг насел'!B4/Население!C4</f>
        <v>9.4158815612382227</v>
      </c>
      <c r="D4" s="84">
        <f>'Объем  платных услуг насел'!C4/Население!D4</f>
        <v>12.107942973523421</v>
      </c>
      <c r="E4" s="84">
        <f>'Объем  платных услуг насел'!D4/Население!E4</f>
        <v>15.501713502398903</v>
      </c>
      <c r="F4" s="84">
        <f>'Объем  платных услуг насел'!E4/Население!F4</f>
        <v>18.679089026915115</v>
      </c>
      <c r="G4" s="84">
        <f>'Объем  платных услуг насел'!F4/Население!G4</f>
        <v>23.260416666666668</v>
      </c>
      <c r="H4" s="84">
        <f>'Объем  платных услуг насел'!G4/Население!H4</f>
        <v>26.911866759195004</v>
      </c>
      <c r="I4" s="84">
        <f>'Объем  платных услуг насел'!H4/Население!I4</f>
        <v>30.386871508379887</v>
      </c>
      <c r="J4" s="84">
        <f>'Объем  платных услуг насел'!I4/Население!J4</f>
        <v>34.763009845288323</v>
      </c>
      <c r="K4" s="84">
        <f>'Объем  платных услуг насел'!J4/Население!K4</f>
        <v>42.304317055909415</v>
      </c>
      <c r="L4" s="84">
        <f>'Объем  платных услуг насел'!K4/Население!L4</f>
        <v>45.527027027027025</v>
      </c>
      <c r="M4" s="84">
        <f>'Объем  платных услуг насел'!L4/Население!M4</f>
        <v>47.894774516821762</v>
      </c>
      <c r="N4" s="84">
        <f>'Объем  платных услуг насел'!M4/Население!N4</f>
        <v>48.126618705035973</v>
      </c>
      <c r="O4" s="84">
        <f>'Объем  платных услуг насел'!N4/Население!O4</f>
        <v>49.883164005805519</v>
      </c>
      <c r="P4" s="84">
        <f>'Объем  платных услуг насел'!O4/Население!P4</f>
        <v>51.109809663250367</v>
      </c>
      <c r="Q4" s="84">
        <f>'Объем  платных услуг насел'!P4/Население!Q4</f>
        <v>53.118556701030926</v>
      </c>
      <c r="R4" s="84">
        <f>'Объем  платных услуг насел'!Q4/Население!R4</f>
        <v>50.707898658718328</v>
      </c>
    </row>
    <row r="5" spans="1:18" x14ac:dyDescent="0.25">
      <c r="A5" s="84">
        <v>4</v>
      </c>
      <c r="B5" s="84" t="s">
        <v>4</v>
      </c>
      <c r="C5" s="84">
        <f>'Объем  платных услуг насел'!B5/Население!C5</f>
        <v>8.9402795425667083</v>
      </c>
      <c r="D5" s="84">
        <f>'Объем  платных услуг насел'!C5/Население!D5</f>
        <v>11.524200518582541</v>
      </c>
      <c r="E5" s="84">
        <f>'Объем  платных услуг насел'!D5/Население!E5</f>
        <v>14.16644880174292</v>
      </c>
      <c r="F5" s="84">
        <f>'Объем  платных услуг насел'!E5/Население!F5</f>
        <v>17.428508771929824</v>
      </c>
      <c r="G5" s="84">
        <f>'Объем  платных услуг насел'!F5/Население!G5</f>
        <v>21.366960352422907</v>
      </c>
      <c r="H5" s="84">
        <f>'Объем  платных услуг насел'!G5/Население!H5</f>
        <v>25.432976445396147</v>
      </c>
      <c r="I5" s="84">
        <f>'Объем  платных услуг насел'!H5/Население!I5</f>
        <v>29.374785591766724</v>
      </c>
      <c r="J5" s="84">
        <f>'Объем  платных услуг насел'!I5/Население!J5</f>
        <v>33.238197424892704</v>
      </c>
      <c r="K5" s="84">
        <f>'Объем  платных услуг насел'!J5/Население!K5</f>
        <v>39.050236152855305</v>
      </c>
      <c r="L5" s="84">
        <f>'Объем  платных услуг насел'!K5/Население!L5</f>
        <v>42.712998712998711</v>
      </c>
      <c r="M5" s="84">
        <f>'Объем  платных услуг насел'!L5/Население!M5</f>
        <v>47.320617231033005</v>
      </c>
      <c r="N5" s="84">
        <f>'Объем  платных услуг насел'!M5/Население!N5</f>
        <v>50.637259100642396</v>
      </c>
      <c r="O5" s="84">
        <f>'Объем  платных услуг насел'!N5/Население!O5</f>
        <v>53.500214316330904</v>
      </c>
      <c r="P5" s="84">
        <f>'Объем  платных услуг насел'!O5/Население!P5</f>
        <v>55.442439862542955</v>
      </c>
      <c r="Q5" s="84">
        <f>'Объем  платных услуг насел'!P5/Население!Q5</f>
        <v>57.835628227194491</v>
      </c>
      <c r="R5" s="84">
        <f>'Объем  платных услуг насел'!Q5/Население!R5</f>
        <v>50.149609713790113</v>
      </c>
    </row>
    <row r="6" spans="1:18" x14ac:dyDescent="0.25">
      <c r="A6" s="84">
        <v>5</v>
      </c>
      <c r="B6" s="84" t="s">
        <v>5</v>
      </c>
      <c r="C6" s="84">
        <f>'Объем  платных услуг насел'!B6/Население!C6</f>
        <v>9.0653357531760435</v>
      </c>
      <c r="D6" s="84">
        <f>'Объем  платных услуг насел'!C6/Население!D6</f>
        <v>10.674545454545454</v>
      </c>
      <c r="E6" s="84">
        <f>'Объем  платных услуг насел'!D6/Население!E6</f>
        <v>13.189338235294118</v>
      </c>
      <c r="F6" s="84">
        <f>'Объем  платных услуг насел'!E6/Население!F6</f>
        <v>15.569444444444445</v>
      </c>
      <c r="G6" s="84">
        <f>'Объем  платных услуг насел'!F6/Население!G6</f>
        <v>18.342031686859272</v>
      </c>
      <c r="H6" s="84">
        <f>'Объем  платных услуг насел'!G6/Население!H6</f>
        <v>21.728301886792451</v>
      </c>
      <c r="I6" s="84">
        <f>'Объем  платных услуг насел'!H6/Население!I6</f>
        <v>24.891840607210625</v>
      </c>
      <c r="J6" s="84">
        <f>'Объем  платных услуг насел'!I6/Население!J6</f>
        <v>27.026692087702575</v>
      </c>
      <c r="K6" s="84">
        <f>'Объем  платных услуг насел'!J6/Население!K6</f>
        <v>31.238734419942475</v>
      </c>
      <c r="L6" s="84">
        <f>'Объем  платных услуг насел'!K6/Население!L6</f>
        <v>35.603664416586305</v>
      </c>
      <c r="M6" s="84">
        <f>'Объем  платных услуг насел'!L6/Население!M6</f>
        <v>37.333009708737862</v>
      </c>
      <c r="N6" s="84">
        <f>'Объем  платных услуг насел'!M6/Население!N6</f>
        <v>39.249266862170089</v>
      </c>
      <c r="O6" s="84">
        <f>'Объем  платных услуг насел'!N6/Население!O6</f>
        <v>41.18128078817734</v>
      </c>
      <c r="P6" s="84">
        <f>'Объем  платных услуг насел'!O6/Население!P6</f>
        <v>43.681274900398407</v>
      </c>
      <c r="Q6" s="84">
        <f>'Объем  платных услуг насел'!P6/Население!Q6</f>
        <v>45.862587763289866</v>
      </c>
      <c r="R6" s="84">
        <f>'Объем  платных услуг насел'!Q6/Население!R6</f>
        <v>41.850050658561294</v>
      </c>
    </row>
    <row r="7" spans="1:18" x14ac:dyDescent="0.25">
      <c r="A7" s="84">
        <v>6</v>
      </c>
      <c r="B7" s="84" t="s">
        <v>6</v>
      </c>
      <c r="C7" s="84">
        <f>'Объем  платных услуг насел'!B7/Население!C7</f>
        <v>10.311827956989248</v>
      </c>
      <c r="D7" s="84">
        <f>'Объем  платных услуг насел'!C7/Население!D7</f>
        <v>13.405325443786982</v>
      </c>
      <c r="E7" s="84">
        <f>'Объем  платных услуг насел'!D7/Население!E7</f>
        <v>16.996035678889989</v>
      </c>
      <c r="F7" s="84">
        <f>'Объем  платных услуг насел'!E7/Население!F7</f>
        <v>20.835984095427435</v>
      </c>
      <c r="G7" s="84">
        <f>'Объем  платных услуг насел'!F7/Население!G7</f>
        <v>24.062811565304088</v>
      </c>
      <c r="H7" s="84">
        <f>'Объем  платных услуг насел'!G7/Население!H7</f>
        <v>26.788899900891973</v>
      </c>
      <c r="I7" s="84">
        <f>'Объем  платных услуг насел'!H7/Население!I7</f>
        <v>29.99702380952381</v>
      </c>
      <c r="J7" s="84">
        <f>'Объем  платных услуг насел'!I7/Население!J7</f>
        <v>32.970178926441349</v>
      </c>
      <c r="K7" s="84">
        <f>'Объем  платных услуг насел'!J7/Население!K7</f>
        <v>37.801990049751247</v>
      </c>
      <c r="L7" s="84">
        <f>'Объем  платных услуг насел'!K7/Население!L7</f>
        <v>40.841740850642928</v>
      </c>
      <c r="M7" s="84">
        <f>'Объем  платных услуг насел'!L7/Население!M7</f>
        <v>43.047524752475248</v>
      </c>
      <c r="N7" s="84">
        <f>'Объем  платных услуг насел'!M7/Население!N7</f>
        <v>44.646942800788956</v>
      </c>
      <c r="O7" s="84">
        <f>'Объем  платных услуг насел'!N7/Население!O7</f>
        <v>46.501976284584977</v>
      </c>
      <c r="P7" s="84">
        <f>'Объем  платных услуг насел'!O7/Население!P7</f>
        <v>48.784935579781965</v>
      </c>
      <c r="Q7" s="84">
        <f>'Объем  платных услуг насел'!P7/Население!Q7</f>
        <v>52.398803589232301</v>
      </c>
      <c r="R7" s="84">
        <f>'Объем  платных услуг насел'!Q7/Население!R7</f>
        <v>48.51748251748252</v>
      </c>
    </row>
    <row r="8" spans="1:18" x14ac:dyDescent="0.25">
      <c r="A8" s="84">
        <v>7</v>
      </c>
      <c r="B8" s="84" t="s">
        <v>7</v>
      </c>
      <c r="C8" s="84">
        <f>'Объем  платных услуг насел'!B8/Население!C8</f>
        <v>7.8914285714285715</v>
      </c>
      <c r="D8" s="84">
        <f>'Объем  платных услуг насел'!C8/Население!D8</f>
        <v>9.8547249647390682</v>
      </c>
      <c r="E8" s="84">
        <f>'Объем  платных услуг насел'!D8/Население!E8</f>
        <v>12.720797720797721</v>
      </c>
      <c r="F8" s="84">
        <f>'Объем  платных услуг насел'!E8/Население!F8</f>
        <v>14.443328550932568</v>
      </c>
      <c r="G8" s="84">
        <f>'Объем  платных услуг насел'!F8/Население!G8</f>
        <v>16.043352601156069</v>
      </c>
      <c r="H8" s="84">
        <f>'Объем  платных услуг насел'!G8/Население!H8</f>
        <v>21.897897897897899</v>
      </c>
      <c r="I8" s="84">
        <f>'Объем  платных услуг насел'!H8/Население!I8</f>
        <v>24.9607250755287</v>
      </c>
      <c r="J8" s="84">
        <f>'Объем  платных услуг насел'!I8/Население!J8</f>
        <v>27.433990895295903</v>
      </c>
      <c r="K8" s="84">
        <f>'Объем  платных услуг насел'!J8/Население!K8</f>
        <v>32.025914634146339</v>
      </c>
      <c r="L8" s="84">
        <f>'Объем  платных услуг насел'!K8/Население!L8</f>
        <v>34.568807339449542</v>
      </c>
      <c r="M8" s="84">
        <f>'Объем  платных услуг насел'!L8/Население!M8</f>
        <v>36.932411674347158</v>
      </c>
      <c r="N8" s="84">
        <f>'Объем  платных услуг насел'!M8/Население!N8</f>
        <v>38.563271604938272</v>
      </c>
      <c r="O8" s="84">
        <f>'Объем  платных услуг насел'!N8/Население!O8</f>
        <v>40.186625194401245</v>
      </c>
      <c r="P8" s="84">
        <f>'Объем  платных услуг насел'!O8/Население!P8</f>
        <v>42.518053375196232</v>
      </c>
      <c r="Q8" s="84">
        <f>'Объем  платных услуг насел'!P8/Население!Q8</f>
        <v>44.617693522906791</v>
      </c>
      <c r="R8" s="84">
        <f>'Объем  платных услуг насел'!Q8/Население!R8</f>
        <v>42.619426751592357</v>
      </c>
    </row>
    <row r="9" spans="1:18" x14ac:dyDescent="0.25">
      <c r="A9" s="84">
        <v>8</v>
      </c>
      <c r="B9" s="84" t="s">
        <v>8</v>
      </c>
      <c r="C9" s="84">
        <f>'Объем  платных услуг насел'!B9/Население!C9</f>
        <v>9.1842105263157894</v>
      </c>
      <c r="D9" s="84">
        <f>'Объем  платных услуг насел'!C9/Население!D9</f>
        <v>12.847128378378379</v>
      </c>
      <c r="E9" s="84">
        <f>'Объем  платных услуг насел'!D9/Население!E9</f>
        <v>15.921434671221178</v>
      </c>
      <c r="F9" s="84">
        <f>'Объем  платных услуг насел'!E9/Население!F9</f>
        <v>20.506024096385541</v>
      </c>
      <c r="G9" s="84">
        <f>'Объем  платных услуг насел'!F9/Население!G9</f>
        <v>22.623702422145328</v>
      </c>
      <c r="H9" s="84">
        <f>'Объем  платных услуг насел'!G9/Население!H9</f>
        <v>25.567495559502664</v>
      </c>
      <c r="I9" s="84">
        <f>'Объем  платных услуг насел'!H9/Население!I9</f>
        <v>27.863636363636363</v>
      </c>
      <c r="J9" s="84">
        <f>'Объем  платных услуг насел'!I9/Население!J9</f>
        <v>30.756032171581769</v>
      </c>
      <c r="K9" s="84">
        <f>'Объем  платных услуг насел'!J9/Население!K9</f>
        <v>35.749776586237715</v>
      </c>
      <c r="L9" s="84">
        <f>'Объем  платных услуг насел'!K9/Население!L9</f>
        <v>40.024171888988363</v>
      </c>
      <c r="M9" s="84">
        <f>'Объем  платных услуг насел'!L9/Население!M9</f>
        <v>43.198214285714286</v>
      </c>
      <c r="N9" s="84">
        <f>'Объем  платных услуг насел'!M9/Население!N9</f>
        <v>45.396260017809439</v>
      </c>
      <c r="O9" s="84">
        <f>'Объем  платных услуг насел'!N9/Население!O9</f>
        <v>47.113901345291481</v>
      </c>
      <c r="P9" s="84">
        <f>'Объем  платных услуг насел'!O9/Население!P9</f>
        <v>49.457994579945797</v>
      </c>
      <c r="Q9" s="84">
        <f>'Объем  платных услуг насел'!P9/Население!Q9</f>
        <v>51.451086956521742</v>
      </c>
      <c r="R9" s="84">
        <f>'Объем  платных услуг насел'!Q9/Население!R9</f>
        <v>48.247037374658156</v>
      </c>
    </row>
    <row r="10" spans="1:18" x14ac:dyDescent="0.25">
      <c r="A10" s="84">
        <v>9</v>
      </c>
      <c r="B10" s="84" t="s">
        <v>9</v>
      </c>
      <c r="C10" s="84">
        <f>'Объем  платных услуг насел'!B10/Население!C10</f>
        <v>9.6658291457286438</v>
      </c>
      <c r="D10" s="84">
        <f>'Объем  платных услуг насел'!C10/Население!D10</f>
        <v>12.671464860287891</v>
      </c>
      <c r="E10" s="84">
        <f>'Объем  платных услуг насел'!D10/Население!E10</f>
        <v>15.454003407155026</v>
      </c>
      <c r="F10" s="84">
        <f>'Объем  платных услуг насел'!E10/Население!F10</f>
        <v>19.029940119760479</v>
      </c>
      <c r="G10" s="84">
        <f>'Объем  платных услуг насел'!F10/Население!G10</f>
        <v>22.434221840068787</v>
      </c>
      <c r="H10" s="84">
        <f>'Объем  платных услуг насел'!G10/Население!H10</f>
        <v>26.389078498293514</v>
      </c>
      <c r="I10" s="84">
        <f>'Объем  платных услуг насел'!H10/Население!I10</f>
        <v>30.213550600343051</v>
      </c>
      <c r="J10" s="84">
        <f>'Объем  платных услуг насел'!I10/Население!J10</f>
        <v>33.962134251290877</v>
      </c>
      <c r="K10" s="84">
        <f>'Объем  платных услуг насел'!J10/Население!K10</f>
        <v>39.511206896551727</v>
      </c>
      <c r="L10" s="84">
        <f>'Объем  платных услуг насел'!K10/Население!L10</f>
        <v>44.006044905008636</v>
      </c>
      <c r="M10" s="84">
        <f>'Объем  платных услуг насел'!L10/Население!M10</f>
        <v>47.775086505190309</v>
      </c>
      <c r="N10" s="84">
        <f>'Объем  платных услуг насел'!M10/Население!N10</f>
        <v>51.410034602076124</v>
      </c>
      <c r="O10" s="84">
        <f>'Объем  платных услуг насел'!N10/Население!O10</f>
        <v>54.831304347826084</v>
      </c>
      <c r="P10" s="84">
        <f>'Объем  платных услуг насел'!O10/Население!P10</f>
        <v>57.602272727272727</v>
      </c>
      <c r="Q10" s="84">
        <f>'Объем  платных услуг насел'!P10/Население!Q10</f>
        <v>61.071992976294993</v>
      </c>
      <c r="R10" s="84">
        <f>'Объем  платных услуг насел'!Q10/Население!R10</f>
        <v>56.76418439716312</v>
      </c>
    </row>
    <row r="11" spans="1:18" x14ac:dyDescent="0.25">
      <c r="A11" s="84">
        <v>10</v>
      </c>
      <c r="B11" s="84" t="s">
        <v>10</v>
      </c>
      <c r="C11" s="84">
        <f>'Объем  платных услуг насел'!B11/Население!C11</f>
        <v>15.928360849056604</v>
      </c>
      <c r="D11" s="84">
        <f>'Объем  платных услуг насел'!C11/Население!D11</f>
        <v>20.563518406759204</v>
      </c>
      <c r="E11" s="84">
        <f>'Объем  платных услуг насел'!D11/Население!E11</f>
        <v>25.132109539572674</v>
      </c>
      <c r="F11" s="84">
        <f>'Объем  платных услуг насел'!E11/Население!F11</f>
        <v>30.744492731904689</v>
      </c>
      <c r="G11" s="84">
        <f>'Объем  платных услуг насел'!F11/Население!G11</f>
        <v>33.316996871741395</v>
      </c>
      <c r="H11" s="84">
        <f>'Объем  платных услуг насел'!G11/Население!H11</f>
        <v>36.329299183788351</v>
      </c>
      <c r="I11" s="84">
        <f>'Объем  платных услуг насел'!H11/Население!I11</f>
        <v>39.710932073899151</v>
      </c>
      <c r="J11" s="84">
        <f>'Объем  платных услуг насел'!I11/Население!J11</f>
        <v>43.326191827468783</v>
      </c>
      <c r="K11" s="84">
        <f>'Объем  платных услуг насел'!J11/Население!K11</f>
        <v>56.699747687132046</v>
      </c>
      <c r="L11" s="84">
        <f>'Объем  платных услуг насел'!K11/Население!L11</f>
        <v>59.128474623150325</v>
      </c>
      <c r="M11" s="84">
        <f>'Объем  платных услуг насел'!L11/Население!M11</f>
        <v>61.76472195655144</v>
      </c>
      <c r="N11" s="84">
        <f>'Объем  платных услуг насел'!M11/Население!N11</f>
        <v>63.04795904620773</v>
      </c>
      <c r="O11" s="84">
        <f>'Объем  платных услуг насел'!N11/Население!O11</f>
        <v>65.472477675596423</v>
      </c>
      <c r="P11" s="84">
        <f>'Объем  платных услуг насел'!O11/Население!P11</f>
        <v>66.908672193709705</v>
      </c>
      <c r="Q11" s="84">
        <f>'Объем  платных услуг насел'!P11/Население!Q11</f>
        <v>71.115719672344298</v>
      </c>
      <c r="R11" s="84">
        <f>'Объем  платных услуг насел'!Q11/Население!R11</f>
        <v>61.734985082371253</v>
      </c>
    </row>
    <row r="12" spans="1:18" x14ac:dyDescent="0.25">
      <c r="A12" s="84">
        <v>11</v>
      </c>
      <c r="B12" s="84" t="s">
        <v>11</v>
      </c>
      <c r="C12" s="84">
        <f>'Объем  платных услуг насел'!B12/Население!C12</f>
        <v>9.1532846715328464</v>
      </c>
      <c r="D12" s="84">
        <f>'Объем  платных услуг насел'!C12/Население!D12</f>
        <v>10.390887290167866</v>
      </c>
      <c r="E12" s="84">
        <f>'Объем  платных услуг насел'!D12/Население!E12</f>
        <v>12.120918984280532</v>
      </c>
      <c r="F12" s="84">
        <f>'Объем  платных услуг насел'!E12/Население!F12</f>
        <v>14.024330900243308</v>
      </c>
      <c r="G12" s="84">
        <f>'Объем  платных услуг насел'!F12/Население!G12</f>
        <v>17.889840881272949</v>
      </c>
      <c r="H12" s="84">
        <f>'Объем  платных услуг насел'!G12/Население!H12</f>
        <v>21.486005089058523</v>
      </c>
      <c r="I12" s="84">
        <f>'Объем  платных услуг насел'!H12/Население!I12</f>
        <v>25.686299615877079</v>
      </c>
      <c r="J12" s="84">
        <f>'Объем  платных услуг насел'!I12/Население!J12</f>
        <v>28.791237113402062</v>
      </c>
      <c r="K12" s="84">
        <f>'Объем  платных услуг насел'!J12/Население!K12</f>
        <v>33.798701298701296</v>
      </c>
      <c r="L12" s="84">
        <f>'Объем  платных услуг насел'!K12/Население!L12</f>
        <v>36.942483660130719</v>
      </c>
      <c r="M12" s="84">
        <f>'Объем  платных услуг насел'!L12/Население!M12</f>
        <v>40.486842105263158</v>
      </c>
      <c r="N12" s="84">
        <f>'Объем  платных услуг насел'!M12/Население!N12</f>
        <v>43.218543046357617</v>
      </c>
      <c r="O12" s="84">
        <f>'Объем  платных услуг насел'!N12/Население!O12</f>
        <v>45.900937081659976</v>
      </c>
      <c r="P12" s="84">
        <f>'Объем  платных услуг насел'!O12/Население!P12</f>
        <v>46.797297297297298</v>
      </c>
      <c r="Q12" s="84">
        <f>'Объем  платных услуг насел'!P12/Население!Q12</f>
        <v>48.942779291553137</v>
      </c>
      <c r="R12" s="84">
        <f>'Объем  платных услуг насел'!Q12/Население!R12</f>
        <v>44.933793103448274</v>
      </c>
    </row>
    <row r="13" spans="1:18" x14ac:dyDescent="0.25">
      <c r="A13" s="84">
        <v>12</v>
      </c>
      <c r="B13" s="84" t="s">
        <v>12</v>
      </c>
      <c r="C13" s="84">
        <f>'Объем  платных услуг насел'!B13/Население!C13</f>
        <v>8.9991589571068129</v>
      </c>
      <c r="D13" s="84">
        <f>'Объем  платных услуг насел'!C13/Население!D13</f>
        <v>11.174280879864636</v>
      </c>
      <c r="E13" s="84">
        <f>'Объем  платных услуг насел'!D13/Население!E13</f>
        <v>13.767918088737201</v>
      </c>
      <c r="F13" s="84">
        <f>'Объем  платных услуг насел'!E13/Население!F13</f>
        <v>16.619742489270386</v>
      </c>
      <c r="G13" s="84">
        <f>'Объем  платных услуг насел'!F13/Население!G13</f>
        <v>19.312607944732296</v>
      </c>
      <c r="H13" s="84">
        <f>'Объем  платных услуг насел'!G13/Население!H13</f>
        <v>23.500868055555557</v>
      </c>
      <c r="I13" s="84">
        <f>'Объем  платных услуг насел'!H13/Население!I13</f>
        <v>26.332752613240419</v>
      </c>
      <c r="J13" s="84">
        <f>'Объем  платных услуг насел'!I13/Население!J13</f>
        <v>28.2263986013986</v>
      </c>
      <c r="K13" s="84">
        <f>'Объем  платных услуг насел'!J13/Население!K13</f>
        <v>30.965819456617002</v>
      </c>
      <c r="L13" s="84">
        <f>'Объем  платных услуг насел'!K13/Население!L13</f>
        <v>33.4</v>
      </c>
      <c r="M13" s="84">
        <f>'Объем  платных услуг насел'!L13/Население!M13</f>
        <v>35.251327433628319</v>
      </c>
      <c r="N13" s="84">
        <f>'Объем  платных услуг насел'!M13/Население!N13</f>
        <v>38.217391304347828</v>
      </c>
      <c r="O13" s="84">
        <f>'Объем  платных услуг насел'!N13/Население!O13</f>
        <v>41.075757575757578</v>
      </c>
      <c r="P13" s="84">
        <f>'Объем  платных услуг насел'!O13/Население!P13</f>
        <v>44.431777378815077</v>
      </c>
      <c r="Q13" s="84">
        <f>'Объем  платных услуг насел'!P13/Население!Q13</f>
        <v>46.935978358881876</v>
      </c>
      <c r="R13" s="84">
        <f>'Объем  платных услуг насел'!Q13/Население!R13</f>
        <v>45.35974499089253</v>
      </c>
    </row>
    <row r="14" spans="1:18" x14ac:dyDescent="0.25">
      <c r="A14" s="84">
        <v>13</v>
      </c>
      <c r="B14" s="84" t="s">
        <v>13</v>
      </c>
      <c r="C14" s="84">
        <f>'Объем  платных услуг насел'!B14/Население!C14</f>
        <v>8.8390243902439032</v>
      </c>
      <c r="D14" s="84">
        <f>'Объем  платных услуг насел'!C14/Население!D14</f>
        <v>11.084493041749504</v>
      </c>
      <c r="E14" s="84">
        <f>'Объем  платных услуг насел'!D14/Население!E14</f>
        <v>14.02112676056338</v>
      </c>
      <c r="F14" s="84">
        <f>'Объем  платных услуг насел'!E14/Население!F14</f>
        <v>16.518819938962359</v>
      </c>
      <c r="G14" s="84">
        <f>'Объем  платных услуг насел'!F14/Население!G14</f>
        <v>17.718685831622178</v>
      </c>
      <c r="H14" s="84">
        <f>'Объем  платных услуг насел'!G14/Население!H14</f>
        <v>20.170905391658188</v>
      </c>
      <c r="I14" s="84">
        <f>'Объем  платных услуг насел'!H14/Население!I14</f>
        <v>22.98776758409786</v>
      </c>
      <c r="J14" s="84">
        <f>'Объем  платных услуг насел'!I14/Население!J14</f>
        <v>24.635897435897437</v>
      </c>
      <c r="K14" s="84">
        <f>'Объем  платных услуг насел'!J14/Население!K14</f>
        <v>27.670454545454547</v>
      </c>
      <c r="L14" s="84">
        <f>'Объем  платных услуг насел'!K14/Население!L14</f>
        <v>31.127461139896372</v>
      </c>
      <c r="M14" s="84">
        <f>'Объем  платных услуг насел'!L14/Население!M14</f>
        <v>32.573514077163715</v>
      </c>
      <c r="N14" s="84">
        <f>'Объем  платных услуг насел'!M14/Население!N14</f>
        <v>33.661070304302207</v>
      </c>
      <c r="O14" s="84">
        <f>'Объем  платных услуг насел'!N14/Население!O14</f>
        <v>35.311578947368425</v>
      </c>
      <c r="P14" s="84">
        <f>'Объем  платных услуг насел'!O14/Население!P14</f>
        <v>36.933121019108277</v>
      </c>
      <c r="Q14" s="84">
        <f>'Объем  платных услуг насел'!P14/Население!Q14</f>
        <v>38.36042780748663</v>
      </c>
      <c r="R14" s="84">
        <f>'Объем  платных услуг насел'!Q14/Население!R14</f>
        <v>35.465798045602604</v>
      </c>
    </row>
    <row r="15" spans="1:18" x14ac:dyDescent="0.25">
      <c r="A15" s="84">
        <v>14</v>
      </c>
      <c r="B15" s="84" t="s">
        <v>14</v>
      </c>
      <c r="C15" s="84">
        <f>'Объем  платных услуг насел'!B15/Население!C15</f>
        <v>9.3766461808604031</v>
      </c>
      <c r="D15" s="84">
        <f>'Объем  платных услуг насел'!C15/Население!D15</f>
        <v>11.501769911504425</v>
      </c>
      <c r="E15" s="84">
        <f>'Объем  платных услуг насел'!D15/Население!E15</f>
        <v>14.554162936436885</v>
      </c>
      <c r="F15" s="84">
        <f>'Объем  платных услуг насел'!E15/Население!F15</f>
        <v>19.510849909584088</v>
      </c>
      <c r="G15" s="84">
        <f>'Объем  платных услуг насел'!F15/Население!G15</f>
        <v>22.185050136736553</v>
      </c>
      <c r="H15" s="84">
        <f>'Объем  платных услуг насел'!G15/Население!H15</f>
        <v>24.673394495412843</v>
      </c>
      <c r="I15" s="84">
        <f>'Объем  платных услуг насел'!H15/Население!I15</f>
        <v>27.664510166358596</v>
      </c>
      <c r="J15" s="84">
        <f>'Объем  платных услуг насел'!I15/Население!J15</f>
        <v>31.225836431226767</v>
      </c>
      <c r="K15" s="84">
        <f>'Объем  платных услуг насел'!J15/Население!K15</f>
        <v>36.196445275958837</v>
      </c>
      <c r="L15" s="84">
        <f>'Объем  платных услуг насел'!K15/Население!L15</f>
        <v>39.948210922787197</v>
      </c>
      <c r="M15" s="84">
        <f>'Объем  платных услуг насел'!L15/Население!M15</f>
        <v>42.508571428571429</v>
      </c>
      <c r="N15" s="84">
        <f>'Объем  платных услуг насел'!M15/Население!N15</f>
        <v>44.965384615384615</v>
      </c>
      <c r="O15" s="84">
        <f>'Объем  платных услуг насел'!N15/Население!O15</f>
        <v>46.559535333978701</v>
      </c>
      <c r="P15" s="84">
        <f>'Объем  платных услуг насел'!O15/Население!P15</f>
        <v>49.028543307086615</v>
      </c>
      <c r="Q15" s="84">
        <f>'Объем  платных услуг насел'!P15/Население!Q15</f>
        <v>51.933465739821251</v>
      </c>
      <c r="R15" s="84">
        <f>'Объем  платных услуг насел'!Q15/Население!R15</f>
        <v>47.912474849094565</v>
      </c>
    </row>
    <row r="16" spans="1:18" x14ac:dyDescent="0.25">
      <c r="A16" s="84">
        <v>15</v>
      </c>
      <c r="B16" s="84" t="s">
        <v>15</v>
      </c>
      <c r="C16" s="84">
        <f>'Объем  платных услуг насел'!B16/Население!C16</f>
        <v>11.626148409893993</v>
      </c>
      <c r="D16" s="84">
        <f>'Объем  платных услуг насел'!C16/Население!D16</f>
        <v>14.342572850035536</v>
      </c>
      <c r="E16" s="84">
        <f>'Объем  платных услуг насел'!D16/Население!E16</f>
        <v>17.955395683453236</v>
      </c>
      <c r="F16" s="84">
        <f>'Объем  платных услуг насел'!E16/Население!F16</f>
        <v>20.724637681159422</v>
      </c>
      <c r="G16" s="84">
        <f>'Объем  платных услуг насел'!F16/Население!G16</f>
        <v>22.25127830533236</v>
      </c>
      <c r="H16" s="84">
        <f>'Объем  платных услуг насел'!G16/Население!H16</f>
        <v>22.634074074074075</v>
      </c>
      <c r="I16" s="84">
        <f>'Объем  платных услуг насел'!H16/Население!I16</f>
        <v>25.174366616989566</v>
      </c>
      <c r="J16" s="84">
        <f>'Объем  платных услуг насел'!I16/Население!J16</f>
        <v>28.037481259370313</v>
      </c>
      <c r="K16" s="84">
        <f>'Объем  платных услуг насел'!J16/Население!K16</f>
        <v>31.31320754716981</v>
      </c>
      <c r="L16" s="84">
        <f>'Объем  платных услуг насел'!K16/Население!L16</f>
        <v>31.956653992395438</v>
      </c>
      <c r="M16" s="84">
        <f>'Объем  платных услуг насел'!L16/Население!M16</f>
        <v>35.525670498084288</v>
      </c>
      <c r="N16" s="84">
        <f>'Объем  платных услуг насел'!M16/Население!N16</f>
        <v>38.299151888974556</v>
      </c>
      <c r="O16" s="84">
        <f>'Объем  платных услуг насел'!N16/Население!O16</f>
        <v>40.535825545171342</v>
      </c>
      <c r="P16" s="84">
        <f>'Объем  платных услуг насел'!O16/Население!P16</f>
        <v>43.822047244094492</v>
      </c>
      <c r="Q16" s="84">
        <f>'Объем  платных услуг насел'!P16/Население!Q16</f>
        <v>47.006349206349206</v>
      </c>
      <c r="R16" s="84">
        <f>'Объем  платных услуг насел'!Q16/Население!R16</f>
        <v>44.971107544141255</v>
      </c>
    </row>
    <row r="17" spans="1:18" x14ac:dyDescent="0.25">
      <c r="A17" s="84">
        <v>16</v>
      </c>
      <c r="B17" s="84" t="s">
        <v>16</v>
      </c>
      <c r="C17" s="84">
        <f>'Объем  платных услуг насел'!B17/Население!C17</f>
        <v>10.505882352941176</v>
      </c>
      <c r="D17" s="84">
        <f>'Объем  платных услуг насел'!C17/Население!D17</f>
        <v>13.188124999999999</v>
      </c>
      <c r="E17" s="84">
        <f>'Объем  платных услуг насел'!D17/Население!E17</f>
        <v>15.994936708860759</v>
      </c>
      <c r="F17" s="84">
        <f>'Объем  платных услуг насел'!E17/Население!F17</f>
        <v>19.697318007662837</v>
      </c>
      <c r="G17" s="84">
        <f>'Объем  платных услуг насел'!F17/Население!G17</f>
        <v>22.492594977462975</v>
      </c>
      <c r="H17" s="84">
        <f>'Объем  платных услуг насел'!G17/Население!H17</f>
        <v>24.913548387096775</v>
      </c>
      <c r="I17" s="84">
        <f>'Объем  платных услуг насел'!H17/Население!I17</f>
        <v>29.162459546925568</v>
      </c>
      <c r="J17" s="84">
        <f>'Объем  платных услуг насел'!I17/Население!J17</f>
        <v>32.323759791122718</v>
      </c>
      <c r="K17" s="84">
        <f>'Объем  платных услуг насел'!J17/Население!K17</f>
        <v>36.368593955321941</v>
      </c>
      <c r="L17" s="84">
        <f>'Объем  платных услуг насел'!K17/Население!L17</f>
        <v>39.531704095112282</v>
      </c>
      <c r="M17" s="84">
        <f>'Объем  платных услуг насел'!L17/Население!M17</f>
        <v>42.754980079681275</v>
      </c>
      <c r="N17" s="84">
        <f>'Объем  платных услуг насел'!M17/Население!N17</f>
        <v>44.042028018679119</v>
      </c>
      <c r="O17" s="84">
        <f>'Объем  платных услуг насел'!N17/Население!O17</f>
        <v>46.644772117962468</v>
      </c>
      <c r="P17" s="84">
        <f>'Объем  платных услуг насел'!O17/Население!P17</f>
        <v>49.248140635564567</v>
      </c>
      <c r="Q17" s="84">
        <f>'Объем  платных услуг насел'!P17/Население!Q17</f>
        <v>51.413369713506142</v>
      </c>
      <c r="R17" s="84">
        <f>'Объем  платных услуг насел'!Q17/Население!R17</f>
        <v>49.684610075914421</v>
      </c>
    </row>
    <row r="18" spans="1:18" x14ac:dyDescent="0.25">
      <c r="A18" s="84">
        <v>17</v>
      </c>
      <c r="B18" s="84" t="s">
        <v>17</v>
      </c>
      <c r="C18" s="84">
        <f>'Объем  платных услуг насел'!B18/Население!C18</f>
        <v>13.12947448591013</v>
      </c>
      <c r="D18" s="84">
        <f>'Объем  платных услуг насел'!C18/Население!D18</f>
        <v>17.581325301204821</v>
      </c>
      <c r="E18" s="84">
        <f>'Объем  платных услуг насел'!D18/Население!E18</f>
        <v>21.582575757575757</v>
      </c>
      <c r="F18" s="84">
        <f>'Объем  платных услуг насел'!E18/Население!F18</f>
        <v>20.805323193916351</v>
      </c>
      <c r="G18" s="84">
        <f>'Объем  платных услуг насел'!F18/Население!G18</f>
        <v>23.804580152671754</v>
      </c>
      <c r="H18" s="84">
        <f>'Объем  платных услуг насел'!G18/Население!H18</f>
        <v>25.349331235247835</v>
      </c>
      <c r="I18" s="84">
        <f>'Объем  платных услуг насел'!H18/Население!I18</f>
        <v>27.856805664830841</v>
      </c>
      <c r="J18" s="84">
        <f>'Объем  платных услуг насел'!I18/Население!J18</f>
        <v>29.872641509433961</v>
      </c>
      <c r="K18" s="84">
        <f>'Объем  платных услуг насел'!J18/Население!K18</f>
        <v>32.702044025157235</v>
      </c>
      <c r="L18" s="84">
        <f>'Объем  платных услуг насел'!K18/Население!L18</f>
        <v>36.172955974842765</v>
      </c>
      <c r="M18" s="84">
        <f>'Объем  платных услуг насел'!L18/Население!M18</f>
        <v>37.990566037735846</v>
      </c>
      <c r="N18" s="84">
        <f>'Объем  платных услуг насел'!M18/Население!N18</f>
        <v>40.931549960660895</v>
      </c>
      <c r="O18" s="84">
        <f>'Объем  платных услуг насел'!N18/Население!O18</f>
        <v>43.421800947867297</v>
      </c>
      <c r="P18" s="84">
        <f>'Объем  платных услуг насел'!O18/Население!P18</f>
        <v>47.321428571428569</v>
      </c>
      <c r="Q18" s="84">
        <f>'Объем  платных услуг насел'!P18/Население!Q18</f>
        <v>51.38437001594896</v>
      </c>
      <c r="R18" s="84">
        <f>'Объем  платных услуг насел'!Q18/Население!R18</f>
        <v>48.116035455278002</v>
      </c>
    </row>
    <row r="19" spans="1:18" x14ac:dyDescent="0.25">
      <c r="A19" s="84">
        <v>18</v>
      </c>
      <c r="B19" s="84" t="s">
        <v>18</v>
      </c>
      <c r="C19" s="84">
        <f>'Объем  платных услуг насел'!B19/Население!C19</f>
        <v>50.433174661296228</v>
      </c>
      <c r="D19" s="84">
        <f>'Объем  платных услуг насел'!C19/Население!D19</f>
        <v>63.232422062350118</v>
      </c>
      <c r="E19" s="84">
        <f>'Объем  платных услуг насел'!D19/Население!E19</f>
        <v>75.106387053528678</v>
      </c>
      <c r="F19" s="84">
        <f>'Объем  платных услуг насел'!E19/Население!F19</f>
        <v>84.738968481375352</v>
      </c>
      <c r="G19" s="84">
        <f>'Объем  платных услуг насел'!F19/Население!G19</f>
        <v>88.532591112379862</v>
      </c>
      <c r="H19" s="84">
        <f>'Объем  платных услуг насел'!G19/Население!H19</f>
        <v>82.660601334373098</v>
      </c>
      <c r="I19" s="84">
        <f>'Объем  платных услуг насел'!H19/Население!I19</f>
        <v>89.030052527340047</v>
      </c>
      <c r="J19" s="84">
        <f>'Объем  платных услуг насел'!I19/Население!J19</f>
        <v>92.233555926544241</v>
      </c>
      <c r="K19" s="84">
        <f>'Объем  платных услуг насел'!J19/Население!K19</f>
        <v>102.2509910802775</v>
      </c>
      <c r="L19" s="84">
        <f>'Объем  платных услуг насел'!K19/Население!L19</f>
        <v>108.56407313273756</v>
      </c>
      <c r="M19" s="84">
        <f>'Объем  платных услуг насел'!L19/Население!M19</f>
        <v>115.82433090024331</v>
      </c>
      <c r="N19" s="84">
        <f>'Объем  платных услуг насел'!M19/Население!N19</f>
        <v>133.902027299895</v>
      </c>
      <c r="O19" s="84">
        <f>'Объем  платных услуг насел'!N19/Население!O19</f>
        <v>143.58111457583752</v>
      </c>
      <c r="P19" s="84">
        <f>'Объем  платных услуг насел'!O19/Население!P19</f>
        <v>147.71557669441142</v>
      </c>
      <c r="Q19" s="84">
        <f>'Объем  платных услуг насел'!P19/Население!Q19</f>
        <v>158.46016721880423</v>
      </c>
      <c r="R19" s="84">
        <f>'Объем  платных услуг насел'!Q19/Население!R19</f>
        <v>125.00553141050968</v>
      </c>
    </row>
    <row r="20" spans="1:18" x14ac:dyDescent="0.25">
      <c r="A20" s="84">
        <v>19</v>
      </c>
      <c r="B20" s="84" t="s">
        <v>19</v>
      </c>
      <c r="C20" s="84">
        <f>'Объем  платных услуг насел'!B20/Население!C20</f>
        <v>13.356508875739644</v>
      </c>
      <c r="D20" s="84">
        <f>'Объем  платных услуг насел'!C20/Население!D20</f>
        <v>15.626074498567336</v>
      </c>
      <c r="E20" s="84">
        <f>'Объем  платных услуг насел'!D20/Население!E20</f>
        <v>19.028860028860027</v>
      </c>
      <c r="F20" s="84">
        <f>'Объем  платных услуг насел'!E20/Население!F20</f>
        <v>20.251808972503618</v>
      </c>
      <c r="G20" s="84">
        <f>'Объем  платных услуг насел'!F20/Население!G20</f>
        <v>22.890829694323145</v>
      </c>
      <c r="H20" s="84">
        <f>'Объем  платных услуг насел'!G20/Население!H20</f>
        <v>28.491446345256609</v>
      </c>
      <c r="I20" s="84">
        <f>'Объем  платных услуг насел'!H20/Население!I20</f>
        <v>31.6484375</v>
      </c>
      <c r="J20" s="84">
        <f>'Объем  платных услуг насел'!I20/Население!J20</f>
        <v>35.566718995290422</v>
      </c>
      <c r="K20" s="84">
        <f>'Объем  платных услуг насел'!J20/Население!K20</f>
        <v>39.580441640378552</v>
      </c>
      <c r="L20" s="84">
        <f>'Объем  платных услуг насел'!K20/Население!L20</f>
        <v>43.156398104265406</v>
      </c>
      <c r="M20" s="84">
        <f>'Объем  платных услуг насел'!L20/Население!M20</f>
        <v>45.782539682539685</v>
      </c>
      <c r="N20" s="84">
        <f>'Объем  платных услуг насел'!M20/Население!N20</f>
        <v>49.116427432216909</v>
      </c>
      <c r="O20" s="84">
        <f>'Объем  платных услуг насел'!N20/Население!O20</f>
        <v>53.713826366559488</v>
      </c>
      <c r="P20" s="84">
        <f>'Объем  платных услуг насел'!O20/Население!P20</f>
        <v>56.745954692556637</v>
      </c>
      <c r="Q20" s="84">
        <f>'Объем  платных услуг насел'!P20/Население!Q20</f>
        <v>60.514657980456029</v>
      </c>
      <c r="R20" s="84">
        <f>'Объем  платных услуг насел'!Q20/Население!R20</f>
        <v>58.571428571428569</v>
      </c>
    </row>
    <row r="21" spans="1:18" x14ac:dyDescent="0.25">
      <c r="A21" s="84">
        <v>20</v>
      </c>
      <c r="B21" s="84" t="s">
        <v>20</v>
      </c>
      <c r="C21" s="84">
        <f>'Объем  платных услуг насел'!B21/Население!C21</f>
        <v>17.142263759086187</v>
      </c>
      <c r="D21" s="84">
        <f>'Объем  платных услуг насел'!C21/Население!D21</f>
        <v>20.705583756345177</v>
      </c>
      <c r="E21" s="84">
        <f>'Объем  платных услуг насел'!D21/Население!E21</f>
        <v>25.004102564102563</v>
      </c>
      <c r="F21" s="84">
        <f>'Объем  платных услуг насел'!E21/Население!F21</f>
        <v>29.677685950413224</v>
      </c>
      <c r="G21" s="84">
        <f>'Объем  платных услуг насел'!F21/Население!G21</f>
        <v>33.502606882168926</v>
      </c>
      <c r="H21" s="84">
        <f>'Объем  платных услуг насел'!G21/Население!H21</f>
        <v>38.738598442714128</v>
      </c>
      <c r="I21" s="84">
        <f>'Объем  платных услуг насел'!H21/Население!I21</f>
        <v>42.835955056179778</v>
      </c>
      <c r="J21" s="84">
        <f>'Объем  платных услуг насел'!I21/Население!J21</f>
        <v>45.964772727272724</v>
      </c>
      <c r="K21" s="84">
        <f>'Объем  платных услуг насел'!J21/Население!K21</f>
        <v>50.986238532110093</v>
      </c>
      <c r="L21" s="84">
        <f>'Объем  платных услуг насел'!K21/Население!L21</f>
        <v>52.934027777777779</v>
      </c>
      <c r="M21" s="84">
        <f>'Объем  платных услуг насел'!L21/Население!M21</f>
        <v>53.557759626604437</v>
      </c>
      <c r="N21" s="84">
        <f>'Объем  платных услуг насел'!M21/Население!N21</f>
        <v>55.474117647058826</v>
      </c>
      <c r="O21" s="84">
        <f>'Объем  платных услуг насел'!N21/Население!O21</f>
        <v>57.687277051129605</v>
      </c>
      <c r="P21" s="84">
        <f>'Объем  платных услуг насел'!O21/Население!P21</f>
        <v>60.263855421686749</v>
      </c>
      <c r="Q21" s="84">
        <f>'Объем  платных услуг насел'!P21/Население!Q21</f>
        <v>63.903775883069429</v>
      </c>
      <c r="R21" s="84">
        <f>'Объем  платных услуг насел'!Q21/Население!R21</f>
        <v>57.495085995085994</v>
      </c>
    </row>
    <row r="22" spans="1:18" x14ac:dyDescent="0.25">
      <c r="A22" s="84">
        <v>21</v>
      </c>
      <c r="B22" s="84" t="s">
        <v>21</v>
      </c>
      <c r="C22" s="84">
        <f>'Объем  платных услуг насел'!B22/Население!C22</f>
        <v>14.092043681747271</v>
      </c>
      <c r="D22" s="84">
        <f>'Объем  платных услуг насел'!C22/Население!D22</f>
        <v>18.33462432223083</v>
      </c>
      <c r="E22" s="84">
        <f>'Объем  платных услуг насел'!D22/Население!E22</f>
        <v>25.177343749999999</v>
      </c>
      <c r="F22" s="84">
        <f>'Объем  платных услуг насел'!E22/Население!F22</f>
        <v>30.8687106918239</v>
      </c>
      <c r="G22" s="84">
        <f>'Объем  платных услуг насел'!F22/Население!G22</f>
        <v>34.880348652931858</v>
      </c>
      <c r="H22" s="84">
        <f>'Объем  платных услуг насел'!G22/Население!H22</f>
        <v>38.093061224489794</v>
      </c>
      <c r="I22" s="84">
        <f>'Объем  платных услуг насел'!H22/Население!I22</f>
        <v>43.276999175597695</v>
      </c>
      <c r="J22" s="84">
        <f>'Объем  платных услуг насел'!I22/Население!J22</f>
        <v>47.869384359400996</v>
      </c>
      <c r="K22" s="84">
        <f>'Объем  платных услуг насел'!J22/Население!K22</f>
        <v>45.548657718120808</v>
      </c>
      <c r="L22" s="84">
        <f>'Объем  платных услуг насел'!K22/Население!L22</f>
        <v>50.401521555367708</v>
      </c>
      <c r="M22" s="84">
        <f>'Объем  платных услуг насел'!L22/Население!M22</f>
        <v>54.267461669505963</v>
      </c>
      <c r="N22" s="84">
        <f>'Объем  платных услуг насел'!M22/Население!N22</f>
        <v>56.452830188679243</v>
      </c>
      <c r="O22" s="84">
        <f>'Объем  платных услуг насел'!N22/Население!O22</f>
        <v>59.288311688311687</v>
      </c>
      <c r="P22" s="84">
        <f>'Объем  платных услуг насел'!O22/Население!P22</f>
        <v>62.30681818181818</v>
      </c>
      <c r="Q22" s="84">
        <f>'Объем  платных услуг насел'!P22/Население!Q22</f>
        <v>67.072183098591552</v>
      </c>
      <c r="R22" s="84">
        <f>'Объем  платных услуг насел'!Q22/Население!R22</f>
        <v>57.186335403726709</v>
      </c>
    </row>
    <row r="23" spans="1:18" x14ac:dyDescent="0.25">
      <c r="A23" s="84">
        <v>22</v>
      </c>
      <c r="B23" s="84" t="s">
        <v>22</v>
      </c>
      <c r="C23" s="84">
        <f>'Объем  платных услуг насел'!B23/Население!C23</f>
        <v>12.910931174089068</v>
      </c>
      <c r="D23" s="84">
        <f>'Объем  платных услуг насел'!C23/Население!D23</f>
        <v>16.635627530364374</v>
      </c>
      <c r="E23" s="84">
        <f>'Объем  платных услуг насел'!D23/Население!E23</f>
        <v>20.017100977198698</v>
      </c>
      <c r="F23" s="84">
        <f>'Объем  платных услуг насел'!E23/Население!F23</f>
        <v>23.93131643499591</v>
      </c>
      <c r="G23" s="84">
        <f>'Объем  платных услуг насел'!F23/Население!G23</f>
        <v>26.010673234811165</v>
      </c>
      <c r="H23" s="84">
        <f>'Объем  платных услуг насел'!G23/Население!H23</f>
        <v>28.970024979184014</v>
      </c>
      <c r="I23" s="84">
        <f>'Объем  платных услуг насел'!H23/Население!I23</f>
        <v>32.813021702838064</v>
      </c>
      <c r="J23" s="84">
        <f>'Объем  платных услуг насел'!I23/Население!J23</f>
        <v>34.497491638795985</v>
      </c>
      <c r="K23" s="84">
        <f>'Объем  платных услуг насел'!J23/Население!K23</f>
        <v>38.8290025146689</v>
      </c>
      <c r="L23" s="84">
        <f>'Объем  платных услуг насел'!K23/Население!L23</f>
        <v>42.602015113350127</v>
      </c>
      <c r="M23" s="84">
        <f>'Объем  платных услуг насел'!L23/Население!M23</f>
        <v>44.872053872053876</v>
      </c>
      <c r="N23" s="84">
        <f>'Объем  платных услуг насел'!M23/Население!N23</f>
        <v>46.076013513513516</v>
      </c>
      <c r="O23" s="84">
        <f>'Объем  платных услуг насел'!N23/Население!O23</f>
        <v>47.418011894647407</v>
      </c>
      <c r="P23" s="84">
        <f>'Объем  платных услуг насел'!O23/Население!P23</f>
        <v>49.526541095890408</v>
      </c>
      <c r="Q23" s="84">
        <f>'Объем  платных услуг насел'!P23/Население!Q23</f>
        <v>54.104310344827589</v>
      </c>
      <c r="R23" s="84">
        <f>'Объем  платных услуг насел'!Q23/Население!R23</f>
        <v>52.547350130321462</v>
      </c>
    </row>
    <row r="24" spans="1:18" x14ac:dyDescent="0.25">
      <c r="A24" s="84">
        <v>23</v>
      </c>
      <c r="B24" s="84" t="s">
        <v>23</v>
      </c>
      <c r="C24" s="84">
        <f>'Объем  платных услуг насел'!B24/Население!C24</f>
        <v>12.864316239316238</v>
      </c>
      <c r="D24" s="84">
        <f>'Объем  платных услуг насел'!C24/Население!D24</f>
        <v>16.823404255319147</v>
      </c>
      <c r="E24" s="84">
        <f>'Объем  платных услуг насел'!D24/Население!E24</f>
        <v>21.008537886873</v>
      </c>
      <c r="F24" s="84">
        <f>'Объем  платных услуг насел'!E24/Население!F24</f>
        <v>25.522945570971185</v>
      </c>
      <c r="G24" s="84">
        <f>'Объем  платных услуг насел'!F24/Население!G24</f>
        <v>28.533617929562432</v>
      </c>
      <c r="H24" s="84">
        <f>'Объем  платных услуг насел'!G24/Население!H24</f>
        <v>31.601910828025478</v>
      </c>
      <c r="I24" s="84">
        <f>'Объем  платных услуг насел'!H24/Население!I24</f>
        <v>33.429778247096095</v>
      </c>
      <c r="J24" s="84">
        <f>'Объем  платных услуг насел'!I24/Население!J24</f>
        <v>35.865968586387432</v>
      </c>
      <c r="K24" s="84">
        <f>'Объем  платных услуг насел'!J24/Население!K24</f>
        <v>39.450674974039458</v>
      </c>
      <c r="L24" s="84">
        <f>'Объем  платных услуг насел'!K24/Население!L24</f>
        <v>43.190918472652221</v>
      </c>
      <c r="M24" s="84">
        <f>'Объем  платных услуг насел'!L24/Население!M24</f>
        <v>46.936475409836063</v>
      </c>
      <c r="N24" s="84">
        <f>'Объем  платных услуг насел'!M24/Население!N24</f>
        <v>51.995943204868155</v>
      </c>
      <c r="O24" s="84">
        <f>'Объем  платных услуг насел'!N24/Население!O24</f>
        <v>56.383919597989951</v>
      </c>
      <c r="P24" s="84">
        <f>'Объем  платных услуг насел'!O24/Население!P24</f>
        <v>59.477045908183634</v>
      </c>
      <c r="Q24" s="84">
        <f>'Объем  платных услуг насел'!P24/Население!Q24</f>
        <v>62.144126357354395</v>
      </c>
      <c r="R24" s="84">
        <f>'Объем  платных услуг насел'!Q24/Население!R24</f>
        <v>55.157998037291463</v>
      </c>
    </row>
    <row r="25" spans="1:18" x14ac:dyDescent="0.25">
      <c r="A25" s="84">
        <v>24</v>
      </c>
      <c r="B25" s="84" t="s">
        <v>24</v>
      </c>
      <c r="C25" s="84">
        <f>'Объем  платных услуг насел'!B25/Население!C25</f>
        <v>8.7970326409495545</v>
      </c>
      <c r="D25" s="84">
        <f>'Объем  платных услуг насел'!C25/Население!D25</f>
        <v>11.245742092457421</v>
      </c>
      <c r="E25" s="84">
        <f>'Объем  платных услуг насел'!D25/Население!E25</f>
        <v>13.147130647130647</v>
      </c>
      <c r="F25" s="84">
        <f>'Объем  платных услуг насел'!E25/Население!F25</f>
        <v>15.686466625842009</v>
      </c>
      <c r="G25" s="84">
        <f>'Объем  платных услуг насел'!F25/Население!G25</f>
        <v>19.104166666666668</v>
      </c>
      <c r="H25" s="84">
        <f>'Объем  платных услуг насел'!G25/Население!H25</f>
        <v>21.350785340314136</v>
      </c>
      <c r="I25" s="84">
        <f>'Объем  платных услуг насел'!H25/Население!I25</f>
        <v>24.091118800461363</v>
      </c>
      <c r="J25" s="84">
        <f>'Объем  платных услуг насел'!I25/Население!J25</f>
        <v>26.727584237578526</v>
      </c>
      <c r="K25" s="84">
        <f>'Объем  платных услуг насел'!J25/Население!K25</f>
        <v>30.558956916099774</v>
      </c>
      <c r="L25" s="84">
        <f>'Объем  платных услуг насел'!K25/Население!L25</f>
        <v>32.655968468468465</v>
      </c>
      <c r="M25" s="84">
        <f>'Объем  платных услуг насел'!L25/Население!M25</f>
        <v>35.415401911186059</v>
      </c>
      <c r="N25" s="84">
        <f>'Объем  платных услуг насел'!M25/Население!N25</f>
        <v>38.541852678571431</v>
      </c>
      <c r="O25" s="84">
        <f>'Объем  платных услуг насел'!N25/Население!O25</f>
        <v>40.590959206174198</v>
      </c>
      <c r="P25" s="84">
        <f>'Объем  платных услуг насел'!O25/Население!P25</f>
        <v>42.498917748917748</v>
      </c>
      <c r="Q25" s="84">
        <f>'Объем  платных услуг насел'!P25/Население!Q25</f>
        <v>44.375799573560769</v>
      </c>
      <c r="R25" s="84">
        <f>'Объем  платных услуг насел'!Q25/Население!R25</f>
        <v>42.473322768092977</v>
      </c>
    </row>
    <row r="26" spans="1:18" x14ac:dyDescent="0.25">
      <c r="A26" s="84">
        <v>25</v>
      </c>
      <c r="B26" s="84" t="s">
        <v>25</v>
      </c>
      <c r="C26" s="84">
        <f>'Объем  платных услуг насел'!B26/Население!C26</f>
        <v>27.34326579261025</v>
      </c>
      <c r="D26" s="84">
        <f>'Объем  платных услуг насел'!C26/Население!D26</f>
        <v>32.079861111111114</v>
      </c>
      <c r="E26" s="84">
        <f>'Объем  платных услуг насел'!D26/Население!E26</f>
        <v>36.849474912485412</v>
      </c>
      <c r="F26" s="84">
        <f>'Объем  платных услуг насел'!E26/Население!F26</f>
        <v>41.578143360752058</v>
      </c>
      <c r="G26" s="84">
        <f>'Объем  платных услуг насел'!F26/Население!G26</f>
        <v>46.500593119810205</v>
      </c>
      <c r="H26" s="84">
        <f>'Объем  платных услуг насел'!G26/Население!H26</f>
        <v>47.600755667506299</v>
      </c>
      <c r="I26" s="84">
        <f>'Объем  платных услуг насел'!H26/Население!I26</f>
        <v>51.06218274111675</v>
      </c>
      <c r="J26" s="84">
        <f>'Объем  платных услуг насел'!I26/Население!J26</f>
        <v>55.314102564102562</v>
      </c>
      <c r="K26" s="84">
        <f>'Объем  платных услуг насел'!J26/Население!K26</f>
        <v>65.735408560311285</v>
      </c>
      <c r="L26" s="84">
        <f>'Объем  платных услуг насел'!K26/Население!L26</f>
        <v>71.52480417754569</v>
      </c>
      <c r="M26" s="84">
        <f>'Объем  платных услуг насел'!L26/Население!M26</f>
        <v>72.128608923884514</v>
      </c>
      <c r="N26" s="84">
        <f>'Объем  платных услуг насел'!M26/Население!N26</f>
        <v>75.003963011889041</v>
      </c>
      <c r="O26" s="84">
        <f>'Объем  платных услуг насел'!N26/Население!O26</f>
        <v>74.893899204244036</v>
      </c>
      <c r="P26" s="84">
        <f>'Объем  платных услуг насел'!O26/Население!P26</f>
        <v>80.014705882352942</v>
      </c>
      <c r="Q26" s="84">
        <f>'Объем  платных услуг насел'!P26/Население!Q26</f>
        <v>85.427800269905532</v>
      </c>
      <c r="R26" s="84">
        <f>'Объем  платных услуг насел'!Q26/Население!R26</f>
        <v>79.341064120054568</v>
      </c>
    </row>
    <row r="27" spans="1:18" x14ac:dyDescent="0.25">
      <c r="A27" s="84">
        <v>26</v>
      </c>
      <c r="B27" s="84" t="s">
        <v>26</v>
      </c>
      <c r="C27" s="84">
        <f>'Объем  платных услуг насел'!B27/Население!C27</f>
        <v>12.12012012012012</v>
      </c>
      <c r="D27" s="84">
        <f>'Объем  платных услуг насел'!C27/Население!D27</f>
        <v>14.673684210526316</v>
      </c>
      <c r="E27" s="84">
        <f>'Объем  платных услуг насел'!D27/Население!E27</f>
        <v>17.898021308980212</v>
      </c>
      <c r="F27" s="84">
        <f>'Объем  платных услуг насел'!E27/Население!F27</f>
        <v>21.947852760736197</v>
      </c>
      <c r="G27" s="84">
        <f>'Объем  платных услуг насел'!F27/Население!G27</f>
        <v>25.523219814241486</v>
      </c>
      <c r="H27" s="84">
        <f>'Объем  платных услуг насел'!G27/Население!H27</f>
        <v>30.688783570300156</v>
      </c>
      <c r="I27" s="84">
        <f>'Объем  платных услуг насел'!H27/Население!I27</f>
        <v>36.141269841269839</v>
      </c>
      <c r="J27" s="84">
        <f>'Объем  платных услуг насел'!I27/Население!J27</f>
        <v>41.873801916932905</v>
      </c>
      <c r="K27" s="84">
        <f>'Объем  платных услуг насел'!J27/Население!K27</f>
        <v>46.340288924558585</v>
      </c>
      <c r="L27" s="84">
        <f>'Объем  платных услуг насел'!K27/Население!L27</f>
        <v>51.245557350565427</v>
      </c>
      <c r="M27" s="84">
        <f>'Объем  платных услуг насел'!L27/Население!M27</f>
        <v>53.685064935064936</v>
      </c>
      <c r="N27" s="84">
        <f>'Объем  платных услуг насел'!M27/Население!N27</f>
        <v>53.874388254486135</v>
      </c>
      <c r="O27" s="84">
        <f>'Объем  платных услуг насел'!N27/Население!O27</f>
        <v>53.150165016501653</v>
      </c>
      <c r="P27" s="84">
        <f>'Объем  платных услуг насел'!O27/Население!P27</f>
        <v>54.34</v>
      </c>
      <c r="Q27" s="84">
        <f>'Объем  платных услуг насел'!P27/Население!Q27</f>
        <v>55.618090452261306</v>
      </c>
      <c r="R27" s="84">
        <f>'Объем  платных услуг насел'!Q27/Население!R27</f>
        <v>49.128378378378379</v>
      </c>
    </row>
    <row r="28" spans="1:18" x14ac:dyDescent="0.25">
      <c r="A28" s="84">
        <v>27</v>
      </c>
      <c r="B28" s="84" t="s">
        <v>27</v>
      </c>
      <c r="C28" s="84">
        <f>'Объем  платных услуг насел'!B28/Население!C28</f>
        <v>9.948682385575589</v>
      </c>
      <c r="D28" s="84">
        <f>'Объем  платных услуг насел'!C28/Население!D28</f>
        <v>12.575172413793103</v>
      </c>
      <c r="E28" s="84">
        <f>'Объем  платных услуг насел'!D28/Население!E28</f>
        <v>14.966386554621849</v>
      </c>
      <c r="F28" s="84">
        <f>'Объем  платных услуг насел'!E28/Население!F28</f>
        <v>18.001416430594901</v>
      </c>
      <c r="G28" s="84">
        <f>'Объем  платных услуг насел'!F28/Население!G28</f>
        <v>21.211206896551722</v>
      </c>
      <c r="H28" s="84">
        <f>'Объем  платных услуг насел'!G28/Население!H28</f>
        <v>24.336810730253355</v>
      </c>
      <c r="I28" s="84">
        <f>'Объем  платных услуг насел'!H28/Население!I28</f>
        <v>27.413793103448278</v>
      </c>
      <c r="J28" s="84">
        <f>'Объем  платных услуг насел'!I28/Население!J28</f>
        <v>29.34894259818731</v>
      </c>
      <c r="K28" s="84">
        <f>'Объем  платных услуг насел'!J28/Население!K28</f>
        <v>30.115677321156774</v>
      </c>
      <c r="L28" s="84">
        <f>'Объем  платных услуг насел'!K28/Население!L28</f>
        <v>32.317972350230413</v>
      </c>
      <c r="M28" s="84">
        <f>'Объем  платных услуг насел'!L28/Население!M28</f>
        <v>36.360681114551085</v>
      </c>
      <c r="N28" s="84">
        <f>'Объем  платных услуг насел'!M28/Население!N28</f>
        <v>38.462616822429908</v>
      </c>
      <c r="O28" s="84">
        <f>'Объем  платных услуг насел'!N28/Население!O28</f>
        <v>40.306603773584904</v>
      </c>
      <c r="P28" s="84">
        <f>'Объем  платных услуг насел'!O28/Население!P28</f>
        <v>42.68730158730159</v>
      </c>
      <c r="Q28" s="84">
        <f>'Объем  платных услуг насел'!P28/Население!Q28</f>
        <v>45.217252396166131</v>
      </c>
      <c r="R28" s="84">
        <f>'Объем  платных услуг насел'!Q28/Население!R28</f>
        <v>42.348387096774196</v>
      </c>
    </row>
    <row r="29" spans="1:18" x14ac:dyDescent="0.25">
      <c r="A29" s="84">
        <v>28</v>
      </c>
      <c r="B29" s="84" t="s">
        <v>28</v>
      </c>
      <c r="C29" s="84">
        <f>'Объем  платных услуг насел'!B29/Население!C29</f>
        <v>26.812433694037768</v>
      </c>
      <c r="D29" s="84">
        <f>'Объем  платных услуг насел'!C29/Население!D29</f>
        <v>33.062868369351669</v>
      </c>
      <c r="E29" s="84">
        <f>'Объем  платных услуг насел'!D29/Население!E29</f>
        <v>41.580835703347191</v>
      </c>
      <c r="F29" s="84">
        <f>'Объем  платных услуг насел'!E29/Население!F29</f>
        <v>50.089973730297721</v>
      </c>
      <c r="G29" s="84">
        <f>'Объем  платных услуг насел'!F29/Население!G29</f>
        <v>52.677215189873415</v>
      </c>
      <c r="H29" s="84">
        <f>'Объем  платных услуг насел'!G29/Население!H29</f>
        <v>57.427638293529292</v>
      </c>
      <c r="I29" s="84">
        <f>'Объем  платных услуг насел'!H29/Население!I29</f>
        <v>63.861901877649906</v>
      </c>
      <c r="J29" s="84">
        <f>'Объем  платных услуг насел'!I29/Население!J29</f>
        <v>68.37092283214001</v>
      </c>
      <c r="K29" s="84">
        <f>'Объем  платных услуг насел'!J29/Население!K29</f>
        <v>72.617692907248639</v>
      </c>
      <c r="L29" s="84">
        <f>'Объем  платных услуг насел'!K29/Население!L29</f>
        <v>74.430662557781204</v>
      </c>
      <c r="M29" s="84">
        <f>'Объем  платных услуг насел'!L29/Население!M29</f>
        <v>79.232491389207809</v>
      </c>
      <c r="N29" s="84">
        <f>'Объем  платных услуг насел'!M29/Население!N29</f>
        <v>84.705035971223026</v>
      </c>
      <c r="O29" s="84">
        <f>'Объем  платных услуг насел'!N29/Население!O29</f>
        <v>92.329035874439455</v>
      </c>
      <c r="P29" s="84">
        <f>'Объем  платных услуг насел'!O29/Население!P29</f>
        <v>100.01801634472511</v>
      </c>
      <c r="Q29" s="84">
        <f>'Объем  платных услуг насел'!P29/Население!Q29</f>
        <v>102.70044460911448</v>
      </c>
      <c r="R29" s="84">
        <f>'Объем  платных услуг насел'!Q29/Население!R29</f>
        <v>87.533989598811289</v>
      </c>
    </row>
    <row r="30" spans="1:18" x14ac:dyDescent="0.25">
      <c r="A30" s="84">
        <v>29</v>
      </c>
      <c r="B30" s="84" t="s">
        <v>29</v>
      </c>
      <c r="C30" s="84">
        <f>'Объем  платных услуг насел'!B30/Население!C30</f>
        <v>7.1315192743764175</v>
      </c>
      <c r="D30" s="84">
        <f>'Объем  платных услуг насел'!C30/Население!D30</f>
        <v>7.6027088036117378</v>
      </c>
      <c r="E30" s="84">
        <f>'Объем  платных услуг насел'!D30/Население!E30</f>
        <v>9.1247165532879819</v>
      </c>
      <c r="F30" s="84">
        <f>'Объем  платных услуг насел'!E30/Население!F30</f>
        <v>11.913832199546485</v>
      </c>
      <c r="G30" s="84">
        <f>'Объем  платных услуг насел'!F30/Население!G30</f>
        <v>13.582392776523703</v>
      </c>
      <c r="H30" s="84">
        <f>'Объем  платных услуг насел'!G30/Население!H30</f>
        <v>14.275</v>
      </c>
      <c r="I30" s="84">
        <f>'Объем  платных услуг насел'!H30/Население!I30</f>
        <v>16.643340857787809</v>
      </c>
      <c r="J30" s="84">
        <f>'Объем  платных услуг насел'!I30/Население!J30</f>
        <v>18.991011235955057</v>
      </c>
      <c r="K30" s="84">
        <f>'Объем  платных услуг насел'!J30/Население!K30</f>
        <v>22.816143497757846</v>
      </c>
      <c r="L30" s="84">
        <f>'Объем  платных услуг насел'!K30/Население!L30</f>
        <v>25.040089086859687</v>
      </c>
      <c r="M30" s="84">
        <f>'Объем  платных услуг насел'!L30/Население!M30</f>
        <v>25.532150776053214</v>
      </c>
      <c r="N30" s="84">
        <f>'Объем  платных услуг насел'!M30/Население!N30</f>
        <v>27.927312775330396</v>
      </c>
      <c r="O30" s="84">
        <f>'Объем  платных услуг насел'!N30/Население!O30</f>
        <v>29.303964757709252</v>
      </c>
      <c r="P30" s="84">
        <f>'Объем  платных услуг насел'!O30/Население!P30</f>
        <v>29.659340659340661</v>
      </c>
      <c r="Q30" s="84">
        <f>'Объем  платных услуг насел'!P30/Население!Q30</f>
        <v>31.272138228941685</v>
      </c>
      <c r="R30" s="84">
        <f>'Объем  платных услуг насел'!Q30/Население!R30</f>
        <v>30.749460043196546</v>
      </c>
    </row>
    <row r="31" spans="1:18" x14ac:dyDescent="0.25">
      <c r="A31" s="84">
        <v>30</v>
      </c>
      <c r="B31" s="84" t="s">
        <v>30</v>
      </c>
      <c r="C31" s="84">
        <f>'Объем  платных услуг насел'!B31/Население!C31</f>
        <v>3.9183673469387754</v>
      </c>
      <c r="D31" s="84">
        <f>'Объем  платных услуг насел'!C31/Население!D31</f>
        <v>6.1937716262975782</v>
      </c>
      <c r="E31" s="84">
        <f>'Объем  платных услуг насел'!D31/Население!E31</f>
        <v>7.3867595818815328</v>
      </c>
      <c r="F31" s="84">
        <f>'Объем  платных услуг насел'!E31/Население!F31</f>
        <v>9.12937062937063</v>
      </c>
      <c r="G31" s="84">
        <f>'Объем  платных услуг насел'!F31/Население!G31</f>
        <v>9.964788732394366</v>
      </c>
      <c r="H31" s="84">
        <f>'Объем  платных услуг насел'!G31/Население!H31</f>
        <v>10.764705882352942</v>
      </c>
      <c r="I31" s="84">
        <f>'Объем  платных услуг насел'!H31/Население!I31</f>
        <v>12.038327526132404</v>
      </c>
      <c r="J31" s="84">
        <f>'Объем  платных услуг насел'!I31/Население!J31</f>
        <v>13.644366197183098</v>
      </c>
      <c r="K31" s="84">
        <f>'Объем  платных услуг насел'!J31/Население!K31</f>
        <v>15.212765957446809</v>
      </c>
      <c r="L31" s="84">
        <f>'Объем  платных услуг насел'!K31/Население!L31</f>
        <v>16.398576512455517</v>
      </c>
      <c r="M31" s="84">
        <f>'Объем  платных услуг насел'!L31/Население!M31</f>
        <v>17.451612903225808</v>
      </c>
      <c r="N31" s="84">
        <f>'Объем  платных услуг насел'!M31/Население!N31</f>
        <v>18.093525179856115</v>
      </c>
      <c r="O31" s="84">
        <f>'Объем  платных услуг насел'!N31/Население!O31</f>
        <v>19.847272727272728</v>
      </c>
      <c r="P31" s="84">
        <f>'Объем  платных услуг насел'!O31/Население!P31</f>
        <v>21.518382352941178</v>
      </c>
      <c r="Q31" s="84">
        <f>'Объем  платных услуг насел'!P31/Население!Q31</f>
        <v>22.767527675276753</v>
      </c>
      <c r="R31" s="84">
        <f>'Объем  платных услуг насел'!Q31/Население!R31</f>
        <v>21.788888888888888</v>
      </c>
    </row>
    <row r="32" spans="1:18" x14ac:dyDescent="0.25">
      <c r="A32" s="84">
        <v>31</v>
      </c>
      <c r="B32" s="84" t="s">
        <v>31</v>
      </c>
      <c r="C32" s="84"/>
      <c r="D32" s="84"/>
      <c r="E32" s="84"/>
      <c r="F32" s="84"/>
      <c r="G32" s="84"/>
      <c r="H32" s="84"/>
      <c r="I32" s="84"/>
      <c r="J32" s="84"/>
      <c r="K32" s="84"/>
      <c r="L32" s="84">
        <f>'Объем  платных услуг насел'!K32/Население!L32</f>
        <v>4.5485232067510548</v>
      </c>
      <c r="M32" s="84">
        <f>'Объем  платных услуг насел'!L32/Население!M32</f>
        <v>38.684845306764551</v>
      </c>
      <c r="N32" s="84">
        <f>'Объем  платных услуг насел'!M32/Население!N32</f>
        <v>41.894874476987447</v>
      </c>
      <c r="O32" s="84">
        <f>'Объем  платных услуг насел'!N32/Население!O32</f>
        <v>44.626436781609193</v>
      </c>
      <c r="P32" s="84">
        <f>'Объем  платных услуг насел'!O32/Население!P32</f>
        <v>45.239539748953973</v>
      </c>
      <c r="Q32" s="84">
        <f>'Объем  платных услуг насел'!P32/Население!Q32</f>
        <v>47.4576359832636</v>
      </c>
      <c r="R32" s="84">
        <f>'Объем  платных услуг насел'!Q32/Население!R32</f>
        <v>45.067297581493165</v>
      </c>
    </row>
    <row r="33" spans="1:18" x14ac:dyDescent="0.25">
      <c r="A33" s="84">
        <v>32</v>
      </c>
      <c r="B33" s="84" t="s">
        <v>32</v>
      </c>
      <c r="C33" s="84">
        <f>'Объем  платных услуг насел'!B33/Население!C33</f>
        <v>14.471815876731032</v>
      </c>
      <c r="D33" s="84">
        <f>'Объем  платных услуг насел'!C33/Население!D33</f>
        <v>17.103414442700156</v>
      </c>
      <c r="E33" s="84">
        <f>'Объем  платных услуг насел'!D33/Население!E33</f>
        <v>22.679670652813172</v>
      </c>
      <c r="F33" s="84">
        <f>'Объем  платных услуг насел'!E33/Население!F33</f>
        <v>26.916829363529871</v>
      </c>
      <c r="G33" s="84">
        <f>'Объем  платных услуг насел'!F33/Население!G33</f>
        <v>31.463827304550758</v>
      </c>
      <c r="H33" s="84">
        <f>'Объем  платных услуг насел'!G33/Население!H33</f>
        <v>35.582217973231359</v>
      </c>
      <c r="I33" s="84">
        <f>'Объем  платных услуг насел'!H33/Население!I33</f>
        <v>40.552990158970474</v>
      </c>
      <c r="J33" s="84">
        <f>'Объем  платных услуг насел'!I33/Население!J33</f>
        <v>45.316322701688556</v>
      </c>
      <c r="K33" s="84">
        <f>'Объем  платных услуг насел'!J33/Население!K33</f>
        <v>58.292746113989637</v>
      </c>
      <c r="L33" s="84">
        <f>'Объем  платных услуг насел'!K33/Население!L33</f>
        <v>66.15914924825816</v>
      </c>
      <c r="M33" s="84">
        <f>'Объем  платных услуг насел'!L33/Население!M33</f>
        <v>74.016322089227415</v>
      </c>
      <c r="N33" s="84">
        <f>'Объем  платных услуг насел'!M33/Население!N33</f>
        <v>80.111111111111114</v>
      </c>
      <c r="O33" s="84">
        <f>'Объем  платных услуг насел'!N33/Население!O33</f>
        <v>85.633767624486879</v>
      </c>
      <c r="P33" s="84">
        <f>'Объем  платных услуг насел'!O33/Население!P33</f>
        <v>92.481409348441929</v>
      </c>
      <c r="Q33" s="84">
        <f>'Объем  платных услуг насел'!P33/Население!Q33</f>
        <v>93.699260042283299</v>
      </c>
      <c r="R33" s="84">
        <f>'Объем  платных услуг насел'!Q33/Население!R33</f>
        <v>92.84641097818438</v>
      </c>
    </row>
    <row r="34" spans="1:18" x14ac:dyDescent="0.25">
      <c r="A34" s="84">
        <v>33</v>
      </c>
      <c r="B34" s="84" t="s">
        <v>33</v>
      </c>
      <c r="C34" s="84">
        <f>'Объем  платных услуг насел'!B34/Население!C34</f>
        <v>10.728813559322035</v>
      </c>
      <c r="D34" s="84">
        <f>'Объем  платных услуг насел'!C34/Население!D34</f>
        <v>13.295774647887324</v>
      </c>
      <c r="E34" s="84">
        <f>'Объем  платных услуг насел'!D34/Население!E34</f>
        <v>15.453722334004024</v>
      </c>
      <c r="F34" s="84">
        <f>'Объем  платных услуг насел'!E34/Население!F34</f>
        <v>18.43856143856144</v>
      </c>
      <c r="G34" s="84">
        <f>'Объем  платных услуг насел'!F34/Население!G34</f>
        <v>21.601990049751244</v>
      </c>
      <c r="H34" s="84">
        <f>'Объем  платных услуг насел'!G34/Население!H34</f>
        <v>24.267326732673268</v>
      </c>
      <c r="I34" s="84">
        <f>'Объем  платных услуг насел'!H34/Население!I34</f>
        <v>26.461083743842366</v>
      </c>
      <c r="J34" s="84">
        <f>'Объем  платных услуг насел'!I34/Население!J34</f>
        <v>28.675542406311639</v>
      </c>
      <c r="K34" s="84">
        <f>'Объем  платных услуг насел'!J34/Население!K34</f>
        <v>31.175024582104228</v>
      </c>
      <c r="L34" s="84">
        <f>'Объем  платных услуг насел'!K34/Население!L34</f>
        <v>34.156709108716946</v>
      </c>
      <c r="M34" s="84">
        <f>'Объем  платных услуг насел'!L34/Население!M34</f>
        <v>35.025515210991166</v>
      </c>
      <c r="N34" s="84">
        <f>'Объем  платных услуг насел'!M34/Население!N34</f>
        <v>36.390578999018643</v>
      </c>
      <c r="O34" s="84">
        <f>'Объем  платных услуг насел'!N34/Население!O34</f>
        <v>38.598820058997049</v>
      </c>
      <c r="P34" s="84">
        <f>'Объем  платных услуг насел'!O34/Население!P34</f>
        <v>40.671597633136095</v>
      </c>
      <c r="Q34" s="84">
        <f>'Объем  платных услуг насел'!P34/Население!Q34</f>
        <v>42.4234592445328</v>
      </c>
      <c r="R34" s="84">
        <f>'Объем  платных услуг насел'!Q34/Население!R34</f>
        <v>39.045090180360724</v>
      </c>
    </row>
    <row r="35" spans="1:18" x14ac:dyDescent="0.25">
      <c r="A35" s="84">
        <v>34</v>
      </c>
      <c r="B35" s="84" t="s">
        <v>34</v>
      </c>
      <c r="C35" s="84">
        <f>'Объем  платных услуг насел'!B35/Население!C35</f>
        <v>12.325378787878789</v>
      </c>
      <c r="D35" s="84">
        <f>'Объем  платных услуг насел'!C35/Население!D35</f>
        <v>17.303490136570563</v>
      </c>
      <c r="E35" s="84">
        <f>'Объем  платных услуг насел'!D35/Население!E35</f>
        <v>22.132824427480916</v>
      </c>
      <c r="F35" s="84">
        <f>'Объем  платных услуг насел'!E35/Население!F35</f>
        <v>27.207742430049827</v>
      </c>
      <c r="G35" s="84">
        <f>'Объем  платных услуг насел'!F35/Население!G35</f>
        <v>31.799153520584841</v>
      </c>
      <c r="H35" s="84">
        <f>'Объем  платных услуг насел'!G35/Население!H35</f>
        <v>32.75028768699655</v>
      </c>
      <c r="I35" s="84">
        <f>'Объем  платных услуг насел'!H35/Население!I35</f>
        <v>36.909441233140655</v>
      </c>
      <c r="J35" s="84">
        <f>'Объем  платных услуг насел'!I35/Население!J35</f>
        <v>41.770421989934185</v>
      </c>
      <c r="K35" s="84">
        <f>'Объем  платных услуг насел'!J35/Население!K35</f>
        <v>44.335149863760215</v>
      </c>
      <c r="L35" s="84">
        <f>'Объем  платных услуг насел'!K35/Население!L35</f>
        <v>47.139225655064529</v>
      </c>
      <c r="M35" s="84">
        <f>'Объем  платных услуг насел'!L35/Население!M35</f>
        <v>51.65121759622938</v>
      </c>
      <c r="N35" s="84">
        <f>'Объем  платных услуг насел'!M35/Население!N35</f>
        <v>49.668639053254438</v>
      </c>
      <c r="O35" s="84">
        <f>'Объем  платных услуг насел'!N35/Население!O35</f>
        <v>52.779452598175325</v>
      </c>
      <c r="P35" s="84">
        <f>'Объем  платных услуг насел'!O35/Население!P35</f>
        <v>55.671850079744814</v>
      </c>
      <c r="Q35" s="84">
        <f>'Объем  платных услуг насел'!P35/Население!Q35</f>
        <v>59.347651545564034</v>
      </c>
      <c r="R35" s="84">
        <f>'Объем  платных услуг насел'!Q35/Население!R35</f>
        <v>53.49050505050505</v>
      </c>
    </row>
    <row r="36" spans="1:18" x14ac:dyDescent="0.25">
      <c r="A36" s="84">
        <v>35</v>
      </c>
      <c r="B36" s="84" t="s">
        <v>35</v>
      </c>
      <c r="C36" s="84">
        <f>'Объем  платных услуг насел'!B36/Население!C36</f>
        <v>11.384349030470915</v>
      </c>
      <c r="D36" s="84">
        <f>'Объем  платных услуг насел'!C36/Население!D36</f>
        <v>14.4135687732342</v>
      </c>
      <c r="E36" s="84">
        <f>'Объем  платных услуг насел'!D36/Население!E36</f>
        <v>17.032273152478954</v>
      </c>
      <c r="F36" s="84">
        <f>'Объем  платных услуг насел'!E36/Население!F36</f>
        <v>20.709283196239717</v>
      </c>
      <c r="G36" s="84">
        <f>'Объем  платных услуг насел'!F36/Население!G36</f>
        <v>22.843941537010846</v>
      </c>
      <c r="H36" s="84">
        <f>'Объем  платных услуг насел'!G36/Население!H36</f>
        <v>25.689356725146197</v>
      </c>
      <c r="I36" s="84">
        <f>'Объем  платных услуг насел'!H36/Население!I36</f>
        <v>28.663380281690142</v>
      </c>
      <c r="J36" s="84">
        <f>'Объем  платных услуг насел'!I36/Население!J36</f>
        <v>31.092383638928069</v>
      </c>
      <c r="K36" s="84">
        <f>'Объем  платных услуг насел'!J36/Население!K36</f>
        <v>36.393075836081017</v>
      </c>
      <c r="L36" s="84">
        <f>'Объем  платных услуг насел'!K36/Население!L36</f>
        <v>40.416548797736915</v>
      </c>
      <c r="M36" s="84">
        <f>'Объем  платных услуг насел'!L36/Население!M36</f>
        <v>44.287771482530687</v>
      </c>
      <c r="N36" s="84">
        <f>'Объем  платных услуг насел'!M36/Население!N36</f>
        <v>47.562042070432518</v>
      </c>
      <c r="O36" s="84">
        <f>'Объем  платных услуг насел'!N36/Население!O36</f>
        <v>50.819710968964699</v>
      </c>
      <c r="P36" s="84">
        <f>'Объем  платных услуг насел'!O36/Население!P36</f>
        <v>54.918867475612657</v>
      </c>
      <c r="Q36" s="84">
        <f>'Объем  платных услуг насел'!P36/Население!Q36</f>
        <v>58.980228680323961</v>
      </c>
      <c r="R36" s="84">
        <f>'Объем  платных услуг насел'!Q36/Население!R36</f>
        <v>54.966284074605454</v>
      </c>
    </row>
    <row r="37" spans="1:18" x14ac:dyDescent="0.25">
      <c r="A37" s="84">
        <v>36</v>
      </c>
      <c r="B37" s="84" t="s">
        <v>36</v>
      </c>
      <c r="C37" s="84"/>
      <c r="D37" s="84"/>
      <c r="E37" s="84"/>
      <c r="F37" s="84"/>
      <c r="G37" s="84"/>
      <c r="H37" s="84"/>
      <c r="I37" s="84"/>
      <c r="J37" s="84"/>
      <c r="K37" s="84"/>
      <c r="L37" s="84">
        <f>'Объем  платных услуг насел'!K37/Население!L37</f>
        <v>5.7794486215538843</v>
      </c>
      <c r="M37" s="84">
        <f>'Объем  платных услуг насел'!L37/Население!M37</f>
        <v>50.783653846153847</v>
      </c>
      <c r="N37" s="84">
        <f>'Объем  платных услуг насел'!M37/Население!N37</f>
        <v>70.055944055944053</v>
      </c>
      <c r="O37" s="84">
        <f>'Объем  платных услуг насел'!N37/Население!O37</f>
        <v>76.734553775743706</v>
      </c>
      <c r="P37" s="84">
        <f>'Объем  платных услуг насел'!O37/Население!P37</f>
        <v>81.101580135440187</v>
      </c>
      <c r="Q37" s="84">
        <f>'Объем  платных услуг насел'!P37/Население!Q37</f>
        <v>83.512249443207125</v>
      </c>
      <c r="R37" s="84">
        <f>'Объем  платных услуг насел'!Q37/Население!R37</f>
        <v>69.533333333333331</v>
      </c>
    </row>
    <row r="38" spans="1:18" x14ac:dyDescent="0.25">
      <c r="A38" s="84">
        <v>37</v>
      </c>
      <c r="B38" s="84" t="s">
        <v>37</v>
      </c>
      <c r="C38" s="84">
        <f>'Объем  платных услуг насел'!B38/Население!C38</f>
        <v>7.1979205347196435</v>
      </c>
      <c r="D38" s="84">
        <f>'Объем  платных услуг насел'!C38/Население!D38</f>
        <v>9.5921999242711102</v>
      </c>
      <c r="E38" s="84">
        <f>'Объем  платных услуг насел'!D38/Население!E38</f>
        <v>12.701767581797668</v>
      </c>
      <c r="F38" s="84">
        <f>'Объем  платных услуг насел'!E38/Население!F38</f>
        <v>16.294642857142858</v>
      </c>
      <c r="G38" s="84">
        <f>'Объем  платных услуг насел'!F38/Население!G38</f>
        <v>19.714970501474927</v>
      </c>
      <c r="H38" s="84">
        <f>'Объем  платных услуг насел'!G38/Население!H38</f>
        <v>20.856554564172956</v>
      </c>
      <c r="I38" s="84">
        <f>'Объем  платных услуг насел'!H38/Население!I38</f>
        <v>22.844421699078811</v>
      </c>
      <c r="J38" s="84">
        <f>'Объем  платных услуг насел'!I38/Население!J38</f>
        <v>25.001697216564832</v>
      </c>
      <c r="K38" s="84">
        <f>'Объем  платных услуг насел'!J38/Население!K38</f>
        <v>28.949392712550608</v>
      </c>
      <c r="L38" s="84">
        <f>'Объем  платных услуг насел'!K38/Население!L38</f>
        <v>32.239464882943146</v>
      </c>
      <c r="M38" s="84">
        <f>'Объем  платных услуг насел'!L38/Население!M38</f>
        <v>35.124046434494197</v>
      </c>
      <c r="N38" s="84">
        <f>'Объем  платных услуг насел'!M38/Население!N38</f>
        <v>35.874753451676526</v>
      </c>
      <c r="O38" s="84">
        <f>'Объем  платных услуг насел'!N38/Население!O38</f>
        <v>38.81951697127937</v>
      </c>
      <c r="P38" s="84">
        <f>'Объем  платных услуг насел'!O38/Население!P38</f>
        <v>39.914776409591703</v>
      </c>
      <c r="Q38" s="84">
        <f>'Объем  платных услуг насел'!P38/Население!Q38</f>
        <v>42.450016072002569</v>
      </c>
      <c r="R38" s="84">
        <f>'Объем  платных услуг насел'!Q38/Население!R38</f>
        <v>39.387488030641556</v>
      </c>
    </row>
    <row r="39" spans="1:18" x14ac:dyDescent="0.25">
      <c r="A39" s="84">
        <v>38</v>
      </c>
      <c r="B39" s="84" t="s">
        <v>38</v>
      </c>
      <c r="C39" s="84">
        <f>'Объем  платных услуг насел'!B39/Население!C39</f>
        <v>0</v>
      </c>
      <c r="D39" s="84">
        <f>'Объем  платных услуг насел'!C39/Население!D39</f>
        <v>0</v>
      </c>
      <c r="E39" s="84">
        <f>'Объем  платных услуг насел'!D39/Население!E39</f>
        <v>0</v>
      </c>
      <c r="F39" s="84">
        <f>'Объем  платных услуг насел'!E39/Население!F39</f>
        <v>0</v>
      </c>
      <c r="G39" s="84">
        <f>'Объем  платных услуг насел'!F39/Население!G39</f>
        <v>0</v>
      </c>
      <c r="H39" s="84">
        <f>'Объем  платных услуг насел'!G39/Население!H39</f>
        <v>0</v>
      </c>
      <c r="I39" s="84">
        <f>'Объем  платных услуг насел'!H39/Население!I39</f>
        <v>0</v>
      </c>
      <c r="J39" s="84">
        <f>'Объем  платных услуг насел'!I39/Население!J39</f>
        <v>0</v>
      </c>
      <c r="K39" s="84">
        <f>'Объем  платных услуг насел'!J39/Население!K39</f>
        <v>19.977924944812361</v>
      </c>
      <c r="L39" s="84">
        <f>'Объем  платных услуг насел'!K39/Население!L39</f>
        <v>20.65301724137931</v>
      </c>
      <c r="M39" s="84">
        <f>'Объем  платных услуг насел'!L39/Население!M39</f>
        <v>21.010570824524311</v>
      </c>
      <c r="N39" s="84">
        <f>'Объем  платных услуг насел'!M39/Население!N39</f>
        <v>20.77130977130977</v>
      </c>
      <c r="O39" s="84">
        <f>'Объем  платных услуг насел'!N39/Население!O39</f>
        <v>23.284836065573771</v>
      </c>
      <c r="P39" s="84">
        <f>'Объем  платных услуг насел'!O39/Население!P39</f>
        <v>23.303212851405622</v>
      </c>
      <c r="Q39" s="84">
        <f>'Объем  платных услуг насел'!P39/Население!Q39</f>
        <v>21.842209072978303</v>
      </c>
      <c r="R39" s="84">
        <f>'Объем  платных услуг насел'!Q39/Население!R39</f>
        <v>18.228682170542637</v>
      </c>
    </row>
    <row r="40" spans="1:18" x14ac:dyDescent="0.25">
      <c r="A40" s="84">
        <v>39</v>
      </c>
      <c r="B40" s="84" t="s">
        <v>42</v>
      </c>
      <c r="C40" s="84">
        <f>'Объем  платных услуг насел'!B40/Население!C40</f>
        <v>7.840646651270208</v>
      </c>
      <c r="D40" s="84">
        <f>'Объем  платных услуг насел'!C40/Население!D40</f>
        <v>8.8982102908277412</v>
      </c>
      <c r="E40" s="84">
        <f>'Объем  платных услуг насел'!D40/Население!E40</f>
        <v>10.083052749719416</v>
      </c>
      <c r="F40" s="84">
        <f>'Объем  платных услуг насел'!E40/Население!F40</f>
        <v>12.115600448933781</v>
      </c>
      <c r="G40" s="84">
        <f>'Объем  платных услуг насел'!F40/Население!G40</f>
        <v>14.267937219730941</v>
      </c>
      <c r="H40" s="84">
        <f>'Объем  платных услуг насел'!G40/Население!H40</f>
        <v>17.354651162790699</v>
      </c>
      <c r="I40" s="84">
        <f>'Объем  платных услуг насел'!H40/Население!I40</f>
        <v>20.21885913853318</v>
      </c>
      <c r="J40" s="84">
        <f>'Объем  платных услуг насел'!I40/Население!J40</f>
        <v>22.087310826542492</v>
      </c>
      <c r="K40" s="84">
        <f>'Объем  платных услуг насел'!J40/Население!K40</f>
        <v>25.472642607683351</v>
      </c>
      <c r="L40" s="84">
        <f>'Объем  платных услуг насел'!K40/Население!L40</f>
        <v>27.909407665505228</v>
      </c>
      <c r="M40" s="84">
        <f>'Объем  платных услуг насел'!L40/Население!M40</f>
        <v>30.392111368909514</v>
      </c>
      <c r="N40" s="84">
        <f>'Объем  платных услуг насел'!M40/Население!N40</f>
        <v>32.094797687861274</v>
      </c>
      <c r="O40" s="84">
        <f>'Объем  платных услуг насел'!N40/Население!O40</f>
        <v>33.937572254335258</v>
      </c>
      <c r="P40" s="84">
        <f>'Объем  платных услуг насел'!O40/Население!P40</f>
        <v>36.301385681293304</v>
      </c>
      <c r="Q40" s="84">
        <f>'Объем  платных услуг насел'!P40/Население!Q40</f>
        <v>38.585253456221196</v>
      </c>
      <c r="R40" s="84">
        <f>'Объем  платных услуг насел'!Q40/Население!R40</f>
        <v>36.46490218642117</v>
      </c>
    </row>
    <row r="41" spans="1:18" x14ac:dyDescent="0.25">
      <c r="A41" s="84">
        <v>40</v>
      </c>
      <c r="B41" s="84" t="s">
        <v>39</v>
      </c>
      <c r="C41" s="84">
        <f>'Объем  платных услуг насел'!B41/Население!C41</f>
        <v>6.6967032967032969</v>
      </c>
      <c r="D41" s="84">
        <f>'Объем  платных услуг насел'!C41/Население!D41</f>
        <v>9.5197215777262176</v>
      </c>
      <c r="E41" s="84">
        <f>'Объем  платных услуг насел'!D41/Население!E41</f>
        <v>10.967365967365968</v>
      </c>
      <c r="F41" s="84">
        <f>'Объем  платных услуг насел'!E41/Население!F41</f>
        <v>14.196721311475409</v>
      </c>
      <c r="G41" s="84">
        <f>'Объем  платных услуг насел'!F41/Население!G41</f>
        <v>15.929742388758783</v>
      </c>
      <c r="H41" s="84">
        <f>'Объем  платных услуг насел'!G41/Население!H41</f>
        <v>17.719077568134171</v>
      </c>
      <c r="I41" s="84">
        <f>'Объем  платных услуг насел'!H41/Население!I41</f>
        <v>19.549473684210525</v>
      </c>
      <c r="J41" s="84">
        <f>'Объем  платных услуг насел'!I41/Население!J41</f>
        <v>21.557203389830509</v>
      </c>
      <c r="K41" s="84">
        <f>'Объем  платных услуг насел'!J41/Население!K41</f>
        <v>23.927659574468084</v>
      </c>
      <c r="L41" s="84">
        <f>'Объем  платных услуг насел'!K41/Население!L41</f>
        <v>25.070362473347547</v>
      </c>
      <c r="M41" s="84">
        <f>'Объем  платных услуг насел'!L41/Население!M41</f>
        <v>26.119658119658119</v>
      </c>
      <c r="N41" s="84">
        <f>'Объем  платных услуг насел'!M41/Население!N41</f>
        <v>27.832618025751074</v>
      </c>
      <c r="O41" s="84">
        <f>'Объем  платных услуг насел'!N41/Население!O41</f>
        <v>29.358369098712448</v>
      </c>
      <c r="P41" s="84">
        <f>'Объем  платных услуг насел'!O41/Население!P41</f>
        <v>30.90772532188841</v>
      </c>
      <c r="Q41" s="84">
        <f>'Объем  платных услуг насел'!P41/Население!Q41</f>
        <v>33.302575107296136</v>
      </c>
      <c r="R41" s="84">
        <f>'Объем  платных услуг насел'!Q41/Население!R41</f>
        <v>32.380645161290325</v>
      </c>
    </row>
    <row r="42" spans="1:18" x14ac:dyDescent="0.25">
      <c r="A42" s="84">
        <v>41</v>
      </c>
      <c r="B42" s="84" t="s">
        <v>43</v>
      </c>
      <c r="C42" s="84">
        <f>'Объем  платных услуг насел'!B42/Население!C42</f>
        <v>9.7157001414427153</v>
      </c>
      <c r="D42" s="84">
        <f>'Объем  платных услуг насел'!C42/Население!D42</f>
        <v>12.934472934472934</v>
      </c>
      <c r="E42" s="84">
        <f>'Объем  платных услуг насел'!D42/Население!E42</f>
        <v>15.223965763195435</v>
      </c>
      <c r="F42" s="84">
        <f>'Объем  платных услуг насел'!E42/Население!F42</f>
        <v>17.830484330484332</v>
      </c>
      <c r="G42" s="84">
        <f>'Объем  платных услуг насел'!F42/Население!G42</f>
        <v>20.725071225071225</v>
      </c>
      <c r="H42" s="84">
        <f>'Объем  платных услуг насел'!G42/Население!H42</f>
        <v>22.976123595505619</v>
      </c>
      <c r="I42" s="84">
        <f>'Объем  платных услуг насел'!H42/Население!I42</f>
        <v>26.980253878702399</v>
      </c>
      <c r="J42" s="84">
        <f>'Объем  платных услуг насел'!I42/Население!J42</f>
        <v>28.978753541076486</v>
      </c>
      <c r="K42" s="84">
        <f>'Объем  платных услуг насел'!J42/Население!K42</f>
        <v>31.089488636363637</v>
      </c>
      <c r="L42" s="84">
        <f>'Объем  платных услуг насел'!K42/Население!L42</f>
        <v>32.957507082152972</v>
      </c>
      <c r="M42" s="84">
        <f>'Объем  платных услуг насел'!L42/Население!M42</f>
        <v>35.46875</v>
      </c>
      <c r="N42" s="84">
        <f>'Объем  платных услуг насел'!M42/Население!N42</f>
        <v>36.950213371266003</v>
      </c>
      <c r="O42" s="84">
        <f>'Объем  платных услуг насел'!N42/Население!O42</f>
        <v>38.824786324786324</v>
      </c>
      <c r="P42" s="84">
        <f>'Объем  платных услуг насел'!O42/Население!P42</f>
        <v>40.954220314735338</v>
      </c>
      <c r="Q42" s="84">
        <f>'Объем  платных услуг насел'!P42/Население!Q42</f>
        <v>38.622668579626975</v>
      </c>
      <c r="R42" s="84">
        <f>'Объем  платных услуг насел'!Q42/Население!R42</f>
        <v>33.802308802308801</v>
      </c>
    </row>
    <row r="43" spans="1:18" x14ac:dyDescent="0.25">
      <c r="A43" s="84">
        <v>42</v>
      </c>
      <c r="B43" s="84" t="s">
        <v>40</v>
      </c>
      <c r="C43" s="84">
        <f>'Объем  платных услуг насел'!B43/Население!C43</f>
        <v>0</v>
      </c>
      <c r="D43" s="84">
        <f>'Объем  платных услуг насел'!C43/Население!D43</f>
        <v>0</v>
      </c>
      <c r="E43" s="84">
        <f>'Объем  платных услуг насел'!D43/Население!E43</f>
        <v>0</v>
      </c>
      <c r="F43" s="84">
        <f>'Объем  платных услуг насел'!E43/Население!F43</f>
        <v>0</v>
      </c>
      <c r="G43" s="84">
        <f>'Объем  платных услуг насел'!F43/Население!G43</f>
        <v>0</v>
      </c>
      <c r="H43" s="84">
        <f>'Объем  платных услуг насел'!G43/Население!H43</f>
        <v>0</v>
      </c>
      <c r="I43" s="84">
        <f>'Объем  платных услуг насел'!H43/Население!I43</f>
        <v>0</v>
      </c>
      <c r="J43" s="84">
        <f>'Объем  платных услуг насел'!I43/Население!J43</f>
        <v>0</v>
      </c>
      <c r="K43" s="84">
        <f>'Объем  платных услуг насел'!J43/Население!K43</f>
        <v>22.185735512630014</v>
      </c>
      <c r="L43" s="84">
        <f>'Объем  платных услуг насел'!K43/Население!L43</f>
        <v>27.57007299270073</v>
      </c>
      <c r="M43" s="84">
        <f>'Объем  платных услуг насел'!L43/Население!M43</f>
        <v>30.730272596843616</v>
      </c>
      <c r="N43" s="84">
        <f>'Объем  платных услуг насел'!M43/Население!N43</f>
        <v>33.229681978798588</v>
      </c>
      <c r="O43" s="84">
        <f>'Объем  платных услуг насел'!N43/Население!O43</f>
        <v>36.681976339596382</v>
      </c>
      <c r="P43" s="84">
        <f>'Объем  платных услуг насел'!O43/Население!P43</f>
        <v>38.29375428963624</v>
      </c>
      <c r="Q43" s="84">
        <f>'Объем  платных услуг насел'!P43/Население!Q43</f>
        <v>39.240703177822851</v>
      </c>
      <c r="R43" s="84">
        <f>'Объем  платных услуг насел'!Q43/Население!R43</f>
        <v>37.228971962616825</v>
      </c>
    </row>
    <row r="44" spans="1:18" x14ac:dyDescent="0.25">
      <c r="A44" s="84">
        <v>43</v>
      </c>
      <c r="B44" s="84" t="s">
        <v>41</v>
      </c>
      <c r="C44" s="84">
        <f>'Объем  платных услуг насел'!B44/Население!C44</f>
        <v>12.853658536585366</v>
      </c>
      <c r="D44" s="84">
        <f>'Объем  платных услуг насел'!C44/Население!D44</f>
        <v>15.266051660516606</v>
      </c>
      <c r="E44" s="84">
        <f>'Объем  платных услуг насел'!D44/Население!E44</f>
        <v>18.645686782673085</v>
      </c>
      <c r="F44" s="84">
        <f>'Объем  платных услуг насел'!E44/Население!F44</f>
        <v>21.136783733826249</v>
      </c>
      <c r="G44" s="84">
        <f>'Объем  платных услуг насел'!F44/Население!G44</f>
        <v>24.061322497229405</v>
      </c>
      <c r="H44" s="84">
        <f>'Объем  платных услуг насел'!G44/Население!H44</f>
        <v>26.557071069633885</v>
      </c>
      <c r="I44" s="84">
        <f>'Объем  платных услуг насел'!H44/Население!I44</f>
        <v>30.601004664513813</v>
      </c>
      <c r="J44" s="84">
        <f>'Объем  платных услуг насел'!I44/Население!J44</f>
        <v>34.700465782873522</v>
      </c>
      <c r="K44" s="84">
        <f>'Объем  платных услуг насел'!J44/Население!K44</f>
        <v>42.504294917680745</v>
      </c>
      <c r="L44" s="84">
        <f>'Объем  платных услуг насел'!K44/Население!L44</f>
        <v>46.54483744194355</v>
      </c>
      <c r="M44" s="84">
        <f>'Объем  платных услуг насел'!L44/Население!M44</f>
        <v>49.96752319771592</v>
      </c>
      <c r="N44" s="84">
        <f>'Объем  платных услуг насел'!M44/Население!N44</f>
        <v>51.860556348074176</v>
      </c>
      <c r="O44" s="84">
        <f>'Объем  платных услуг насел'!N44/Население!O44</f>
        <v>54.297393787932883</v>
      </c>
      <c r="P44" s="84">
        <f>'Объем  платных услуг насел'!O44/Население!P44</f>
        <v>56.972450805008947</v>
      </c>
      <c r="Q44" s="84">
        <f>'Объем  платных услуг насел'!P44/Население!Q44</f>
        <v>59.484124152693539</v>
      </c>
      <c r="R44" s="84">
        <f>'Объем  платных услуг насел'!Q44/Население!R44</f>
        <v>51.67776584317938</v>
      </c>
    </row>
    <row r="45" spans="1:18" x14ac:dyDescent="0.25">
      <c r="A45" s="84">
        <v>44</v>
      </c>
      <c r="B45" s="84" t="s">
        <v>44</v>
      </c>
      <c r="C45" s="84">
        <f>'Объем  платных услуг насел'!B45/Население!C45</f>
        <v>14.680767338908018</v>
      </c>
      <c r="D45" s="84">
        <f>'Объем  платных услуг насел'!C45/Население!D45</f>
        <v>18.637706128476495</v>
      </c>
      <c r="E45" s="84">
        <f>'Объем  платных услуг насел'!D45/Население!E45</f>
        <v>23.794865465317205</v>
      </c>
      <c r="F45" s="84">
        <f>'Объем  платных услуг насел'!E45/Население!F45</f>
        <v>31.433259314088328</v>
      </c>
      <c r="G45" s="84">
        <f>'Объем  платных услуг насел'!F45/Население!G45</f>
        <v>35.303179689425683</v>
      </c>
      <c r="H45" s="84">
        <f>'Объем  платных услуг насел'!G45/Население!H45</f>
        <v>35.293222003929273</v>
      </c>
      <c r="I45" s="84">
        <f>'Объем  платных услуг насел'!H45/Население!I45</f>
        <v>39.518700787401578</v>
      </c>
      <c r="J45" s="84">
        <f>'Объем  платных услуг насел'!I45/Население!J45</f>
        <v>44.068948534843635</v>
      </c>
      <c r="K45" s="84">
        <f>'Объем  платных услуг насел'!J45/Население!K45</f>
        <v>48.298525798525802</v>
      </c>
      <c r="L45" s="84">
        <f>'Объем  платных услуг насел'!K45/Население!L45</f>
        <v>53.744597249508843</v>
      </c>
      <c r="M45" s="84">
        <f>'Объем  платных услуг насел'!L45/Население!M45</f>
        <v>56.882829771554903</v>
      </c>
      <c r="N45" s="84">
        <f>'Объем  платных услуг насел'!M45/Население!N45</f>
        <v>59.016228178018196</v>
      </c>
      <c r="O45" s="84">
        <f>'Объем  платных услуг насел'!N45/Население!O45</f>
        <v>61.506276150627613</v>
      </c>
      <c r="P45" s="84">
        <f>'Объем  платных услуг насел'!O45/Население!P45</f>
        <v>64.515181436682298</v>
      </c>
      <c r="Q45" s="84">
        <f>'Объем  платных услуг насел'!P45/Население!Q45</f>
        <v>67.280832095096585</v>
      </c>
      <c r="R45" s="84">
        <f>'Объем  платных услуг насел'!Q45/Население!R45</f>
        <v>55.292725460886899</v>
      </c>
    </row>
    <row r="46" spans="1:18" x14ac:dyDescent="0.25">
      <c r="A46" s="84">
        <v>45</v>
      </c>
      <c r="B46" s="84" t="s">
        <v>45</v>
      </c>
      <c r="C46" s="84">
        <f>'Объем  платных услуг насел'!B46/Население!C46</f>
        <v>7.709677419354839</v>
      </c>
      <c r="D46" s="84">
        <f>'Объем  платных услуг насел'!C46/Население!D46</f>
        <v>9.9325842696629216</v>
      </c>
      <c r="E46" s="84">
        <f>'Объем  платных услуг насел'!D46/Население!E46</f>
        <v>12.616690240452616</v>
      </c>
      <c r="F46" s="84">
        <f>'Объем  платных услуг насел'!E46/Население!F46</f>
        <v>15.503556187766714</v>
      </c>
      <c r="G46" s="84">
        <f>'Объем  платных услуг насел'!F46/Население!G46</f>
        <v>18.247142857142858</v>
      </c>
      <c r="H46" s="84">
        <f>'Объем  платных услуг насел'!G46/Население!H46</f>
        <v>20.359712230215827</v>
      </c>
      <c r="I46" s="84">
        <f>'Объем  платных услуг насел'!H46/Население!I46</f>
        <v>22.856936416184972</v>
      </c>
      <c r="J46" s="84">
        <f>'Объем  платных услуг насел'!I46/Население!J46</f>
        <v>24.862318840579711</v>
      </c>
      <c r="K46" s="84">
        <f>'Объем  платных услуг насел'!J46/Население!K46</f>
        <v>27.018895348837209</v>
      </c>
      <c r="L46" s="84">
        <f>'Объем  платных услуг насел'!K46/Население!L46</f>
        <v>28.548762736535661</v>
      </c>
      <c r="M46" s="84">
        <f>'Объем  платных услуг насел'!L46/Население!M46</f>
        <v>29.82944606413994</v>
      </c>
      <c r="N46" s="84">
        <f>'Объем  платных услуг насел'!M46/Население!N46</f>
        <v>30.835036496350366</v>
      </c>
      <c r="O46" s="84">
        <f>'Объем  платных услуг насел'!N46/Население!O46</f>
        <v>33.268328445747798</v>
      </c>
      <c r="P46" s="84">
        <f>'Объем  платных услуг насел'!O46/Население!P46</f>
        <v>35.336270190895739</v>
      </c>
      <c r="Q46" s="84">
        <f>'Объем  платных услуг насел'!P46/Население!Q46</f>
        <v>36.575846833578794</v>
      </c>
      <c r="R46" s="84">
        <f>'Объем  платных услуг насел'!Q46/Население!R46</f>
        <v>33.902222222222221</v>
      </c>
    </row>
    <row r="47" spans="1:18" x14ac:dyDescent="0.25">
      <c r="A47" s="84">
        <v>46</v>
      </c>
      <c r="B47" s="84" t="s">
        <v>46</v>
      </c>
      <c r="C47" s="84">
        <f>'Объем  платных услуг насел'!B47/Население!C47</f>
        <v>6.7375722543352605</v>
      </c>
      <c r="D47" s="84">
        <f>'Объем  платных услуг насел'!C47/Население!D47</f>
        <v>8.4877479579929993</v>
      </c>
      <c r="E47" s="84">
        <f>'Объем  платных услуг насел'!D47/Население!E47</f>
        <v>10.58254716981132</v>
      </c>
      <c r="F47" s="84">
        <f>'Объем  платных услуг насел'!E47/Население!F47</f>
        <v>13.117857142857142</v>
      </c>
      <c r="G47" s="84">
        <f>'Объем  платных услуг насел'!F47/Население!G47</f>
        <v>15.920768307322929</v>
      </c>
      <c r="H47" s="84">
        <f>'Объем  платных услуг насел'!G47/Население!H47</f>
        <v>18.780575539568346</v>
      </c>
      <c r="I47" s="84">
        <f>'Объем  платных услуг насел'!H47/Население!I47</f>
        <v>21.100606060606061</v>
      </c>
      <c r="J47" s="84">
        <f>'Объем  платных услуг насел'!I47/Население!J47</f>
        <v>23.174603174603174</v>
      </c>
      <c r="K47" s="84">
        <f>'Объем  платных услуг насел'!J47/Население!K47</f>
        <v>25.584975369458128</v>
      </c>
      <c r="L47" s="84">
        <f>'Объем  платных услуг насел'!K47/Население!L47</f>
        <v>27.42521631644005</v>
      </c>
      <c r="M47" s="84">
        <f>'Объем  платных услуг насел'!L47/Население!M47</f>
        <v>28.748451053283766</v>
      </c>
      <c r="N47" s="84">
        <f>'Объем  платных услуг насел'!M47/Население!N47</f>
        <v>29.820544554455445</v>
      </c>
      <c r="O47" s="84">
        <f>'Объем  платных услуг насел'!N47/Население!O47</f>
        <v>31.120496894409939</v>
      </c>
      <c r="P47" s="84">
        <f>'Объем  платных услуг насел'!O47/Население!P47</f>
        <v>32.730817610062893</v>
      </c>
      <c r="Q47" s="84">
        <f>'Объем  платных услуг насел'!P47/Население!Q47</f>
        <v>34.396202531645571</v>
      </c>
      <c r="R47" s="84">
        <f>'Объем  платных услуг насел'!Q47/Население!R47</f>
        <v>32.690629011553277</v>
      </c>
    </row>
    <row r="48" spans="1:18" x14ac:dyDescent="0.25">
      <c r="A48" s="84">
        <v>47</v>
      </c>
      <c r="B48" s="84" t="s">
        <v>47</v>
      </c>
      <c r="C48" s="84">
        <f>'Объем  платных услуг насел'!B48/Население!C48</f>
        <v>14.597288676236044</v>
      </c>
      <c r="D48" s="84">
        <f>'Объем  платных услуг насел'!C48/Население!D48</f>
        <v>18.503987240829346</v>
      </c>
      <c r="E48" s="84">
        <f>'Объем  платных услуг насел'!D48/Население!E48</f>
        <v>24.820744680851064</v>
      </c>
      <c r="F48" s="84">
        <f>'Объем  платных услуг насел'!E48/Население!F48</f>
        <v>31.486048365665692</v>
      </c>
      <c r="G48" s="84">
        <f>'Объем  платных услуг насел'!F48/Население!G48</f>
        <v>35.27169010347572</v>
      </c>
      <c r="H48" s="84">
        <f>'Объем  платных услуг насел'!G48/Население!H48</f>
        <v>40.699234222339584</v>
      </c>
      <c r="I48" s="84">
        <f>'Объем  платных услуг насел'!H48/Население!I48</f>
        <v>46.344201945832239</v>
      </c>
      <c r="J48" s="84">
        <f>'Объем  платных услуг насел'!I48/Население!J48</f>
        <v>50.005232862375721</v>
      </c>
      <c r="K48" s="84">
        <f>'Объем  платных услуг насел'!J48/Население!K48</f>
        <v>55.324127149557064</v>
      </c>
      <c r="L48" s="84">
        <f>'Объем  платных услуг насел'!K48/Население!L48</f>
        <v>59.600518806744489</v>
      </c>
      <c r="M48" s="84">
        <f>'Объем  платных услуг насел'!L48/Население!M48</f>
        <v>64.019901783406567</v>
      </c>
      <c r="N48" s="84">
        <f>'Объем  платных услуг насел'!M48/Население!N48</f>
        <v>66.727927927927922</v>
      </c>
      <c r="O48" s="84">
        <f>'Объем  платных услуг насел'!N48/Население!O48</f>
        <v>68.783055198973045</v>
      </c>
      <c r="P48" s="84">
        <f>'Объем  платных услуг насел'!O48/Население!P48</f>
        <v>71.429597332649394</v>
      </c>
      <c r="Q48" s="84">
        <f>'Объем  платных услуг насел'!P48/Население!Q48</f>
        <v>74.716372021521906</v>
      </c>
      <c r="R48" s="84">
        <f>'Объем  платных услуг насел'!Q48/Население!R48</f>
        <v>67.472521828454035</v>
      </c>
    </row>
    <row r="49" spans="1:18" x14ac:dyDescent="0.25">
      <c r="A49" s="84">
        <v>48</v>
      </c>
      <c r="B49" s="84" t="s">
        <v>48</v>
      </c>
      <c r="C49" s="84">
        <f>'Объем  платных услуг насел'!B49/Население!C49</f>
        <v>9.7684346701164291</v>
      </c>
      <c r="D49" s="84">
        <f>'Объем  платных услуг насел'!C49/Население!D49</f>
        <v>12.119818652849741</v>
      </c>
      <c r="E49" s="84">
        <f>'Объем  платных услуг насел'!D49/Население!E49</f>
        <v>14.842652795838752</v>
      </c>
      <c r="F49" s="84">
        <f>'Объем  платных услуг насел'!E49/Население!F49</f>
        <v>17.611872146118721</v>
      </c>
      <c r="G49" s="84">
        <f>'Объем  платных услуг насел'!F49/Население!G49</f>
        <v>19.226945716154351</v>
      </c>
      <c r="H49" s="84">
        <f>'Объем  платных услуг насел'!G49/Население!H49</f>
        <v>22.219736842105263</v>
      </c>
      <c r="I49" s="84">
        <f>'Объем  платных услуг насел'!H49/Население!I49</f>
        <v>24.570487483530961</v>
      </c>
      <c r="J49" s="84">
        <f>'Объем  платных услуг насел'!I49/Население!J49</f>
        <v>26.905797101449274</v>
      </c>
      <c r="K49" s="84">
        <f>'Объем  платных услуг насел'!J49/Население!K49</f>
        <v>32.294660514172712</v>
      </c>
      <c r="L49" s="84">
        <f>'Объем  платных услуг насел'!K49/Население!L49</f>
        <v>34.581686429512516</v>
      </c>
      <c r="M49" s="84">
        <f>'Объем  платных услуг насел'!L49/Население!M49</f>
        <v>35.460118655240606</v>
      </c>
      <c r="N49" s="84">
        <f>'Объем  платных услуг насел'!M49/Население!N49</f>
        <v>38.754779169413318</v>
      </c>
      <c r="O49" s="84">
        <f>'Объем  платных услуг насел'!N49/Население!O49</f>
        <v>41.739590218109718</v>
      </c>
      <c r="P49" s="84">
        <f>'Объем  платных услуг насел'!O49/Население!P49</f>
        <v>43.652952886529526</v>
      </c>
      <c r="Q49" s="84">
        <f>'Объем  платных услуг насел'!P49/Население!Q49</f>
        <v>45.135909393737506</v>
      </c>
      <c r="R49" s="84">
        <f>'Объем  платных услуг насел'!Q49/Население!R49</f>
        <v>42.634293369055591</v>
      </c>
    </row>
    <row r="50" spans="1:18" x14ac:dyDescent="0.25">
      <c r="A50" s="84">
        <v>49</v>
      </c>
      <c r="B50" s="84" t="s">
        <v>49</v>
      </c>
      <c r="C50" s="84">
        <f>'Объем  платных услуг насел'!B50/Население!C50</f>
        <v>9.8733385457388589</v>
      </c>
      <c r="D50" s="84">
        <f>'Объем  платных услуг насел'!C50/Население!D50</f>
        <v>12.156346749226007</v>
      </c>
      <c r="E50" s="84">
        <f>'Объем  платных услуг насел'!D50/Население!E50</f>
        <v>15.230171073094867</v>
      </c>
      <c r="F50" s="84">
        <f>'Объем  платных услуг насел'!E50/Население!F50</f>
        <v>18.485959438377535</v>
      </c>
      <c r="G50" s="84">
        <f>'Объем  платных услуг насел'!F50/Население!G50</f>
        <v>20.291634089132135</v>
      </c>
      <c r="H50" s="84">
        <f>'Объем  платных услуг насел'!G50/Население!H50</f>
        <v>22.508393285371703</v>
      </c>
      <c r="I50" s="84">
        <f>'Объем  платных услуг насел'!H50/Население!I50</f>
        <v>25.308740978348034</v>
      </c>
      <c r="J50" s="84">
        <f>'Объем  платных услуг насел'!I50/Население!J50</f>
        <v>27.612540192926044</v>
      </c>
      <c r="K50" s="84">
        <f>'Объем  платных услуг насел'!J50/Население!K50</f>
        <v>30.647580645161291</v>
      </c>
      <c r="L50" s="84">
        <f>'Объем  платных услуг насел'!K50/Население!L50</f>
        <v>32.265751211631667</v>
      </c>
      <c r="M50" s="84">
        <f>'Объем  платных услуг насел'!L50/Население!M50</f>
        <v>34.067097817299917</v>
      </c>
      <c r="N50" s="84">
        <f>'Объем  платных услуг насел'!M50/Население!N50</f>
        <v>36.510517799352748</v>
      </c>
      <c r="O50" s="84">
        <f>'Объем  платных услуг насел'!N50/Население!O50</f>
        <v>39.165718927701057</v>
      </c>
      <c r="P50" s="84">
        <f>'Объем  платных услуг насел'!O50/Население!P50</f>
        <v>41.529844644317251</v>
      </c>
      <c r="Q50" s="84">
        <f>'Объем  платных услуг насел'!P50/Население!Q50</f>
        <v>44.182266009852214</v>
      </c>
      <c r="R50" s="84">
        <f>'Объем  платных услуг насел'!Q50/Население!R50</f>
        <v>40.87582781456954</v>
      </c>
    </row>
    <row r="51" spans="1:18" x14ac:dyDescent="0.25">
      <c r="A51" s="84">
        <v>50</v>
      </c>
      <c r="B51" s="84" t="s">
        <v>50</v>
      </c>
      <c r="C51" s="84">
        <f>'Объем  платных услуг насел'!B51/Население!C51</f>
        <v>14.465980139757264</v>
      </c>
      <c r="D51" s="84">
        <f>'Объем  платных услуг насел'!C51/Население!D51</f>
        <v>16.800582241630277</v>
      </c>
      <c r="E51" s="84">
        <f>'Объем  платных услуг насел'!D51/Население!E51</f>
        <v>20.610399121201024</v>
      </c>
      <c r="F51" s="84">
        <f>'Объем  платных услуг насел'!E51/Население!F51</f>
        <v>25.24981604120677</v>
      </c>
      <c r="G51" s="84">
        <f>'Объем  платных услуг насел'!F51/Население!G51</f>
        <v>29.015509601181684</v>
      </c>
      <c r="H51" s="84">
        <f>'Объем  платных услуг насел'!G51/Население!H51</f>
        <v>34.422171602126042</v>
      </c>
      <c r="I51" s="84">
        <f>'Объем  платных услуг насел'!H51/Население!I51</f>
        <v>39.105663245914101</v>
      </c>
      <c r="J51" s="84">
        <f>'Объем  платных услуг насел'!I51/Население!J51</f>
        <v>42.684889901290809</v>
      </c>
      <c r="K51" s="84">
        <f>'Объем  платных услуг насел'!J51/Население!K51</f>
        <v>47.14681335356601</v>
      </c>
      <c r="L51" s="84">
        <f>'Объем  платных услуг насел'!K51/Население!L51</f>
        <v>49.671596511186955</v>
      </c>
      <c r="M51" s="84">
        <f>'Объем  платных услуг насел'!L51/Население!M51</f>
        <v>50.595292331055433</v>
      </c>
      <c r="N51" s="84">
        <f>'Объем  платных услуг насел'!M51/Население!N51</f>
        <v>53.238221884498479</v>
      </c>
      <c r="O51" s="84">
        <f>'Объем  платных услуг насел'!N51/Население!O51</f>
        <v>57.800228745711017</v>
      </c>
      <c r="P51" s="84">
        <f>'Объем  платных услуг насел'!O51/Население!P51</f>
        <v>61.357334354653389</v>
      </c>
      <c r="Q51" s="84">
        <f>'Объем  платных услуг насел'!P51/Население!Q51</f>
        <v>64.625240477106573</v>
      </c>
      <c r="R51" s="84">
        <f>'Объем  платных услуг насел'!Q51/Население!R51</f>
        <v>56.516091508336565</v>
      </c>
    </row>
    <row r="52" spans="1:18" x14ac:dyDescent="0.25">
      <c r="A52" s="84">
        <v>51</v>
      </c>
      <c r="B52" s="84" t="s">
        <v>51</v>
      </c>
      <c r="C52" s="84">
        <f>'Объем  платных услуг насел'!B52/Население!C52</f>
        <v>9.7427766032417189</v>
      </c>
      <c r="D52" s="84">
        <f>'Объем  платных услуг насел'!C52/Население!D52</f>
        <v>11.332640332640333</v>
      </c>
      <c r="E52" s="84">
        <f>'Объем  платных услуг насел'!D52/Население!E52</f>
        <v>14.975473020322355</v>
      </c>
      <c r="F52" s="84">
        <f>'Объем  платных услуг насел'!E52/Население!F52</f>
        <v>18.890304317055911</v>
      </c>
      <c r="G52" s="84">
        <f>'Объем  платных услуг насел'!F52/Население!G52</f>
        <v>21.701641684511063</v>
      </c>
      <c r="H52" s="84">
        <f>'Объем  платных услуг насел'!G52/Население!H52</f>
        <v>23.785660941000746</v>
      </c>
      <c r="I52" s="84">
        <f>'Объем  платных услуг насел'!H52/Население!I52</f>
        <v>26.865963855421686</v>
      </c>
      <c r="J52" s="84">
        <f>'Объем  платных услуг насел'!I52/Население!J52</f>
        <v>28.970432145564821</v>
      </c>
      <c r="K52" s="84">
        <f>'Объем  платных услуг насел'!J52/Население!K52</f>
        <v>34.426392067124333</v>
      </c>
      <c r="L52" s="84">
        <f>'Объем  платных услуг насел'!K52/Население!L52</f>
        <v>36.826687116564415</v>
      </c>
      <c r="M52" s="84">
        <f>'Объем  платных услуг насел'!L52/Население!M52</f>
        <v>38.278334618350037</v>
      </c>
      <c r="N52" s="84">
        <f>'Объем  платных услуг насел'!M52/Население!N52</f>
        <v>39.875386996904027</v>
      </c>
      <c r="O52" s="84">
        <f>'Объем  платных услуг насел'!N52/Население!O52</f>
        <v>42.248636009353078</v>
      </c>
      <c r="P52" s="84">
        <f>'Объем  платных услуг насел'!O52/Население!P52</f>
        <v>44.502358490566039</v>
      </c>
      <c r="Q52" s="84">
        <f>'Объем  платных услуг насел'!P52/Население!Q52</f>
        <v>47.500395882818687</v>
      </c>
      <c r="R52" s="84">
        <f>'Объем  платных услуг насел'!Q52/Население!R52</f>
        <v>45.7224</v>
      </c>
    </row>
    <row r="53" spans="1:18" x14ac:dyDescent="0.25">
      <c r="A53" s="84">
        <v>52</v>
      </c>
      <c r="B53" s="84" t="s">
        <v>52</v>
      </c>
      <c r="C53" s="84">
        <f>'Объем  платных услуг насел'!B53/Население!C53</f>
        <v>10.005858230814294</v>
      </c>
      <c r="D53" s="84">
        <f>'Объем  платных услуг насел'!C53/Население!D53</f>
        <v>12.871591908531222</v>
      </c>
      <c r="E53" s="84">
        <f>'Объем  платных услуг насел'!D53/Население!E53</f>
        <v>15.792073351079562</v>
      </c>
      <c r="F53" s="84">
        <f>'Объем  платных услуг насел'!E53/Население!F53</f>
        <v>20.089285714285715</v>
      </c>
      <c r="G53" s="84">
        <f>'Объем  платных услуг насел'!F53/Население!G53</f>
        <v>23.590841065549238</v>
      </c>
      <c r="H53" s="84">
        <f>'Объем  платных услуг насел'!G53/Население!H53</f>
        <v>26.823760580411125</v>
      </c>
      <c r="I53" s="84">
        <f>'Объем  платных услуг насел'!H53/Население!I53</f>
        <v>30.333636639369125</v>
      </c>
      <c r="J53" s="84">
        <f>'Объем  платных услуг насел'!I53/Население!J53</f>
        <v>34.2322188449848</v>
      </c>
      <c r="K53" s="84">
        <f>'Объем  платных услуг насел'!J53/Население!K53</f>
        <v>42.901249619018593</v>
      </c>
      <c r="L53" s="84">
        <f>'Объем  платных услуг насел'!K53/Население!L53</f>
        <v>45.628746177370033</v>
      </c>
      <c r="M53" s="84">
        <f>'Объем  платных услуг насел'!L53/Население!M53</f>
        <v>47.228834355828219</v>
      </c>
      <c r="N53" s="84">
        <f>'Объем  платных услуг насел'!M53/Население!N53</f>
        <v>49.503078817733993</v>
      </c>
      <c r="O53" s="84">
        <f>'Объем  платных услуг насел'!N53/Население!O53</f>
        <v>53.63771251931994</v>
      </c>
      <c r="P53" s="84">
        <f>'Объем  платных услуг насел'!O53/Население!P53</f>
        <v>57.214618973561429</v>
      </c>
      <c r="Q53" s="84">
        <f>'Объем  платных услуг насел'!P53/Население!Q53</f>
        <v>61.16078676241024</v>
      </c>
      <c r="R53" s="84">
        <f>'Объем  платных услуг насел'!Q53/Население!R53</f>
        <v>55.547056971986152</v>
      </c>
    </row>
    <row r="54" spans="1:18" x14ac:dyDescent="0.25">
      <c r="A54" s="84">
        <v>53</v>
      </c>
      <c r="B54" s="84" t="s">
        <v>53</v>
      </c>
      <c r="C54" s="84">
        <f>'Объем  платных услуг насел'!B54/Население!C54</f>
        <v>9.3807931199235544</v>
      </c>
      <c r="D54" s="84">
        <f>'Объем  платных услуг насел'!C54/Население!D54</f>
        <v>10.820860617399438</v>
      </c>
      <c r="E54" s="84">
        <f>'Объем  платных услуг насел'!D54/Население!E54</f>
        <v>14.168391345249294</v>
      </c>
      <c r="F54" s="84">
        <f>'Объем  платных услуг насел'!E54/Население!F54</f>
        <v>18.948088721094855</v>
      </c>
      <c r="G54" s="84">
        <f>'Объем  платных услуг насел'!F54/Население!G54</f>
        <v>22.452178030303031</v>
      </c>
      <c r="H54" s="84">
        <f>'Объем  платных услуг насел'!G54/Население!H54</f>
        <v>25.672736220472441</v>
      </c>
      <c r="I54" s="84">
        <f>'Объем  платных услуг насел'!H54/Население!I54</f>
        <v>29.010375494071145</v>
      </c>
      <c r="J54" s="84">
        <f>'Объем  платных услуг насел'!I54/Население!J54</f>
        <v>32.119543650793652</v>
      </c>
      <c r="K54" s="84">
        <f>'Объем  платных услуг насел'!J54/Население!K54</f>
        <v>36.740666998506718</v>
      </c>
      <c r="L54" s="84">
        <f>'Объем  платных услуг насел'!K54/Население!L54</f>
        <v>39.987006496751626</v>
      </c>
      <c r="M54" s="84">
        <f>'Объем  платных услуг насел'!L54/Население!M54</f>
        <v>42.049122807017547</v>
      </c>
      <c r="N54" s="84">
        <f>'Объем  платных услуг насел'!M54/Население!N54</f>
        <v>40.464321608040201</v>
      </c>
      <c r="O54" s="84">
        <f>'Объем  платных услуг насел'!N54/Население!O54</f>
        <v>42.152173913043477</v>
      </c>
      <c r="P54" s="84">
        <f>'Объем  платных услуг насел'!O54/Население!P54</f>
        <v>45.302088639836981</v>
      </c>
      <c r="Q54" s="84">
        <f>'Объем  платных услуг насел'!P54/Население!Q54</f>
        <v>47.425140521205925</v>
      </c>
      <c r="R54" s="84">
        <f>'Объем  платных услуг насел'!Q54/Население!R54</f>
        <v>45.108594956253214</v>
      </c>
    </row>
    <row r="55" spans="1:18" x14ac:dyDescent="0.25">
      <c r="A55" s="84">
        <v>54</v>
      </c>
      <c r="B55" s="84" t="s">
        <v>54</v>
      </c>
      <c r="C55" s="84">
        <f>'Объем  платных услуг насел'!B55/Население!C55</f>
        <v>9.1781690140845065</v>
      </c>
      <c r="D55" s="84">
        <f>'Объем  платных услуг насел'!C55/Население!D55</f>
        <v>11.434659090909092</v>
      </c>
      <c r="E55" s="84">
        <f>'Объем  платных услуг насел'!D55/Население!E55</f>
        <v>13.98137535816619</v>
      </c>
      <c r="F55" s="84">
        <f>'Объем  платных услуг насел'!E55/Население!F55</f>
        <v>17.022334293948127</v>
      </c>
      <c r="G55" s="84">
        <f>'Объем  платных услуг насел'!F55/Население!G55</f>
        <v>19.112318840579711</v>
      </c>
      <c r="H55" s="84">
        <f>'Объем  платных услуг насел'!G55/Население!H55</f>
        <v>20.918352601156069</v>
      </c>
      <c r="I55" s="84">
        <f>'Объем  платных услуг насел'!H55/Население!I55</f>
        <v>22.852578068264343</v>
      </c>
      <c r="J55" s="84">
        <f>'Объем  платных услуг насел'!I55/Население!J55</f>
        <v>25.184075967859751</v>
      </c>
      <c r="K55" s="84">
        <f>'Объем  платных услуг насел'!J55/Население!K55</f>
        <v>29.663482733284351</v>
      </c>
      <c r="L55" s="84">
        <f>'Объем  платных услуг насел'!K55/Население!L55</f>
        <v>31.974926253687315</v>
      </c>
      <c r="M55" s="84">
        <f>'Объем  платных услуг насел'!L55/Население!M55</f>
        <v>35.376575240919202</v>
      </c>
      <c r="N55" s="84">
        <f>'Объем  платных услуг насел'!M55/Население!N55</f>
        <v>37.067064083457524</v>
      </c>
      <c r="O55" s="84">
        <f>'Объем  платных услуг насел'!N55/Население!O55</f>
        <v>39.738738738738739</v>
      </c>
      <c r="P55" s="84">
        <f>'Объем  платных услуг насел'!O55/Население!P55</f>
        <v>41.909711684370258</v>
      </c>
      <c r="Q55" s="84">
        <f>'Объем  платных услуг насел'!P55/Население!Q55</f>
        <v>45.380551301684534</v>
      </c>
      <c r="R55" s="84">
        <f>'Объем  платных услуг насел'!Q55/Население!R55</f>
        <v>42.219209914794732</v>
      </c>
    </row>
    <row r="56" spans="1:18" x14ac:dyDescent="0.25">
      <c r="A56" s="84">
        <v>55</v>
      </c>
      <c r="B56" s="84" t="s">
        <v>55</v>
      </c>
      <c r="C56" s="84">
        <f>'Объем  платных услуг насел'!B56/Население!C56</f>
        <v>16.284562926224428</v>
      </c>
      <c r="D56" s="84">
        <f>'Объем  платных услуг насел'!C56/Население!D56</f>
        <v>20.697083725305738</v>
      </c>
      <c r="E56" s="84">
        <f>'Объем  платных услуг насел'!D56/Население!E56</f>
        <v>25.716803020767777</v>
      </c>
      <c r="F56" s="84">
        <f>'Объем  платных услуг насел'!E56/Население!F56</f>
        <v>30.124487866372519</v>
      </c>
      <c r="G56" s="84">
        <f>'Объем  платных услуг насел'!F56/Население!G56</f>
        <v>33.576158940397349</v>
      </c>
      <c r="H56" s="84">
        <f>'Объем  платных услуг насел'!G56/Население!H56</f>
        <v>34.855676516329702</v>
      </c>
      <c r="I56" s="84">
        <f>'Объем  платных услуг насел'!H56/Население!I56</f>
        <v>37.935905413814559</v>
      </c>
      <c r="J56" s="84">
        <f>'Объем  платных услуг насел'!I56/Население!J56</f>
        <v>39.010582010582013</v>
      </c>
      <c r="K56" s="84">
        <f>'Объем  платных услуг насел'!J56/Население!K56</f>
        <v>42.315166614761758</v>
      </c>
      <c r="L56" s="84">
        <f>'Объем  платных услуг насел'!K56/Население!L56</f>
        <v>45.072829131652661</v>
      </c>
      <c r="M56" s="84">
        <f>'Объем  платных услуг насел'!L56/Население!M56</f>
        <v>47.445726762320646</v>
      </c>
      <c r="N56" s="84">
        <f>'Объем  платных услуг насел'!M56/Население!N56</f>
        <v>49.242272869185136</v>
      </c>
      <c r="O56" s="84">
        <f>'Объем  платных услуг насел'!N56/Население!O56</f>
        <v>52.246789852803005</v>
      </c>
      <c r="P56" s="84">
        <f>'Объем  платных услуг насел'!O56/Население!P56</f>
        <v>55.026704366949417</v>
      </c>
      <c r="Q56" s="84">
        <f>'Объем  платных услуг насел'!P56/Население!Q56</f>
        <v>57.110097514941806</v>
      </c>
      <c r="R56" s="84">
        <f>'Объем  платных услуг насел'!Q56/Население!R56</f>
        <v>51.461953075459732</v>
      </c>
    </row>
    <row r="57" spans="1:18" x14ac:dyDescent="0.25">
      <c r="A57" s="84">
        <v>56</v>
      </c>
      <c r="B57" s="84" t="s">
        <v>56</v>
      </c>
      <c r="C57" s="84">
        <f>'Объем  платных услуг насел'!B57/Население!C57</f>
        <v>8.8718641451177156</v>
      </c>
      <c r="D57" s="84">
        <f>'Объем  платных услуг насел'!C57/Население!D57</f>
        <v>10.712039877300613</v>
      </c>
      <c r="E57" s="84">
        <f>'Объем  платных услуг насел'!D57/Население!E57</f>
        <v>13.00578034682081</v>
      </c>
      <c r="F57" s="84">
        <f>'Объем  платных услуг насел'!E57/Население!F57</f>
        <v>15.779411764705882</v>
      </c>
      <c r="G57" s="84">
        <f>'Объем  платных услуг насел'!F57/Население!G57</f>
        <v>17.858142246404974</v>
      </c>
      <c r="H57" s="84">
        <f>'Объем  платных услуг насел'!G57/Население!H57</f>
        <v>21.347360063517268</v>
      </c>
      <c r="I57" s="84">
        <f>'Объем  платных услуг насел'!H57/Население!I57</f>
        <v>25.937823834196891</v>
      </c>
      <c r="J57" s="84">
        <f>'Объем  платных услуг насел'!I57/Население!J57</f>
        <v>27.309628445864963</v>
      </c>
      <c r="K57" s="84">
        <f>'Объем  платных услуг насел'!J57/Население!K57</f>
        <v>30.490588706447738</v>
      </c>
      <c r="L57" s="84">
        <f>'Объем  платных услуг насел'!K57/Население!L57</f>
        <v>31.663858804653028</v>
      </c>
      <c r="M57" s="84">
        <f>'Объем  платных услуг насел'!L57/Население!M57</f>
        <v>32.556672025723472</v>
      </c>
      <c r="N57" s="84">
        <f>'Объем  платных услуг насел'!M57/Население!N57</f>
        <v>34.897539330375153</v>
      </c>
      <c r="O57" s="84">
        <f>'Объем  платных услуг насел'!N57/Население!O57</f>
        <v>37.871701177425905</v>
      </c>
      <c r="P57" s="84">
        <f>'Объем  платных услуг насел'!O57/Население!P57</f>
        <v>40.190086030315442</v>
      </c>
      <c r="Q57" s="84">
        <f>'Объем  платных услуг насел'!P57/Население!Q57</f>
        <v>42.8905862923204</v>
      </c>
      <c r="R57" s="84">
        <f>'Объем  платных услуг насел'!Q57/Население!R57</f>
        <v>40.832567849686846</v>
      </c>
    </row>
    <row r="58" spans="1:18" x14ac:dyDescent="0.25">
      <c r="A58" s="84">
        <v>57</v>
      </c>
      <c r="B58" s="84" t="s">
        <v>57</v>
      </c>
      <c r="C58" s="84">
        <f>'Объем  платных услуг насел'!B58/Население!C58</f>
        <v>10.429850746268658</v>
      </c>
      <c r="D58" s="84">
        <f>'Объем  платных услуг насел'!C58/Население!D58</f>
        <v>12.56062874251497</v>
      </c>
      <c r="E58" s="84">
        <f>'Объем  платных услуг насел'!D58/Население!E58</f>
        <v>15.313161875945537</v>
      </c>
      <c r="F58" s="84">
        <f>'Объем  платных услуг насел'!E58/Население!F58</f>
        <v>18.444359756097562</v>
      </c>
      <c r="G58" s="84">
        <f>'Объем  платных услуг насел'!F58/Население!G58</f>
        <v>20.08352490421456</v>
      </c>
      <c r="H58" s="84">
        <f>'Объем  платных услуг насел'!G58/Население!H58</f>
        <v>23.438759689922481</v>
      </c>
      <c r="I58" s="84">
        <f>'Объем  платных услуг насел'!H58/Население!I58</f>
        <v>26.682527301092044</v>
      </c>
      <c r="J58" s="84">
        <f>'Объем  платных услуг насел'!I58/Население!J58</f>
        <v>29.733124018838303</v>
      </c>
      <c r="K58" s="84">
        <f>'Объем  платных услуг насел'!J58/Население!K58</f>
        <v>33.248422712933753</v>
      </c>
      <c r="L58" s="84">
        <f>'Объем  платных услуг насел'!K58/Население!L58</f>
        <v>35.573692551505545</v>
      </c>
      <c r="M58" s="84">
        <f>'Объем  платных услуг насел'!L58/Население!M58</f>
        <v>38.068362480127185</v>
      </c>
      <c r="N58" s="84">
        <f>'Объем  платных услуг насел'!M58/Население!N58</f>
        <v>39.763766959297683</v>
      </c>
      <c r="O58" s="84">
        <f>'Объем  платных услуг насел'!N58/Население!O58</f>
        <v>41.720128307939056</v>
      </c>
      <c r="P58" s="84">
        <f>'Объем  платных услуг насел'!O58/Население!P58</f>
        <v>44.079967689822297</v>
      </c>
      <c r="Q58" s="84">
        <f>'Объем  платных услуг насел'!P58/Население!Q58</f>
        <v>47.127642276422762</v>
      </c>
      <c r="R58" s="84">
        <f>'Объем  платных услуг насел'!Q58/Население!R58</f>
        <v>44.615763546798028</v>
      </c>
    </row>
    <row r="59" spans="1:18" x14ac:dyDescent="0.25">
      <c r="A59" s="84">
        <v>58</v>
      </c>
      <c r="B59" s="84" t="s">
        <v>58</v>
      </c>
      <c r="C59" s="84">
        <f>'Объем  платных услуг насел'!B59/Население!C59</f>
        <v>7.4771309771309769</v>
      </c>
      <c r="D59" s="84">
        <f>'Объем  платных услуг насел'!C59/Население!D59</f>
        <v>9.3326530612244891</v>
      </c>
      <c r="E59" s="84">
        <f>'Объем  платных услуг насел'!D59/Население!E59</f>
        <v>12.203302373581012</v>
      </c>
      <c r="F59" s="84">
        <f>'Объем  платных услуг насел'!E59/Население!F59</f>
        <v>15.469791666666667</v>
      </c>
      <c r="G59" s="84">
        <f>'Объем  платных услуг насел'!F59/Население!G59</f>
        <v>19.184679958027282</v>
      </c>
      <c r="H59" s="84">
        <f>'Объем  платных услуг насел'!G59/Население!H59</f>
        <v>20.634763476347636</v>
      </c>
      <c r="I59" s="84">
        <f>'Объем  платных услуг насел'!H59/Население!I59</f>
        <v>24.767857142857142</v>
      </c>
      <c r="J59" s="84">
        <f>'Объем  платных услуг насел'!I59/Население!J59</f>
        <v>26.485327313769751</v>
      </c>
      <c r="K59" s="84">
        <f>'Объем  платных услуг насел'!J59/Население!K59</f>
        <v>29.903078677309008</v>
      </c>
      <c r="L59" s="84">
        <f>'Объем  платных услуг насел'!K59/Население!L59</f>
        <v>31.035632183908046</v>
      </c>
      <c r="M59" s="84">
        <f>'Объем  платных услуг насел'!L59/Население!M59</f>
        <v>32.735498839907194</v>
      </c>
      <c r="N59" s="84">
        <f>'Объем  платных услуг насел'!M59/Население!N59</f>
        <v>33.884074941451992</v>
      </c>
      <c r="O59" s="84">
        <f>'Объем  платных услуг насел'!N59/Население!O59</f>
        <v>35.812056737588655</v>
      </c>
      <c r="P59" s="84">
        <f>'Объем  платных услуг насел'!O59/Население!P59</f>
        <v>37.401197604790418</v>
      </c>
      <c r="Q59" s="84">
        <f>'Объем  платных услуг насел'!P59/Население!Q59</f>
        <v>39.798065296251508</v>
      </c>
      <c r="R59" s="84">
        <f>'Объем  платных услуг насел'!Q59/Население!R59</f>
        <v>34.715506715506713</v>
      </c>
    </row>
    <row r="60" spans="1:18" x14ac:dyDescent="0.25">
      <c r="A60" s="84">
        <v>59</v>
      </c>
      <c r="B60" s="84" t="s">
        <v>59</v>
      </c>
      <c r="C60" s="84">
        <f>'Объем  платных услуг насел'!B60/Население!C60</f>
        <v>15.758953168044076</v>
      </c>
      <c r="D60" s="84">
        <f>'Объем  платных услуг насел'!C60/Население!D60</f>
        <v>20.354648526077096</v>
      </c>
      <c r="E60" s="84">
        <f>'Объем  платных услуг насел'!D60/Население!E60</f>
        <v>24.94409090909091</v>
      </c>
      <c r="F60" s="84">
        <f>'Объем  платных услуг насел'!E60/Население!F60</f>
        <v>30.682666060054594</v>
      </c>
      <c r="G60" s="84">
        <f>'Объем  платных услуг насел'!F60/Население!G60</f>
        <v>35.188168373151306</v>
      </c>
      <c r="H60" s="84">
        <f>'Объем  платных услуг насел'!G60/Население!H60</f>
        <v>40.845939027228297</v>
      </c>
      <c r="I60" s="84">
        <f>'Объем  платных услуг насел'!H60/Население!I60</f>
        <v>46.356164383561641</v>
      </c>
      <c r="J60" s="84">
        <f>'Объем  платных услуг насел'!I60/Население!J60</f>
        <v>49.813716404077852</v>
      </c>
      <c r="K60" s="84">
        <f>'Объем  платных услуг насел'!J60/Население!K60</f>
        <v>58.613978245776444</v>
      </c>
      <c r="L60" s="84">
        <f>'Объем  платных услуг насел'!K60/Население!L60</f>
        <v>64.957476311532233</v>
      </c>
      <c r="M60" s="84">
        <f>'Объем  платных услуг насел'!L60/Население!M60</f>
        <v>72.065127020785226</v>
      </c>
      <c r="N60" s="84">
        <f>'Объем  платных услуг насел'!M60/Население!N60</f>
        <v>77.243243243243242</v>
      </c>
      <c r="O60" s="84">
        <f>'Объем  платных услуг насел'!N60/Население!O60</f>
        <v>83.092485549132945</v>
      </c>
      <c r="P60" s="84">
        <f>'Объем  платных услуг насел'!O60/Население!P60</f>
        <v>90.711075069508809</v>
      </c>
      <c r="Q60" s="84">
        <f>'Объем  платных услуг насел'!P60/Население!Q60</f>
        <v>93.777081883553706</v>
      </c>
      <c r="R60" s="84">
        <f>'Объем  платных услуг насел'!Q60/Население!R60</f>
        <v>76.030069930069928</v>
      </c>
    </row>
    <row r="61" spans="1:18" x14ac:dyDescent="0.25">
      <c r="A61" s="84">
        <v>60</v>
      </c>
      <c r="B61" s="84" t="s">
        <v>60</v>
      </c>
      <c r="C61" s="84">
        <f>'Объем  платных услуг насел'!B61/Население!C61</f>
        <v>20.181542197935642</v>
      </c>
      <c r="D61" s="84">
        <f>'Объем  платных услуг насел'!C61/Население!D61</f>
        <v>25.073728558531446</v>
      </c>
      <c r="E61" s="84">
        <f>'Объем  платных услуг насел'!D61/Население!E61</f>
        <v>30.462780269058296</v>
      </c>
      <c r="F61" s="84">
        <f>'Объем  платных услуг насел'!E61/Население!F61</f>
        <v>36.299644339063427</v>
      </c>
      <c r="G61" s="84">
        <f>'Объем  платных услуг насел'!F61/Население!G61</f>
        <v>39.700794351279789</v>
      </c>
      <c r="H61" s="84">
        <f>'Объем  платных услуг насел'!G61/Население!H61</f>
        <v>40.908957415565347</v>
      </c>
      <c r="I61" s="84">
        <f>'Объем  платных услуг насел'!H61/Население!I61</f>
        <v>44.535549132947978</v>
      </c>
      <c r="J61" s="84">
        <f>'Объем  платных услуг насел'!I61/Население!J61</f>
        <v>47.775847336941041</v>
      </c>
      <c r="K61" s="84">
        <f>'Объем  платных услуг насел'!J61/Население!K61</f>
        <v>51.122391426959958</v>
      </c>
      <c r="L61" s="84">
        <f>'Объем  платных услуг насел'!K61/Население!L61</f>
        <v>54.726054174811502</v>
      </c>
      <c r="M61" s="84">
        <f>'Объем  платных услуг насел'!L61/Население!M61</f>
        <v>58.233195020746891</v>
      </c>
      <c r="N61" s="84">
        <f>'Объем  платных услуг насел'!M61/Население!N61</f>
        <v>60.757923497267761</v>
      </c>
      <c r="O61" s="84">
        <f>'Объем  платных услуг насел'!N61/Население!O61</f>
        <v>64.520585048754057</v>
      </c>
      <c r="P61" s="84">
        <f>'Объем  платных услуг насел'!O61/Население!P61</f>
        <v>67.454203599247919</v>
      </c>
      <c r="Q61" s="84">
        <f>'Объем  платных услуг насел'!P61/Население!Q61</f>
        <v>70.314612722917218</v>
      </c>
      <c r="R61" s="84">
        <f>'Объем  платных услуг насел'!Q61/Население!R61</f>
        <v>63.268131286394919</v>
      </c>
    </row>
    <row r="62" spans="1:18" x14ac:dyDescent="0.25">
      <c r="A62" s="84">
        <v>61</v>
      </c>
      <c r="B62" s="84" t="s">
        <v>61</v>
      </c>
      <c r="C62" s="84">
        <f>'Объем  платных услуг насел'!B62/Население!C62</f>
        <v>11.660221779926074</v>
      </c>
      <c r="D62" s="84">
        <f>'Объем  платных услуг насел'!C62/Население!D62</f>
        <v>14.744548286604362</v>
      </c>
      <c r="E62" s="84">
        <f>'Объем  платных услуг насел'!D62/Население!E62</f>
        <v>18.391811202729599</v>
      </c>
      <c r="F62" s="84">
        <f>'Объем  платных услуг насел'!E62/Население!F62</f>
        <v>21.704357732839647</v>
      </c>
      <c r="G62" s="84">
        <f>'Объем  платных услуг насел'!F62/Население!G62</f>
        <v>21.324116305587228</v>
      </c>
      <c r="H62" s="84">
        <f>'Объем  платных услуг насел'!G62/Население!H62</f>
        <v>23.677790563866512</v>
      </c>
      <c r="I62" s="84">
        <f>'Объем  платных услуг насел'!H62/Население!I62</f>
        <v>30.420402298850576</v>
      </c>
      <c r="J62" s="84">
        <f>'Объем  платных услуг насел'!I62/Население!J62</f>
        <v>32.272883787661407</v>
      </c>
      <c r="K62" s="84">
        <f>'Объем  платных услуг насел'!J62/Население!K62</f>
        <v>36.041260744985671</v>
      </c>
      <c r="L62" s="84">
        <f>'Объем  платных услуг насел'!K62/Население!L62</f>
        <v>38.315037164093766</v>
      </c>
      <c r="M62" s="84">
        <f>'Объем  платных услуг насел'!L62/Население!M62</f>
        <v>39.349328763210508</v>
      </c>
      <c r="N62" s="84">
        <f>'Объем  платных услуг насел'!M62/Население!N62</f>
        <v>40.579668760708167</v>
      </c>
      <c r="O62" s="84">
        <f>'Объем  платных услуг насел'!N62/Население!O62</f>
        <v>43.292585170340679</v>
      </c>
      <c r="P62" s="84">
        <f>'Объем  платных услуг насел'!O62/Население!P62</f>
        <v>47.25</v>
      </c>
      <c r="Q62" s="84">
        <f>'Объем  платных услуг насел'!P62/Население!Q62</f>
        <v>51.562031159838433</v>
      </c>
      <c r="R62" s="84">
        <f>'Объем  платных услуг насел'!Q62/Население!R62</f>
        <v>50.359279697937843</v>
      </c>
    </row>
    <row r="63" spans="1:18" x14ac:dyDescent="0.25">
      <c r="A63" s="84">
        <v>62</v>
      </c>
      <c r="B63" s="84" t="s">
        <v>62</v>
      </c>
      <c r="C63" s="84">
        <f>'Объем  платных услуг насел'!B63/Население!C63</f>
        <v>5.0049504950495045</v>
      </c>
      <c r="D63" s="84">
        <f>'Объем  платных услуг насел'!C63/Население!D63</f>
        <v>5.9901960784313726</v>
      </c>
      <c r="E63" s="84">
        <f>'Объем  платных услуг насел'!D63/Население!E63</f>
        <v>7.4682926829268297</v>
      </c>
      <c r="F63" s="84">
        <f>'Объем  платных услуг насел'!E63/Население!F63</f>
        <v>9.5265700483091784</v>
      </c>
      <c r="G63" s="84">
        <f>'Объем  платных услуг насел'!F63/Население!G63</f>
        <v>11.229665071770334</v>
      </c>
      <c r="H63" s="84">
        <f>'Объем  платных услуг насел'!G63/Население!H63</f>
        <v>12.801932367149758</v>
      </c>
      <c r="I63" s="84">
        <f>'Объем  платных услуг насел'!H63/Население!I63</f>
        <v>14.14354066985646</v>
      </c>
      <c r="J63" s="84">
        <f>'Объем  платных услуг насел'!I63/Население!J63</f>
        <v>15.552380952380952</v>
      </c>
      <c r="K63" s="84">
        <f>'Объем  платных услуг насел'!J63/Население!K63</f>
        <v>17.132701421800949</v>
      </c>
      <c r="L63" s="84">
        <f>'Объем  платных услуг насел'!K63/Население!L63</f>
        <v>18.38785046728972</v>
      </c>
      <c r="M63" s="84">
        <f>'Объем  платных услуг насел'!L63/Население!M63</f>
        <v>21.260465116279068</v>
      </c>
      <c r="N63" s="84">
        <f>'Объем  платных услуг насел'!M63/Население!N63</f>
        <v>22.769585253456221</v>
      </c>
      <c r="O63" s="84">
        <f>'Объем  платных услуг насел'!N63/Население!O63</f>
        <v>24.412844036697248</v>
      </c>
      <c r="P63" s="84">
        <f>'Объем  платных услуг насел'!O63/Население!P63</f>
        <v>27.232876712328768</v>
      </c>
      <c r="Q63" s="84">
        <f>'Объем  платных услуг насел'!P63/Население!Q63</f>
        <v>29.531818181818181</v>
      </c>
      <c r="R63" s="84">
        <f>'Объем  платных услуг насел'!Q63/Население!R63</f>
        <v>29.647058823529413</v>
      </c>
    </row>
    <row r="64" spans="1:18" x14ac:dyDescent="0.25">
      <c r="A64" s="84">
        <v>63</v>
      </c>
      <c r="B64" s="84" t="s">
        <v>63</v>
      </c>
      <c r="C64" s="84">
        <f>'Объем  платных услуг насел'!B64/Население!C64</f>
        <v>9.2347466390899697</v>
      </c>
      <c r="D64" s="84">
        <f>'Объем  платных услуг насел'!C64/Население!D64</f>
        <v>11.847510373443983</v>
      </c>
      <c r="E64" s="84">
        <f>'Объем  платных услуг насел'!D64/Население!E64</f>
        <v>14.211458333333333</v>
      </c>
      <c r="F64" s="84">
        <f>'Объем  платных услуг насел'!E64/Население!F64</f>
        <v>17.603124999999999</v>
      </c>
      <c r="G64" s="84">
        <f>'Объем  платных услуг насел'!F64/Население!G64</f>
        <v>19.856399583766908</v>
      </c>
      <c r="H64" s="84">
        <f>'Объем  платных услуг насел'!G64/Население!H64</f>
        <v>21.319958847736626</v>
      </c>
      <c r="I64" s="84">
        <f>'Объем  платных услуг насел'!H64/Население!I64</f>
        <v>24.850669412976313</v>
      </c>
      <c r="J64" s="84">
        <f>'Объем  платных услуг насел'!I64/Население!J64</f>
        <v>27.834362139917694</v>
      </c>
      <c r="K64" s="84">
        <f>'Объем  платных услуг насел'!J64/Население!K64</f>
        <v>36.842915811088297</v>
      </c>
      <c r="L64" s="84">
        <f>'Объем  платных услуг насел'!K64/Население!L64</f>
        <v>39.619631901840492</v>
      </c>
      <c r="M64" s="84">
        <f>'Объем  платных услуг насел'!L64/Население!M64</f>
        <v>42.712830957230146</v>
      </c>
      <c r="N64" s="84">
        <f>'Объем  платных услуг насел'!M64/Население!N64</f>
        <v>44.141260162601625</v>
      </c>
      <c r="O64" s="84">
        <f>'Объем  платных услуг насел'!N64/Население!O64</f>
        <v>45.54314720812183</v>
      </c>
      <c r="P64" s="84">
        <f>'Объем  платных услуг насел'!O64/Население!P64</f>
        <v>46.128179043743643</v>
      </c>
      <c r="Q64" s="84">
        <f>'Объем  платных услуг насел'!P64/Население!Q64</f>
        <v>46.680527383367142</v>
      </c>
      <c r="R64" s="84">
        <f>'Объем  платных услуг насел'!Q64/Население!R64</f>
        <v>43.01015228426396</v>
      </c>
    </row>
    <row r="65" spans="1:18" x14ac:dyDescent="0.25">
      <c r="A65" s="84">
        <v>64</v>
      </c>
      <c r="B65" s="84" t="s">
        <v>64</v>
      </c>
      <c r="C65" s="84">
        <f>'Объем  платных услуг насел'!B65/Население!C65</f>
        <v>4.673267326732673</v>
      </c>
      <c r="D65" s="84">
        <f>'Объем  платных услуг насел'!C65/Население!D65</f>
        <v>5.6537216828478964</v>
      </c>
      <c r="E65" s="84">
        <f>'Объем  платных услуг насел'!D65/Население!E65</f>
        <v>7.1423948220064721</v>
      </c>
      <c r="F65" s="84">
        <f>'Объем  платных услуг насел'!E65/Население!F65</f>
        <v>8.634615384615385</v>
      </c>
      <c r="G65" s="84">
        <f>'Объем  платных услуг насел'!F65/Население!G65</f>
        <v>9.8343949044585983</v>
      </c>
      <c r="H65" s="84">
        <f>'Объем  платных услуг насел'!G65/Население!H65</f>
        <v>11.694805194805195</v>
      </c>
      <c r="I65" s="84">
        <f>'Объем  платных услуг насел'!H65/Население!I65</f>
        <v>13.148867313915858</v>
      </c>
      <c r="J65" s="84">
        <f>'Объем  платных услуг насел'!I65/Население!J65</f>
        <v>14.674193548387096</v>
      </c>
      <c r="K65" s="84">
        <f>'Объем  платных услуг насел'!J65/Население!K65</f>
        <v>16.410256410256409</v>
      </c>
      <c r="L65" s="84">
        <f>'Объем  платных услуг насел'!K65/Население!L65</f>
        <v>16.79936305732484</v>
      </c>
      <c r="M65" s="84">
        <f>'Объем  платных услуг насел'!L65/Население!M65</f>
        <v>17.702531645569621</v>
      </c>
      <c r="N65" s="84">
        <f>'Объем  платных услуг насел'!M65/Население!N65</f>
        <v>18.191823899371069</v>
      </c>
      <c r="O65" s="84">
        <f>'Объем  платных услуг насел'!N65/Население!O65</f>
        <v>18.711180124223603</v>
      </c>
      <c r="P65" s="84">
        <f>'Объем  платных услуг насел'!O65/Население!P65</f>
        <v>20.018518518518519</v>
      </c>
      <c r="Q65" s="84">
        <f>'Объем  платных услуг насел'!P65/Население!Q65</f>
        <v>21.238532110091743</v>
      </c>
      <c r="R65" s="84">
        <f>'Объем  платных услуг насел'!Q65/Население!R65</f>
        <v>19.757575757575758</v>
      </c>
    </row>
    <row r="66" spans="1:18" x14ac:dyDescent="0.25">
      <c r="A66" s="84">
        <v>65</v>
      </c>
      <c r="B66" s="84" t="s">
        <v>65</v>
      </c>
      <c r="C66" s="84">
        <f>'Объем  платных услуг насел'!B66/Население!C66</f>
        <v>10.900749063670412</v>
      </c>
      <c r="D66" s="84">
        <f>'Объем  платных услуг насел'!C66/Население!D66</f>
        <v>13.029739776951672</v>
      </c>
      <c r="E66" s="84">
        <f>'Объем  платных услуг насел'!D66/Население!E66</f>
        <v>15.82122905027933</v>
      </c>
      <c r="F66" s="84">
        <f>'Объем  платных услуг насел'!E66/Население!F66</f>
        <v>18.331471135940411</v>
      </c>
      <c r="G66" s="84">
        <f>'Объем  платных услуг насел'!F66/Население!G66</f>
        <v>19.996282527881039</v>
      </c>
      <c r="H66" s="84">
        <f>'Объем  платных услуг насел'!G66/Население!H66</f>
        <v>21.795112781954888</v>
      </c>
      <c r="I66" s="84">
        <f>'Объем  платных услуг насел'!H66/Население!I66</f>
        <v>24.656015037593985</v>
      </c>
      <c r="J66" s="84">
        <f>'Объем  платных услуг насел'!I66/Население!J66</f>
        <v>26.277673545966231</v>
      </c>
      <c r="K66" s="84">
        <f>'Объем  платных услуг насел'!J66/Население!K66</f>
        <v>27.926966292134832</v>
      </c>
      <c r="L66" s="84">
        <f>'Объем  платных услуг насел'!K66/Население!L66</f>
        <v>29.453358208955223</v>
      </c>
      <c r="M66" s="84">
        <f>'Объем  платных услуг насел'!L66/Население!M66</f>
        <v>30.886405959031656</v>
      </c>
      <c r="N66" s="84">
        <f>'Объем  платных услуг насел'!M66/Население!N66</f>
        <v>31.242085661080075</v>
      </c>
      <c r="O66" s="84">
        <f>'Объем  платных услуг насел'!N66/Население!O66</f>
        <v>32.910780669144984</v>
      </c>
      <c r="P66" s="84">
        <f>'Объем  платных услуг насел'!O66/Население!P66</f>
        <v>33.67783985102421</v>
      </c>
      <c r="Q66" s="84">
        <f>'Объем  платных услуг насел'!P66/Население!Q66</f>
        <v>36.147940074906366</v>
      </c>
      <c r="R66" s="84">
        <f>'Объем  платных услуг насел'!Q66/Население!R66</f>
        <v>36.212406015037594</v>
      </c>
    </row>
    <row r="67" spans="1:18" x14ac:dyDescent="0.25">
      <c r="A67" s="84">
        <v>66</v>
      </c>
      <c r="B67" s="84" t="s">
        <v>66</v>
      </c>
      <c r="C67" s="84">
        <f>'Объем  платных услуг насел'!B67/Население!C67</f>
        <v>9.1626048741510182</v>
      </c>
      <c r="D67" s="84">
        <f>'Объем  платных услуг насел'!C67/Население!D67</f>
        <v>10.954777821470705</v>
      </c>
      <c r="E67" s="84">
        <f>'Объем  платных услуг насел'!D67/Население!E67</f>
        <v>13.686087990487515</v>
      </c>
      <c r="F67" s="84">
        <f>'Объем  платных услуг насел'!E67/Население!F67</f>
        <v>17.407097288676237</v>
      </c>
      <c r="G67" s="84">
        <f>'Объем  платных услуг насел'!F67/Население!G67</f>
        <v>18.949539447336804</v>
      </c>
      <c r="H67" s="84">
        <f>'Объем  платных услуг насел'!G67/Население!H67</f>
        <v>21.077368638808441</v>
      </c>
      <c r="I67" s="84">
        <f>'Объем  платных услуг насел'!H67/Население!I67</f>
        <v>23.581221437474035</v>
      </c>
      <c r="J67" s="84">
        <f>'Объем  платных услуг насел'!I67/Население!J67</f>
        <v>25.180908711963319</v>
      </c>
      <c r="K67" s="84">
        <f>'Объем  платных услуг насел'!J67/Население!K67</f>
        <v>27.557925554161439</v>
      </c>
      <c r="L67" s="84">
        <f>'Объем  платных услуг насел'!K67/Население!L67</f>
        <v>30.19203354297694</v>
      </c>
      <c r="M67" s="84">
        <f>'Объем  платных услуг насел'!L67/Население!M67</f>
        <v>33.555321834244843</v>
      </c>
      <c r="N67" s="84">
        <f>'Объем  платных услуг насел'!M67/Население!N67</f>
        <v>35.73245984784446</v>
      </c>
      <c r="O67" s="84">
        <f>'Объем  платных услуг насел'!N67/Население!O67</f>
        <v>37.801702127659574</v>
      </c>
      <c r="P67" s="84">
        <f>'Объем  платных услуг насел'!O67/Население!P67</f>
        <v>40.507501071581657</v>
      </c>
      <c r="Q67" s="84">
        <f>'Объем  платных услуг насел'!P67/Население!Q67</f>
        <v>43.834268450582648</v>
      </c>
      <c r="R67" s="84">
        <f>'Объем  платных услуг насел'!Q67/Население!R67</f>
        <v>42.288327526132406</v>
      </c>
    </row>
    <row r="68" spans="1:18" x14ac:dyDescent="0.25">
      <c r="A68" s="84">
        <v>67</v>
      </c>
      <c r="B68" s="84" t="s">
        <v>73</v>
      </c>
      <c r="C68" s="84">
        <f>'Объем  платных услуг насел'!B68/Население!C68</f>
        <v>8.3594306049822062</v>
      </c>
      <c r="D68" s="84">
        <f>'Объем  платных услуг насел'!C68/Население!D68</f>
        <v>10.314716312056738</v>
      </c>
      <c r="E68" s="84">
        <f>'Объем  платных услуг насел'!D68/Население!E68</f>
        <v>12.535650623885918</v>
      </c>
      <c r="F68" s="84">
        <f>'Объем  платных услуг насел'!E68/Население!F68</f>
        <v>15.315460232350313</v>
      </c>
      <c r="G68" s="84">
        <f>'Объем  платных услуг насел'!F68/Население!G68</f>
        <v>17.684870188003583</v>
      </c>
      <c r="H68" s="84">
        <f>'Объем  платных услуг насел'!G68/Население!H68</f>
        <v>20.43851717902351</v>
      </c>
      <c r="I68" s="84">
        <f>'Объем  платных услуг насел'!H68/Население!I68</f>
        <v>24.213636363636365</v>
      </c>
      <c r="J68" s="84">
        <f>'Объем  платных услуг насел'!I68/Население!J68</f>
        <v>27.842922374429225</v>
      </c>
      <c r="K68" s="84">
        <f>'Объем  платных услуг насел'!J68/Население!K68</f>
        <v>33.345871559633025</v>
      </c>
      <c r="L68" s="84">
        <f>'Объем  платных услуг насел'!K68/Население!L68</f>
        <v>35.73045078196872</v>
      </c>
      <c r="M68" s="84">
        <f>'Объем  платных услуг насел'!L68/Население!M68</f>
        <v>37.909510618651893</v>
      </c>
      <c r="N68" s="84">
        <f>'Объем  платных услуг насел'!M68/Население!N68</f>
        <v>39.498609823911032</v>
      </c>
      <c r="O68" s="84">
        <f>'Объем  платных услуг насел'!N68/Население!O68</f>
        <v>41.097856477166822</v>
      </c>
      <c r="P68" s="84">
        <f>'Объем  платных услуг насел'!O68/Население!P68</f>
        <v>43.080675422138839</v>
      </c>
      <c r="Q68" s="84">
        <f>'Объем  платных услуг насел'!P68/Население!Q68</f>
        <v>46.580188679245282</v>
      </c>
      <c r="R68" s="84">
        <f>'Объем  платных услуг насел'!Q68/Население!R68</f>
        <v>44.416904083570749</v>
      </c>
    </row>
    <row r="69" spans="1:18" x14ac:dyDescent="0.25">
      <c r="A69" s="84">
        <v>68</v>
      </c>
      <c r="B69" s="84" t="s">
        <v>67</v>
      </c>
      <c r="C69" s="84">
        <f>'Объем  платных услуг насел'!B69/Население!C69</f>
        <v>14.962007668177066</v>
      </c>
      <c r="D69" s="84">
        <f>'Объем  платных услуг насел'!C69/Население!D69</f>
        <v>18.145905024088094</v>
      </c>
      <c r="E69" s="84">
        <f>'Объем  платных услуг насел'!D69/Население!E69</f>
        <v>21.774706288873531</v>
      </c>
      <c r="F69" s="84">
        <f>'Объем  платных услуг насел'!E69/Население!F69</f>
        <v>25.237370242214531</v>
      </c>
      <c r="G69" s="84">
        <f>'Объем  платных услуг насел'!F69/Население!G69</f>
        <v>26.877162629757784</v>
      </c>
      <c r="H69" s="84">
        <f>'Объем  платных услуг насел'!G69/Население!H69</f>
        <v>31.030399434429128</v>
      </c>
      <c r="I69" s="84">
        <f>'Объем  платных услуг насел'!H69/Население!I69</f>
        <v>33.955250176180407</v>
      </c>
      <c r="J69" s="84">
        <f>'Объем  платных услуг насел'!I69/Население!J69</f>
        <v>37.437302423603796</v>
      </c>
      <c r="K69" s="84">
        <f>'Объем  платных услуг насел'!J69/Население!K69</f>
        <v>44.942516649141254</v>
      </c>
      <c r="L69" s="84">
        <f>'Объем  платных услуг насел'!K69/Население!L69</f>
        <v>45.583770549143054</v>
      </c>
      <c r="M69" s="84">
        <f>'Объем  платных услуг насел'!L69/Население!M69</f>
        <v>47.737264480111655</v>
      </c>
      <c r="N69" s="84">
        <f>'Объем  платных услуг насел'!M69/Население!N69</f>
        <v>49.245217391304351</v>
      </c>
      <c r="O69" s="84">
        <f>'Объем  платных услуг насел'!N69/Население!O69</f>
        <v>54.568845618915162</v>
      </c>
      <c r="P69" s="84">
        <f>'Объем  платных услуг насел'!O69/Население!P69</f>
        <v>57.346903270702853</v>
      </c>
      <c r="Q69" s="84">
        <f>'Объем  платных услуг насел'!P69/Население!Q69</f>
        <v>61.312979762735523</v>
      </c>
      <c r="R69" s="84">
        <f>'Объем  платных услуг насел'!Q69/Население!R69</f>
        <v>57.699579831932773</v>
      </c>
    </row>
    <row r="70" spans="1:18" x14ac:dyDescent="0.25">
      <c r="A70" s="84">
        <v>69</v>
      </c>
      <c r="B70" s="84" t="s">
        <v>68</v>
      </c>
      <c r="C70" s="84">
        <f>'Объем  платных услуг насел'!B70/Население!C70</f>
        <v>12.01685393258427</v>
      </c>
      <c r="D70" s="84">
        <f>'Объем  платных услуг насел'!C70/Население!D70</f>
        <v>13.990106846062524</v>
      </c>
      <c r="E70" s="84">
        <f>'Объем  платных услуг насел'!D70/Население!E70</f>
        <v>17.238663484486874</v>
      </c>
      <c r="F70" s="84">
        <f>'Объем  платных услуг насел'!E70/Население!F70</f>
        <v>20.341706539074959</v>
      </c>
      <c r="G70" s="84">
        <f>'Объем  платных услуг насел'!F70/Население!G70</f>
        <v>21.907385229540917</v>
      </c>
      <c r="H70" s="84">
        <f>'Объем  платных услуг насел'!G70/Население!H70</f>
        <v>26.051482701812191</v>
      </c>
      <c r="I70" s="84">
        <f>'Объем  платных услуг насел'!H70/Население!I70</f>
        <v>28.206270627062707</v>
      </c>
      <c r="J70" s="84">
        <f>'Объем  платных услуг насел'!I70/Население!J70</f>
        <v>30.800990916597854</v>
      </c>
      <c r="K70" s="84">
        <f>'Объем  платных услуг насел'!J70/Население!K70</f>
        <v>33.736559139784944</v>
      </c>
      <c r="L70" s="84">
        <f>'Объем  платных услуг насел'!K70/Население!L70</f>
        <v>34.978881987577637</v>
      </c>
      <c r="M70" s="84">
        <f>'Объем  платных услуг насел'!L70/Население!M70</f>
        <v>34.363447990053878</v>
      </c>
      <c r="N70" s="84">
        <f>'Объем  платных услуг насел'!M70/Население!N70</f>
        <v>37.568285595682859</v>
      </c>
      <c r="O70" s="84">
        <f>'Объем  платных услуг насел'!N70/Население!O70</f>
        <v>41.467138103161396</v>
      </c>
      <c r="P70" s="84">
        <f>'Объем  платных услуг насел'!O70/Население!P70</f>
        <v>44.288156797331112</v>
      </c>
      <c r="Q70" s="84">
        <f>'Объем  платных услуг насел'!P70/Население!Q70</f>
        <v>48.041823504809706</v>
      </c>
      <c r="R70" s="84">
        <f>'Объем  платных услуг насел'!Q70/Население!R70</f>
        <v>42.545263157894738</v>
      </c>
    </row>
    <row r="71" spans="1:18" x14ac:dyDescent="0.25">
      <c r="A71" s="84">
        <v>70</v>
      </c>
      <c r="B71" s="84" t="s">
        <v>69</v>
      </c>
      <c r="C71" s="84">
        <f>'Объем  платных услуг насел'!B71/Население!C71</f>
        <v>10.284390591589451</v>
      </c>
      <c r="D71" s="84">
        <f>'Объем  платных услуг насел'!C71/Население!D71</f>
        <v>12.38393800634026</v>
      </c>
      <c r="E71" s="84">
        <f>'Объем  платных услуг насел'!D71/Население!E71</f>
        <v>15.602264685067233</v>
      </c>
      <c r="F71" s="84">
        <f>'Объем  платных услуг насел'!E71/Население!F71</f>
        <v>19.147715196599361</v>
      </c>
      <c r="G71" s="84">
        <f>'Объем  платных услуг насел'!F71/Население!G71</f>
        <v>20.507795889440114</v>
      </c>
      <c r="H71" s="84">
        <f>'Объем  платных услуг насел'!G71/Население!H71</f>
        <v>21.684172401303876</v>
      </c>
      <c r="I71" s="84">
        <f>'Объем  платных услуг насел'!H71/Население!I71</f>
        <v>24.560159941839331</v>
      </c>
      <c r="J71" s="84">
        <f>'Объем  платных услуг насел'!I71/Население!J71</f>
        <v>27.947483588621445</v>
      </c>
      <c r="K71" s="84">
        <f>'Объем  платных услуг насел'!J71/Население!K71</f>
        <v>31.73482077542063</v>
      </c>
      <c r="L71" s="84">
        <f>'Объем  платных услуг насел'!K71/Население!L71</f>
        <v>33.728440366972478</v>
      </c>
      <c r="M71" s="84">
        <f>'Объем  платных услуг насел'!L71/Население!M71</f>
        <v>35.774098601913174</v>
      </c>
      <c r="N71" s="84">
        <f>'Объем  платных услуг насел'!M71/Население!N71</f>
        <v>37.395348837209305</v>
      </c>
      <c r="O71" s="84">
        <f>'Объем  платных услуг насел'!N71/Население!O71</f>
        <v>40.740259740259738</v>
      </c>
      <c r="P71" s="84">
        <f>'Объем  платных услуг насел'!O71/Население!P71</f>
        <v>43.749813014210922</v>
      </c>
      <c r="Q71" s="84">
        <f>'Объем  платных услуг насел'!P71/Население!Q71</f>
        <v>47.40594431903687</v>
      </c>
      <c r="R71" s="84">
        <f>'Объем  платных услуг насел'!Q71/Население!R71</f>
        <v>46.265856437523738</v>
      </c>
    </row>
    <row r="72" spans="1:18" x14ac:dyDescent="0.25">
      <c r="A72" s="84">
        <v>71</v>
      </c>
      <c r="B72" s="84" t="s">
        <v>70</v>
      </c>
      <c r="C72" s="84">
        <f>'Объем  платных услуг насел'!B72/Население!C72</f>
        <v>16.55141242937853</v>
      </c>
      <c r="D72" s="84">
        <f>'Объем  платных услуг насел'!C72/Население!D72</f>
        <v>19.788679245283017</v>
      </c>
      <c r="E72" s="84">
        <f>'Объем  платных услуг насел'!D72/Население!E72</f>
        <v>20.957213176826958</v>
      </c>
      <c r="F72" s="84">
        <f>'Объем  платных услуг насел'!E72/Население!F72</f>
        <v>25.367223065250379</v>
      </c>
      <c r="G72" s="84">
        <f>'Объем  платных услуг насел'!F72/Население!G72</f>
        <v>25.581439393939394</v>
      </c>
      <c r="H72" s="84">
        <f>'Объем  платных услуг насел'!G72/Население!H72</f>
        <v>28.691672918229557</v>
      </c>
      <c r="I72" s="84">
        <f>'Объем  платных услуг насел'!H72/Население!I72</f>
        <v>33.095645701525868</v>
      </c>
      <c r="J72" s="84">
        <f>'Объем  платных услуг насел'!I72/Население!J72</f>
        <v>37.687822878228779</v>
      </c>
      <c r="K72" s="84">
        <f>'Объем  платных услуг насел'!J72/Население!K72</f>
        <v>44.428414500183081</v>
      </c>
      <c r="L72" s="84">
        <f>'Объем  платных услуг насел'!K72/Население!L72</f>
        <v>47.306880232981435</v>
      </c>
      <c r="M72" s="84">
        <f>'Объем  платных услуг насел'!L72/Население!M72</f>
        <v>48.26937002172339</v>
      </c>
      <c r="N72" s="84">
        <f>'Объем  платных услуг насел'!M72/Население!N72</f>
        <v>51.965827338129493</v>
      </c>
      <c r="O72" s="84">
        <f>'Объем  платных услуг насел'!N72/Население!O72</f>
        <v>54.349229114377913</v>
      </c>
      <c r="P72" s="84">
        <f>'Объем  платных услуг насел'!O72/Население!P72</f>
        <v>57.552094522019331</v>
      </c>
      <c r="Q72" s="84">
        <f>'Объем  платных услуг насел'!P72/Население!Q72</f>
        <v>61.812365975696927</v>
      </c>
      <c r="R72" s="84">
        <f>'Объем  платных услуг насел'!Q72/Население!R72</f>
        <v>56.040201005025125</v>
      </c>
    </row>
    <row r="73" spans="1:18" x14ac:dyDescent="0.25">
      <c r="A73" s="84">
        <v>72</v>
      </c>
      <c r="B73" s="84" t="s">
        <v>71</v>
      </c>
      <c r="C73" s="84">
        <f>'Объем  платных услуг насел'!B73/Население!C73</f>
        <v>11.957837301587302</v>
      </c>
      <c r="D73" s="84">
        <f>'Объем  платных услуг насел'!C73/Население!D73</f>
        <v>15.094348894348894</v>
      </c>
      <c r="E73" s="84">
        <f>'Объем  платных услуг насел'!D73/Население!E73</f>
        <v>18.624876604146102</v>
      </c>
      <c r="F73" s="84">
        <f>'Объем  платных услуг насел'!E73/Население!F73</f>
        <v>21.822101090188305</v>
      </c>
      <c r="G73" s="84">
        <f>'Объем  платных услуг насел'!F73/Население!G73</f>
        <v>24.055114200595828</v>
      </c>
      <c r="H73" s="84">
        <f>'Объем  платных услуг насел'!G73/Население!H73</f>
        <v>27.078401618614063</v>
      </c>
      <c r="I73" s="84">
        <f>'Объем  платных услуг насел'!H73/Население!I73</f>
        <v>30.372151898734177</v>
      </c>
      <c r="J73" s="84">
        <f>'Объем  платных услуг насел'!I73/Население!J73</f>
        <v>32.67983789260385</v>
      </c>
      <c r="K73" s="84">
        <f>'Объем  платных услуг насел'!J73/Население!K73</f>
        <v>36.374873353596755</v>
      </c>
      <c r="L73" s="84">
        <f>'Объем  платных услуг насел'!K73/Население!L73</f>
        <v>39.160768452982808</v>
      </c>
      <c r="M73" s="84">
        <f>'Объем  платных услуг насел'!L73/Население!M73</f>
        <v>41.933771486349848</v>
      </c>
      <c r="N73" s="84">
        <f>'Объем  платных услуг насел'!M73/Население!N73</f>
        <v>44.860111505321846</v>
      </c>
      <c r="O73" s="84">
        <f>'Объем  платных услуг насел'!N73/Население!O73</f>
        <v>48.409183673469386</v>
      </c>
      <c r="P73" s="84">
        <f>'Объем  платных услуг насел'!O73/Население!P73</f>
        <v>51.301954732510289</v>
      </c>
      <c r="Q73" s="84">
        <f>'Объем  платных услуг насел'!P73/Население!Q73</f>
        <v>55.325376232485731</v>
      </c>
      <c r="R73" s="84">
        <f>'Объем  платных услуг насел'!Q73/Население!R73</f>
        <v>50.368172268907564</v>
      </c>
    </row>
    <row r="74" spans="1:18" x14ac:dyDescent="0.25">
      <c r="A74" s="84">
        <v>73</v>
      </c>
      <c r="B74" s="84" t="s">
        <v>72</v>
      </c>
      <c r="C74" s="84">
        <f>'Объем  платных услуг насел'!B74/Население!C74</f>
        <v>19.00390625</v>
      </c>
      <c r="D74" s="84">
        <f>'Объем  платных услуг насел'!C74/Население!D74</f>
        <v>22.176015473887816</v>
      </c>
      <c r="E74" s="84">
        <f>'Объем  платных услуг насел'!D74/Население!E74</f>
        <v>26.912875121006778</v>
      </c>
      <c r="F74" s="84">
        <f>'Объем  платных услуг насел'!E74/Население!F74</f>
        <v>30.801932367149757</v>
      </c>
      <c r="G74" s="84">
        <f>'Объем  платных услуг насел'!F74/Население!G74</f>
        <v>31.875722543352602</v>
      </c>
      <c r="H74" s="84">
        <f>'Объем  платных услуг насел'!G74/Население!H74</f>
        <v>29.388941849380362</v>
      </c>
      <c r="I74" s="84">
        <f>'Объем  платных услуг насел'!H74/Население!I74</f>
        <v>30.235349716446123</v>
      </c>
      <c r="J74" s="84">
        <f>'Объем  платных услуг насел'!I74/Население!J74</f>
        <v>32.360902255639097</v>
      </c>
      <c r="K74" s="84">
        <f>'Объем  платных услуг насел'!J74/Население!K74</f>
        <v>37.277570093457946</v>
      </c>
      <c r="L74" s="84">
        <f>'Объем  платных услуг насел'!K74/Население!L74</f>
        <v>39.124767225325883</v>
      </c>
      <c r="M74" s="84">
        <f>'Объем  платных услуг насел'!L74/Население!M74</f>
        <v>42.578458681522747</v>
      </c>
      <c r="N74" s="84">
        <f>'Объем  платных услуг насел'!M74/Население!N74</f>
        <v>43.434661723818351</v>
      </c>
      <c r="O74" s="84">
        <f>'Объем  платных услуг насел'!N74/Население!O74</f>
        <v>45.848794063079779</v>
      </c>
      <c r="P74" s="84">
        <f>'Объем  платных услуг насел'!O74/Население!P74</f>
        <v>48.198700092850508</v>
      </c>
      <c r="Q74" s="84">
        <f>'Объем  платных услуг насел'!P74/Население!Q74</f>
        <v>51.074074074074076</v>
      </c>
      <c r="R74" s="84">
        <f>'Объем  платных услуг насел'!Q74/Население!R74</f>
        <v>48.553271028037386</v>
      </c>
    </row>
    <row r="75" spans="1:18" x14ac:dyDescent="0.25">
      <c r="A75" s="84">
        <v>74</v>
      </c>
      <c r="B75" s="84" t="s">
        <v>74</v>
      </c>
      <c r="C75" s="84">
        <f>'Объем  платных услуг насел'!B75/Население!C75</f>
        <v>21.838574423480082</v>
      </c>
      <c r="D75" s="84">
        <f>'Объем  платных услуг насел'!C75/Население!D75</f>
        <v>27.008421052631579</v>
      </c>
      <c r="E75" s="84">
        <f>'Объем  платных услуг насел'!D75/Население!E75</f>
        <v>32.23263157894737</v>
      </c>
      <c r="F75" s="84">
        <f>'Объем  платных услуг насел'!E75/Население!F75</f>
        <v>37.766561514195587</v>
      </c>
      <c r="G75" s="84">
        <f>'Объем  платных услуг насел'!F75/Население!G75</f>
        <v>42.934736842105266</v>
      </c>
      <c r="H75" s="84">
        <f>'Объем  платных услуг насел'!G75/Население!H75</f>
        <v>48.784968684759917</v>
      </c>
      <c r="I75" s="84">
        <f>'Объем  платных услуг насел'!H75/Население!I75</f>
        <v>54.404811715481173</v>
      </c>
      <c r="J75" s="84">
        <f>'Объем  платных услуг насел'!I75/Население!J75</f>
        <v>57.643305439330547</v>
      </c>
      <c r="K75" s="84">
        <f>'Объем  платных услуг насел'!J75/Население!K75</f>
        <v>65.101570680628271</v>
      </c>
      <c r="L75" s="84">
        <f>'Объем  платных услуг насел'!K75/Население!L75</f>
        <v>70.788923719958206</v>
      </c>
      <c r="M75" s="84">
        <f>'Объем  платных услуг насел'!L75/Население!M75</f>
        <v>73.719791666666666</v>
      </c>
      <c r="N75" s="84">
        <f>'Объем  платных услуг насел'!M75/Население!N75</f>
        <v>79.774662512980271</v>
      </c>
      <c r="O75" s="84">
        <f>'Объем  платных услуг насел'!N75/Население!O75</f>
        <v>84.88174273858921</v>
      </c>
      <c r="P75" s="84">
        <f>'Объем  платных услуг насел'!O75/Население!P75</f>
        <v>92.445708376421919</v>
      </c>
      <c r="Q75" s="84">
        <f>'Объем  платных услуг насел'!P75/Население!Q75</f>
        <v>96.263374485596714</v>
      </c>
      <c r="R75" s="84">
        <f>'Объем  платных услуг насел'!Q75/Население!R75</f>
        <v>76.92362525458249</v>
      </c>
    </row>
    <row r="76" spans="1:18" x14ac:dyDescent="0.25">
      <c r="A76" s="84">
        <v>75</v>
      </c>
      <c r="B76" s="84" t="s">
        <v>75</v>
      </c>
      <c r="C76" s="84">
        <f>'Объем  платных услуг насел'!B76/Население!C76</f>
        <v>20.219584569732937</v>
      </c>
      <c r="D76" s="84">
        <f>'Объем  платных услуг насел'!C76/Население!D76</f>
        <v>24.805157593123209</v>
      </c>
      <c r="E76" s="84">
        <f>'Объем  платных услуг насел'!D76/Население!E76</f>
        <v>30.717579250720462</v>
      </c>
      <c r="F76" s="84">
        <f>'Объем  платных услуг насел'!E76/Население!F76</f>
        <v>35.540462427745666</v>
      </c>
      <c r="G76" s="84">
        <f>'Объем  платных услуг насел'!F76/Население!G76</f>
        <v>43.156976744186046</v>
      </c>
      <c r="H76" s="84">
        <f>'Объем  платных услуг насел'!G76/Население!H76</f>
        <v>51.695652173913047</v>
      </c>
      <c r="I76" s="84">
        <f>'Объем  платных услуг насел'!H76/Население!I76</f>
        <v>60.662500000000001</v>
      </c>
      <c r="J76" s="84">
        <f>'Объем  платных услуг насел'!I76/Население!J76</f>
        <v>68</v>
      </c>
      <c r="K76" s="84">
        <f>'Объем  платных услуг насел'!J76/Население!K76</f>
        <v>81.678124999999994</v>
      </c>
      <c r="L76" s="84">
        <f>'Объем  платных услуг насел'!K76/Население!L76</f>
        <v>85.504731861198735</v>
      </c>
      <c r="M76" s="84">
        <f>'Объем  платных услуг насел'!L76/Население!M76</f>
        <v>85.655063291139243</v>
      </c>
      <c r="N76" s="84">
        <f>'Объем  платных услуг насел'!M76/Население!N76</f>
        <v>90.041269841269838</v>
      </c>
      <c r="O76" s="84">
        <f>'Объем  платных услуг насел'!N76/Население!O76</f>
        <v>97.189873417721515</v>
      </c>
      <c r="P76" s="84">
        <f>'Объем  платных услуг насел'!O76/Население!P76</f>
        <v>96.123809523809527</v>
      </c>
      <c r="Q76" s="84">
        <f>'Объем  платных услуг насел'!P76/Население!Q76</f>
        <v>102.36102236421725</v>
      </c>
      <c r="R76" s="84">
        <f>'Объем  платных услуг насел'!Q76/Население!R76</f>
        <v>93.726688102893888</v>
      </c>
    </row>
    <row r="77" spans="1:18" x14ac:dyDescent="0.25">
      <c r="A77" s="84">
        <v>76</v>
      </c>
      <c r="B77" s="84" t="s">
        <v>76</v>
      </c>
      <c r="C77" s="84">
        <f>'Объем  платных услуг насел'!B77/Население!C77</f>
        <v>17.506726457399104</v>
      </c>
      <c r="D77" s="84">
        <f>'Объем  платных услуг насел'!C77/Население!D77</f>
        <v>21.996532937097573</v>
      </c>
      <c r="E77" s="84">
        <f>'Объем  платных услуг насел'!D77/Население!E77</f>
        <v>25.98504486540379</v>
      </c>
      <c r="F77" s="84">
        <f>'Объем  платных услуг насел'!E77/Население!F77</f>
        <v>31.955410821643287</v>
      </c>
      <c r="G77" s="84">
        <f>'Объем  платных услуг насел'!F77/Население!G77</f>
        <v>35.748993963782695</v>
      </c>
      <c r="H77" s="84">
        <f>'Объем  платных услуг насел'!G77/Население!H77</f>
        <v>41.689196108550945</v>
      </c>
      <c r="I77" s="84">
        <f>'Объем  платных услуг насел'!H77/Население!I77</f>
        <v>49.395694515633011</v>
      </c>
      <c r="J77" s="84">
        <f>'Объем  платных услуг насел'!I77/Население!J77</f>
        <v>58.903954802259889</v>
      </c>
      <c r="K77" s="84">
        <f>'Объем  платных услуг насел'!J77/Население!K77</f>
        <v>67.972652218782244</v>
      </c>
      <c r="L77" s="84">
        <f>'Объем  платных услуг насел'!K77/Население!L77</f>
        <v>71.472840144852555</v>
      </c>
      <c r="M77" s="84">
        <f>'Объем  платных услуг насел'!L77/Население!M77</f>
        <v>68.189735614307935</v>
      </c>
      <c r="N77" s="84">
        <f>'Объем  платных услуг насел'!M77/Население!N77</f>
        <v>69.243889755590217</v>
      </c>
      <c r="O77" s="84">
        <f>'Объем  платных услуг насел'!N77/Население!O77</f>
        <v>76.529534762153688</v>
      </c>
      <c r="P77" s="84">
        <f>'Объем  платных услуг насел'!O77/Население!P77</f>
        <v>82.539432176656149</v>
      </c>
      <c r="Q77" s="84">
        <f>'Объем  платных услуг насел'!P77/Население!Q77</f>
        <v>86.097573839662445</v>
      </c>
      <c r="R77" s="84">
        <f>'Объем  платных услуг насел'!Q77/Население!R77</f>
        <v>71.318956336528217</v>
      </c>
    </row>
    <row r="78" spans="1:18" x14ac:dyDescent="0.25">
      <c r="A78" s="84">
        <v>77</v>
      </c>
      <c r="B78" s="84" t="s">
        <v>77</v>
      </c>
      <c r="C78" s="84">
        <f>'Объем  платных услуг насел'!B78/Население!C78</f>
        <v>27.86627906976744</v>
      </c>
      <c r="D78" s="84">
        <f>'Объем  платных услуг насел'!C78/Население!D78</f>
        <v>32.748583569405099</v>
      </c>
      <c r="E78" s="84">
        <f>'Объем  платных услуг насел'!D78/Население!E78</f>
        <v>38.323131672597867</v>
      </c>
      <c r="F78" s="84">
        <f>'Объем  платных услуг насел'!E78/Население!F78</f>
        <v>44.792022792022792</v>
      </c>
      <c r="G78" s="84">
        <f>'Объем  платных услуг насел'!F78/Население!G78</f>
        <v>50.866619115549213</v>
      </c>
      <c r="H78" s="84">
        <f>'Объем  платных услуг насел'!G78/Население!H78</f>
        <v>59.791511541325391</v>
      </c>
      <c r="I78" s="84">
        <f>'Объем  платных услуг насел'!H78/Население!I78</f>
        <v>67.329359165424734</v>
      </c>
      <c r="J78" s="84">
        <f>'Объем  платных услуг насел'!I78/Население!J78</f>
        <v>73.050670640834582</v>
      </c>
      <c r="K78" s="84">
        <f>'Объем  платных услуг насел'!J78/Население!K78</f>
        <v>81.825373134328359</v>
      </c>
      <c r="L78" s="84">
        <f>'Объем  платных услуг насел'!K78/Население!L78</f>
        <v>88.63677130044843</v>
      </c>
      <c r="M78" s="84">
        <f>'Объем  платных услуг насел'!L78/Население!M78</f>
        <v>94.073463268365813</v>
      </c>
      <c r="N78" s="84">
        <f>'Объем  платных услуг насел'!M78/Население!N78</f>
        <v>101.59039759939985</v>
      </c>
      <c r="O78" s="84">
        <f>'Объем  платных услуг насел'!N78/Население!O78</f>
        <v>105.70632530120481</v>
      </c>
      <c r="P78" s="84">
        <f>'Объем  платных услуг насел'!O78/Население!P78</f>
        <v>111.45117335352006</v>
      </c>
      <c r="Q78" s="84">
        <f>'Объем  платных услуг насел'!P78/Население!Q78</f>
        <v>111.42857142857143</v>
      </c>
      <c r="R78" s="84">
        <f>'Объем  платных услуг насел'!Q78/Население!R78</f>
        <v>91.700230591852417</v>
      </c>
    </row>
    <row r="79" spans="1:18" x14ac:dyDescent="0.25">
      <c r="A79" s="84">
        <v>78</v>
      </c>
      <c r="B79" s="84" t="s">
        <v>78</v>
      </c>
      <c r="C79" s="84">
        <f>'Объем  платных услуг насел'!B79/Население!C79</f>
        <v>12.397212543554007</v>
      </c>
      <c r="D79" s="84">
        <f>'Объем  платных услуг насел'!C79/Население!D79</f>
        <v>14.370034052213393</v>
      </c>
      <c r="E79" s="84">
        <f>'Объем  платных услуг насел'!D79/Население!E79</f>
        <v>16.380571428571429</v>
      </c>
      <c r="F79" s="84">
        <f>'Объем  платных услуг насел'!E79/Население!F79</f>
        <v>20.44022988505747</v>
      </c>
      <c r="G79" s="84">
        <f>'Объем  платных услуг насел'!F79/Население!G79</f>
        <v>23.033564814814813</v>
      </c>
      <c r="H79" s="84">
        <f>'Объем  платных услуг насел'!G79/Население!H79</f>
        <v>29.855247285886609</v>
      </c>
      <c r="I79" s="84">
        <f>'Объем  платных услуг насел'!H79/Население!I79</f>
        <v>35.370280146163218</v>
      </c>
      <c r="J79" s="84">
        <f>'Объем  платных услуг насел'!I79/Население!J79</f>
        <v>37.713586291309667</v>
      </c>
      <c r="K79" s="84">
        <f>'Объем  платных услуг насел'!J79/Население!K79</f>
        <v>45.440197287299632</v>
      </c>
      <c r="L79" s="84">
        <f>'Объем  платных услуг насел'!K79/Население!L79</f>
        <v>47.544444444444444</v>
      </c>
      <c r="M79" s="84">
        <f>'Объем  платных услуг насел'!L79/Население!M79</f>
        <v>51.001240694789082</v>
      </c>
      <c r="N79" s="84">
        <f>'Объем  платных услуг насел'!M79/Население!N79</f>
        <v>53.306733167082292</v>
      </c>
      <c r="O79" s="84">
        <f>'Объем  платных услуг насел'!N79/Население!O79</f>
        <v>55.201754385964911</v>
      </c>
      <c r="P79" s="84">
        <f>'Объем  платных услуг насел'!O79/Население!P79</f>
        <v>58.483627204030228</v>
      </c>
      <c r="Q79" s="84">
        <f>'Объем  платных услуг насел'!P79/Население!Q79</f>
        <v>61.712658227848102</v>
      </c>
      <c r="R79" s="84">
        <f>'Объем  платных услуг насел'!Q79/Население!R79</f>
        <v>60.459079283887469</v>
      </c>
    </row>
    <row r="80" spans="1:18" x14ac:dyDescent="0.25">
      <c r="A80" s="84">
        <v>79</v>
      </c>
      <c r="B80" s="84" t="s">
        <v>79</v>
      </c>
      <c r="C80" s="84">
        <f>'Объем  платных услуг насел'!B80/Население!C80</f>
        <v>24.017647058823531</v>
      </c>
      <c r="D80" s="84">
        <f>'Объем  платных услуг насел'!C80/Население!D80</f>
        <v>29.953488372093023</v>
      </c>
      <c r="E80" s="84">
        <f>'Объем  платных услуг насел'!D80/Население!E80</f>
        <v>36.556213017751482</v>
      </c>
      <c r="F80" s="84">
        <f>'Объем  платных услуг насел'!E80/Население!F80</f>
        <v>47.855421686746986</v>
      </c>
      <c r="G80" s="84">
        <f>'Объем  платных услуг насел'!F80/Население!G80</f>
        <v>58.70552147239264</v>
      </c>
      <c r="H80" s="84">
        <f>'Объем  платных услуг насел'!G80/Население!H80</f>
        <v>61.275641025641029</v>
      </c>
      <c r="I80" s="84">
        <f>'Объем  платных услуг насел'!H80/Население!I80</f>
        <v>70.50322580645161</v>
      </c>
      <c r="J80" s="84">
        <f>'Объем  платных услуг насел'!I80/Население!J80</f>
        <v>81.78289473684211</v>
      </c>
      <c r="K80" s="84">
        <f>'Объем  платных услуг насел'!J80/Население!K80</f>
        <v>86.146666666666661</v>
      </c>
      <c r="L80" s="84">
        <f>'Объем  платных услуг насел'!K80/Население!L80</f>
        <v>88.763513513513516</v>
      </c>
      <c r="M80" s="84">
        <f>'Объем  платных услуг насел'!L80/Население!M80</f>
        <v>94.08163265306122</v>
      </c>
      <c r="N80" s="84">
        <f>'Объем  платных услуг насел'!M80/Население!N80</f>
        <v>103.15753424657534</v>
      </c>
      <c r="O80" s="84">
        <f>'Объем  платных услуг насел'!N80/Население!O80</f>
        <v>111.17361111111111</v>
      </c>
      <c r="P80" s="84">
        <f>'Объем  платных услуг насел'!O80/Население!P80</f>
        <v>116.21276595744681</v>
      </c>
      <c r="Q80" s="84">
        <f>'Объем  платных услуг насел'!P80/Население!Q80</f>
        <v>120.95714285714286</v>
      </c>
      <c r="R80" s="84">
        <f>'Объем  платных услуг насел'!Q80/Население!R80</f>
        <v>106.1726618705036</v>
      </c>
    </row>
    <row r="81" spans="1:18" x14ac:dyDescent="0.25">
      <c r="A81" s="84">
        <v>80</v>
      </c>
      <c r="B81" s="84" t="s">
        <v>80</v>
      </c>
      <c r="C81" s="84">
        <f>'Объем  платных услуг насел'!B81/Население!C81</f>
        <v>27.610364683301345</v>
      </c>
      <c r="D81" s="84">
        <f>'Объем  платных услуг насел'!C81/Население!D81</f>
        <v>35.176806083650192</v>
      </c>
      <c r="E81" s="84">
        <f>'Объем  платных услуг насел'!D81/Население!E81</f>
        <v>44.833013435700579</v>
      </c>
      <c r="F81" s="84">
        <f>'Объем  платных услуг насел'!E81/Население!F81</f>
        <v>54.554054054054056</v>
      </c>
      <c r="G81" s="84">
        <f>'Объем  платных услуг насел'!F81/Население!G81</f>
        <v>63.01556420233463</v>
      </c>
      <c r="H81" s="84">
        <f>'Объем  платных услуг насел'!G81/Население!H81</f>
        <v>68.754527162977865</v>
      </c>
      <c r="I81" s="84">
        <f>'Объем  платных услуг насел'!H81/Население!I81</f>
        <v>79.345454545454544</v>
      </c>
      <c r="J81" s="84">
        <f>'Объем  платных услуг насел'!I81/Население!J81</f>
        <v>88.408906882591097</v>
      </c>
      <c r="K81" s="84">
        <f>'Объем  платных услуг насел'!J81/Население!K81</f>
        <v>87.016293279022406</v>
      </c>
      <c r="L81" s="84">
        <f>'Объем  платных услуг насел'!K81/Население!L81</f>
        <v>91.295081967213122</v>
      </c>
      <c r="M81" s="84">
        <f>'Объем  платных услуг насел'!L81/Население!M81</f>
        <v>99.952772073921977</v>
      </c>
      <c r="N81" s="84">
        <f>'Объем  платных услуг насел'!M81/Население!N81</f>
        <v>105.19917864476386</v>
      </c>
      <c r="O81" s="84">
        <f>'Объем  платных услуг насел'!N81/Население!O81</f>
        <v>104.53673469387755</v>
      </c>
      <c r="P81" s="84">
        <f>'Объем  платных услуг насел'!O81/Население!P81</f>
        <v>108.9469387755102</v>
      </c>
      <c r="Q81" s="84">
        <f>'Объем  платных услуг насел'!P81/Население!Q81</f>
        <v>114.02459016393442</v>
      </c>
      <c r="R81" s="84">
        <f>'Объем  платных услуг насел'!Q81/Население!R81</f>
        <v>101.50617283950618</v>
      </c>
    </row>
    <row r="82" spans="1:18" x14ac:dyDescent="0.25">
      <c r="A82" s="84">
        <v>81</v>
      </c>
      <c r="B82" s="84" t="s">
        <v>81</v>
      </c>
      <c r="C82" s="84">
        <f>'Объем  платных услуг насел'!B82/Население!C82</f>
        <v>9.6373626373626369</v>
      </c>
      <c r="D82" s="84">
        <f>'Объем  платных услуг насел'!C82/Население!D82</f>
        <v>11.390374331550802</v>
      </c>
      <c r="E82" s="84">
        <f>'Объем  платных услуг насел'!D82/Население!E82</f>
        <v>14.236559139784946</v>
      </c>
      <c r="F82" s="84">
        <f>'Объем  платных услуг насел'!E82/Население!F82</f>
        <v>17.591397849462364</v>
      </c>
      <c r="G82" s="84">
        <f>'Объем  платных услуг насел'!F82/Население!G82</f>
        <v>20.940540540540539</v>
      </c>
      <c r="H82" s="84">
        <f>'Объем  платных услуг насел'!G82/Население!H82</f>
        <v>25.369318181818183</v>
      </c>
      <c r="I82" s="84">
        <f>'Объем  платных услуг насел'!H82/Население!I82</f>
        <v>29.6</v>
      </c>
      <c r="J82" s="84">
        <f>'Объем  платных услуг насел'!I82/Население!J82</f>
        <v>32.341040462427749</v>
      </c>
      <c r="K82" s="84">
        <f>'Объем  платных услуг насел'!J82/Население!K82</f>
        <v>41.385964912280699</v>
      </c>
      <c r="L82" s="84">
        <f>'Объем  платных услуг насел'!K82/Население!L82</f>
        <v>43.573964497041423</v>
      </c>
      <c r="M82" s="84">
        <f>'Объем  платных услуг насел'!L82/Население!M82</f>
        <v>47.463855421686745</v>
      </c>
      <c r="N82" s="84">
        <f>'Объем  платных услуг насел'!M82/Население!N82</f>
        <v>50.621951219512198</v>
      </c>
      <c r="O82" s="84">
        <f>'Объем  платных услуг насел'!N82/Население!O82</f>
        <v>53.506172839506171</v>
      </c>
      <c r="P82" s="84">
        <f>'Объем  платных услуг насел'!O82/Население!P82</f>
        <v>55.287500000000001</v>
      </c>
      <c r="Q82" s="84">
        <f>'Объем  платных услуг насел'!P82/Население!Q82</f>
        <v>57.658227848101269</v>
      </c>
      <c r="R82" s="84">
        <f>'Объем  платных услуг насел'!Q82/Население!R82</f>
        <v>54.095541401273884</v>
      </c>
    </row>
    <row r="83" spans="1:18" x14ac:dyDescent="0.25">
      <c r="A83" s="84">
        <v>82</v>
      </c>
      <c r="B83" s="84" t="s">
        <v>82</v>
      </c>
      <c r="C83" s="84">
        <f>'Объем  платных услуг насел'!B83/Население!C83</f>
        <v>26.75</v>
      </c>
      <c r="D83" s="84">
        <f>'Объем  платных услуг насел'!C83/Население!D83</f>
        <v>30.784313725490197</v>
      </c>
      <c r="E83" s="84">
        <f>'Объем  платных услуг насел'!D83/Население!E83</f>
        <v>32.22</v>
      </c>
      <c r="F83" s="84">
        <f>'Объем  платных услуг насел'!E83/Население!F83</f>
        <v>36.200000000000003</v>
      </c>
      <c r="G83" s="84">
        <f>'Объем  платных услуг насел'!F83/Население!G83</f>
        <v>46.66</v>
      </c>
      <c r="H83" s="84">
        <f>'Объем  платных услуг насел'!G83/Население!H83</f>
        <v>52.254901960784316</v>
      </c>
      <c r="I83" s="84">
        <f>'Объем  платных услуг насел'!H83/Население!I83</f>
        <v>57.294117647058826</v>
      </c>
      <c r="J83" s="84">
        <f>'Объем  платных услуг насел'!I83/Население!J83</f>
        <v>54.607843137254903</v>
      </c>
      <c r="K83" s="84">
        <f>'Объем  платных услуг насел'!J83/Население!K83</f>
        <v>82.274509803921575</v>
      </c>
      <c r="L83" s="84">
        <f>'Объем  платных услуг насел'!K83/Население!L83</f>
        <v>82.921568627450981</v>
      </c>
      <c r="M83" s="84">
        <f>'Объем  платных услуг насел'!L83/Население!M83</f>
        <v>88.56</v>
      </c>
      <c r="N83" s="84">
        <f>'Объем  платных услуг насел'!M83/Население!N83</f>
        <v>90.18</v>
      </c>
      <c r="O83" s="84">
        <f>'Объем  платных услуг насел'!N83/Население!O83</f>
        <v>97.2</v>
      </c>
      <c r="P83" s="84">
        <f>'Объем  платных услуг насел'!O83/Население!P83</f>
        <v>102.12</v>
      </c>
      <c r="Q83" s="84">
        <f>'Объем  платных услуг насел'!P83/Население!Q83</f>
        <v>104.56</v>
      </c>
      <c r="R83" s="84">
        <f>'Объем  платных услуг насел'!Q83/Население!R83</f>
        <v>83.88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83"/>
  <sheetViews>
    <sheetView workbookViewId="0">
      <selection activeCell="C1" sqref="C1"/>
    </sheetView>
  </sheetViews>
  <sheetFormatPr defaultRowHeight="15.75" x14ac:dyDescent="0.25"/>
  <cols>
    <col min="1" max="1" width="9.140625" style="80"/>
    <col min="2" max="2" width="35.5703125" style="80" customWidth="1"/>
    <col min="3" max="4" width="8.42578125" style="80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8" width="9.140625" style="80"/>
    <col min="19" max="19" width="11.7109375" style="80" bestFit="1" customWidth="1"/>
    <col min="20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0.4470919442831186</v>
      </c>
      <c r="C2" s="187">
        <v>43831</v>
      </c>
      <c r="D2" s="80">
        <v>45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0.3586317975059346</v>
      </c>
      <c r="C3" s="187">
        <v>43831</v>
      </c>
      <c r="D3" s="80">
        <v>45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0.40921457256976446</v>
      </c>
      <c r="C4" s="187">
        <v>43831</v>
      </c>
      <c r="D4" s="80">
        <v>45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0.40516427868335914</v>
      </c>
      <c r="C5" s="187">
        <v>43831</v>
      </c>
      <c r="D5" s="80">
        <v>45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0.33870210741884421</v>
      </c>
      <c r="C6" s="187">
        <v>43831</v>
      </c>
      <c r="D6" s="80">
        <v>45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0.39303558079597994</v>
      </c>
      <c r="C7" s="187">
        <v>43831</v>
      </c>
      <c r="D7" s="80">
        <v>45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0.34538680239430375</v>
      </c>
      <c r="C8" s="187">
        <v>43831</v>
      </c>
      <c r="D8" s="80">
        <v>45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0.39098355073040303</v>
      </c>
      <c r="C9" s="187">
        <v>43831</v>
      </c>
      <c r="D9" s="80">
        <v>45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0.45014539806702236</v>
      </c>
      <c r="C10" s="187">
        <v>43831</v>
      </c>
      <c r="D10" s="80">
        <v>45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0.48002547132623785</v>
      </c>
      <c r="C11" s="187">
        <v>43831</v>
      </c>
      <c r="D11" s="80">
        <v>45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0.36482603994531482</v>
      </c>
      <c r="C12" s="187">
        <v>43831</v>
      </c>
      <c r="D12" s="80">
        <v>45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0.36829690880033927</v>
      </c>
      <c r="C13" s="187">
        <v>43831</v>
      </c>
      <c r="D13" s="80">
        <v>45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0.27872742258642041</v>
      </c>
      <c r="C14" s="187">
        <v>43831</v>
      </c>
      <c r="D14" s="80">
        <v>45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0.38842807866523255</v>
      </c>
      <c r="C15" s="187">
        <v>43831</v>
      </c>
      <c r="D15" s="80">
        <v>45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0.36513140234549346</v>
      </c>
      <c r="C16" s="187">
        <v>43831</v>
      </c>
      <c r="D16" s="80">
        <v>45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0.40175284221633434</v>
      </c>
      <c r="C17" s="187">
        <v>43831</v>
      </c>
      <c r="D17" s="80">
        <v>45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0.38998516504378444</v>
      </c>
      <c r="C18" s="187">
        <v>43831</v>
      </c>
      <c r="D18" s="80">
        <v>45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0.69596885895350902</v>
      </c>
      <c r="C19" s="187">
        <v>43831</v>
      </c>
      <c r="D19" s="80">
        <v>45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0.46136935886059438</v>
      </c>
      <c r="C20" s="187">
        <v>43831</v>
      </c>
      <c r="D20" s="80">
        <v>45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0.45473621093423228</v>
      </c>
      <c r="C21" s="187">
        <v>43831</v>
      </c>
      <c r="D21" s="80">
        <v>45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0.4528055831332945</v>
      </c>
      <c r="C22" s="187">
        <v>43831</v>
      </c>
      <c r="D22" s="80">
        <v>45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0.42221628051518928</v>
      </c>
      <c r="C23" s="187">
        <v>43831</v>
      </c>
      <c r="D23" s="80">
        <v>45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0.4398033569877608</v>
      </c>
      <c r="C24" s="187">
        <v>43831</v>
      </c>
      <c r="D24" s="80">
        <v>45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0.34412605559620069</v>
      </c>
      <c r="C25" s="187">
        <v>43831</v>
      </c>
      <c r="D25" s="80">
        <v>45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0.56492777961859286</v>
      </c>
      <c r="C26" s="187">
        <v>43831</v>
      </c>
      <c r="D26" s="80">
        <v>45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0.39762618794145577</v>
      </c>
      <c r="C27" s="187">
        <v>43831</v>
      </c>
      <c r="D27" s="80">
        <v>45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0.34304475743979013</v>
      </c>
      <c r="C28" s="187">
        <v>43831</v>
      </c>
      <c r="D28" s="80">
        <v>45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0.59594429639360158</v>
      </c>
      <c r="C29" s="187">
        <v>43831</v>
      </c>
      <c r="D29" s="80">
        <v>45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0.22912982156955602</v>
      </c>
      <c r="C30" s="187">
        <v>43831</v>
      </c>
      <c r="D30" s="80">
        <v>45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0.12500241251669322</v>
      </c>
      <c r="C31" s="187">
        <v>43831</v>
      </c>
      <c r="D31" s="80">
        <v>45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0.36591741398549288</v>
      </c>
      <c r="C32" s="187">
        <v>43831</v>
      </c>
      <c r="D32" s="80">
        <v>45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0.61385782096211527</v>
      </c>
      <c r="C33" s="187">
        <v>43831</v>
      </c>
      <c r="D33" s="80">
        <v>45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0.31335778156719812</v>
      </c>
      <c r="C34" s="187">
        <v>43831</v>
      </c>
      <c r="D34" s="80">
        <v>45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0.42868433639169712</v>
      </c>
      <c r="C35" s="187">
        <v>43831</v>
      </c>
      <c r="D35" s="80">
        <v>45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0.43854511782381878</v>
      </c>
      <c r="C36" s="187">
        <v>43831</v>
      </c>
      <c r="D36" s="80">
        <v>45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0.521208321631074</v>
      </c>
      <c r="C37" s="187">
        <v>43831</v>
      </c>
      <c r="D37" s="80">
        <v>45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0.31653477915330713</v>
      </c>
      <c r="C38" s="187">
        <v>43831</v>
      </c>
      <c r="D38" s="80">
        <v>45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8.3279741670627919E-2</v>
      </c>
      <c r="C39" s="187">
        <v>43831</v>
      </c>
      <c r="D39" s="80">
        <v>45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0.28865644259581819</v>
      </c>
      <c r="C40" s="187">
        <v>43831</v>
      </c>
      <c r="D40" s="80">
        <v>45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0.24678440129153037</v>
      </c>
      <c r="C41" s="187">
        <v>43831</v>
      </c>
      <c r="D41" s="80">
        <v>45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0.26174338684558179</v>
      </c>
      <c r="C42" s="187">
        <v>43831</v>
      </c>
      <c r="D42" s="80">
        <v>45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0.29611208647168169</v>
      </c>
      <c r="C43" s="187">
        <v>43831</v>
      </c>
      <c r="D43" s="80">
        <v>45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0.41613460678949105</v>
      </c>
      <c r="C44" s="187">
        <v>43831</v>
      </c>
      <c r="D44" s="80">
        <v>45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0.44068450834759615</v>
      </c>
      <c r="C45" s="187">
        <v>43831</v>
      </c>
      <c r="D45" s="80">
        <v>45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0.2627793894647974</v>
      </c>
      <c r="C46" s="187">
        <v>43831</v>
      </c>
      <c r="D46" s="80">
        <v>45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0.25008057492193997</v>
      </c>
      <c r="C47" s="187">
        <v>43831</v>
      </c>
      <c r="D47" s="80">
        <v>45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0.51093779061813727</v>
      </c>
      <c r="C48" s="187">
        <v>43831</v>
      </c>
      <c r="D48" s="80">
        <v>45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0.34551486121566116</v>
      </c>
      <c r="C49" s="187">
        <v>43831</v>
      </c>
      <c r="D49" s="80">
        <v>45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0.33007430119140896</v>
      </c>
      <c r="C50" s="187">
        <v>43831</v>
      </c>
      <c r="D50" s="80">
        <v>45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0.44857091589026454</v>
      </c>
      <c r="C51" s="187">
        <v>43831</v>
      </c>
      <c r="D51" s="80">
        <v>45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0.37122639477490349</v>
      </c>
      <c r="C52" s="187">
        <v>43831</v>
      </c>
      <c r="D52" s="80">
        <v>45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0.44234100910283869</v>
      </c>
      <c r="C53" s="187">
        <v>43831</v>
      </c>
      <c r="D53" s="80">
        <v>45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0.3662543615753156</v>
      </c>
      <c r="C54" s="187">
        <v>43831</v>
      </c>
      <c r="D54" s="80">
        <v>45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0.34192362545838773</v>
      </c>
      <c r="C55" s="187">
        <v>43831</v>
      </c>
      <c r="D55" s="80">
        <v>45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0.41460739034866279</v>
      </c>
      <c r="C56" s="187">
        <v>43831</v>
      </c>
      <c r="D56" s="80">
        <v>45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0.32968691207703621</v>
      </c>
      <c r="C57" s="187">
        <v>43831</v>
      </c>
      <c r="D57" s="80">
        <v>45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0.36221321785910032</v>
      </c>
      <c r="C58" s="187">
        <v>43831</v>
      </c>
      <c r="D58" s="80">
        <v>45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0.27113688737623803</v>
      </c>
      <c r="C59" s="187">
        <v>43831</v>
      </c>
      <c r="D59" s="80">
        <v>45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0.55105202108841145</v>
      </c>
      <c r="C60" s="187">
        <v>43831</v>
      </c>
      <c r="D60" s="80">
        <v>45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0.48863891617744726</v>
      </c>
      <c r="C61" s="187">
        <v>43831</v>
      </c>
      <c r="D61" s="80">
        <v>45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0.40669119480182803</v>
      </c>
      <c r="C62" s="187">
        <v>43831</v>
      </c>
      <c r="D62" s="80">
        <v>45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0.21691360099887513</v>
      </c>
      <c r="C63" s="187">
        <v>43831</v>
      </c>
      <c r="D63" s="80">
        <v>45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0.34873858260884716</v>
      </c>
      <c r="C64" s="187">
        <v>43831</v>
      </c>
      <c r="D64" s="80">
        <v>45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0.10094176505060534</v>
      </c>
      <c r="C65" s="187">
        <v>43831</v>
      </c>
      <c r="D65" s="80">
        <v>45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0.28616643047387386</v>
      </c>
      <c r="C66" s="187">
        <v>43831</v>
      </c>
      <c r="D66" s="80">
        <v>45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0.34252389447290704</v>
      </c>
      <c r="C67" s="187">
        <v>43831</v>
      </c>
      <c r="D67" s="80">
        <v>45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0.36057011480395923</v>
      </c>
      <c r="C68" s="187">
        <v>43831</v>
      </c>
      <c r="D68" s="80">
        <v>45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0.45600801662370571</v>
      </c>
      <c r="C69" s="187">
        <v>43831</v>
      </c>
      <c r="D69" s="80">
        <v>45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0.34474734279369823</v>
      </c>
      <c r="C70" s="187">
        <v>43831</v>
      </c>
      <c r="D70" s="80">
        <v>45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0.37557271554053223</v>
      </c>
      <c r="C71" s="187">
        <v>43831</v>
      </c>
      <c r="D71" s="80">
        <v>45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0.44552746262164639</v>
      </c>
      <c r="C72" s="187">
        <v>43831</v>
      </c>
      <c r="D72" s="80">
        <v>45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0.40675580017958723</v>
      </c>
      <c r="C73" s="187">
        <v>43831</v>
      </c>
      <c r="D73" s="80">
        <v>45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0.39330621706031516</v>
      </c>
      <c r="C74" s="187">
        <v>43831</v>
      </c>
      <c r="D74" s="80">
        <v>45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0.55487983415428654</v>
      </c>
      <c r="C75" s="187">
        <v>43831</v>
      </c>
      <c r="D75" s="80">
        <v>45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0.61667771114999603</v>
      </c>
      <c r="C76" s="187">
        <v>43831</v>
      </c>
      <c r="D76" s="80">
        <v>45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0.52978123201577199</v>
      </c>
      <c r="C77" s="187">
        <v>43831</v>
      </c>
      <c r="D77" s="80">
        <v>45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0.61012498274830307</v>
      </c>
      <c r="C78" s="187">
        <v>43831</v>
      </c>
      <c r="D78" s="80">
        <v>45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0.47264797694282285</v>
      </c>
      <c r="C79" s="187">
        <v>43831</v>
      </c>
      <c r="D79" s="80">
        <v>45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0.65263211788278397</v>
      </c>
      <c r="C80" s="187">
        <v>43831</v>
      </c>
      <c r="D80" s="80">
        <v>45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0.63995331668217426</v>
      </c>
      <c r="C81" s="187">
        <v>43831</v>
      </c>
      <c r="D81" s="80">
        <v>45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0.43276487509035311</v>
      </c>
      <c r="C82" s="187">
        <v>43831</v>
      </c>
      <c r="D82" s="80">
        <v>45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0.58265724724950907</v>
      </c>
      <c r="C83" s="187">
        <v>43831</v>
      </c>
      <c r="D83" s="80">
        <v>45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59999389629810485"/>
  </sheetPr>
  <dimension ref="A1:R134"/>
  <sheetViews>
    <sheetView topLeftCell="G53" workbookViewId="0">
      <selection activeCell="R2" sqref="R2:R83"/>
    </sheetView>
  </sheetViews>
  <sheetFormatPr defaultRowHeight="15.75" x14ac:dyDescent="0.25"/>
  <cols>
    <col min="1" max="1" width="9.140625" style="80"/>
    <col min="2" max="2" width="35.28515625" style="80" customWidth="1"/>
    <col min="3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84">
        <f>'Ввод в действ жилых домов'!B2/Население!C2</f>
        <v>0.54960317460317465</v>
      </c>
      <c r="D2" s="84">
        <f>'Ввод в действ жилых домов'!C2/Население!D2</f>
        <v>0.62144275314361352</v>
      </c>
      <c r="E2" s="84">
        <f>'Ввод в действ жилых домов'!D2/Население!E2</f>
        <v>0.70277410832232501</v>
      </c>
      <c r="F2" s="84">
        <f>'Ввод в действ жилых домов'!E2/Население!F2</f>
        <v>0.7320605661619487</v>
      </c>
      <c r="G2" s="84">
        <f>'Ввод в действ жилых домов'!F2/Население!G2</f>
        <v>0.71934426229508197</v>
      </c>
      <c r="H2" s="84">
        <f>'Ввод в действ жилых домов'!G2/Население!H2</f>
        <v>0.71801566579634468</v>
      </c>
      <c r="I2" s="84">
        <f>'Ввод в действ жилых домов'!H2/Население!I2</f>
        <v>0.74739583333333337</v>
      </c>
      <c r="J2" s="84">
        <f>'Ввод в действ жилых домов'!I2/Население!J2</f>
        <v>0.78844905905256324</v>
      </c>
      <c r="K2" s="84">
        <f>'Ввод в действ жилых домов'!J2/Население!K2</f>
        <v>0.83873056994818651</v>
      </c>
      <c r="L2" s="84">
        <f>'Ввод в действ жилых домов'!K2/Население!L2</f>
        <v>0.9489664082687338</v>
      </c>
      <c r="M2" s="84">
        <f>'Ввод в действ жилых домов'!L2/Население!M2</f>
        <v>1.0032258064516129</v>
      </c>
      <c r="N2" s="84">
        <f>'Ввод в действ жилых домов'!M2/Население!N2</f>
        <v>0.86928525434642623</v>
      </c>
      <c r="O2" s="84">
        <f>'Ввод в действ жилых домов'!N2/Население!O2</f>
        <v>0.83935483870967742</v>
      </c>
      <c r="P2" s="84">
        <f>'Ввод в действ жилых домов'!O2/Население!P2</f>
        <v>0.78552971576227393</v>
      </c>
      <c r="Q2" s="84">
        <f>'Ввод в действ жилых домов'!P2/Население!Q2</f>
        <v>0.81342801807617815</v>
      </c>
      <c r="R2" s="84">
        <f>'Ввод в действ жилых домов'!Q2/Население!R2</f>
        <v>0.74561972744970795</v>
      </c>
    </row>
    <row r="3" spans="1:18" x14ac:dyDescent="0.25">
      <c r="A3" s="84">
        <v>2</v>
      </c>
      <c r="B3" s="84" t="s">
        <v>2</v>
      </c>
      <c r="C3" s="84">
        <f>'Ввод в действ жилых домов'!B3/Население!C3</f>
        <v>0.1492087415222306</v>
      </c>
      <c r="D3" s="84">
        <f>'Ввод в действ жилых домов'!C3/Население!D3</f>
        <v>0.18482344102178813</v>
      </c>
      <c r="E3" s="84">
        <f>'Ввод в действ жилых домов'!D3/Население!E3</f>
        <v>0.2270311313591496</v>
      </c>
      <c r="F3" s="84">
        <f>'Ввод в действ жилых домов'!E3/Население!F3</f>
        <v>0.24598930481283424</v>
      </c>
      <c r="G3" s="84">
        <f>'Ввод в действ жилых домов'!F3/Население!G3</f>
        <v>0.27153846153846156</v>
      </c>
      <c r="H3" s="84">
        <f>'Ввод в действ жилых домов'!G3/Население!H3</f>
        <v>0.30666666666666664</v>
      </c>
      <c r="I3" s="84">
        <f>'Ввод в действ жилых домов'!H3/Население!I3</f>
        <v>0.33306962025316456</v>
      </c>
      <c r="J3" s="84">
        <f>'Ввод в действ жилых домов'!I3/Население!J3</f>
        <v>0.36124401913875598</v>
      </c>
      <c r="K3" s="84">
        <f>'Ввод в действ жилых домов'!J3/Население!K3</f>
        <v>0.42431561996779388</v>
      </c>
      <c r="L3" s="84">
        <f>'Ввод в действ жилых домов'!K3/Население!L3</f>
        <v>0.44687753446877532</v>
      </c>
      <c r="M3" s="84">
        <f>'Ввод в действ жилых домов'!L3/Население!M3</f>
        <v>0.52528548123980423</v>
      </c>
      <c r="N3" s="84">
        <f>'Ввод в действ жилых домов'!M3/Население!N3</f>
        <v>0.54463554463554464</v>
      </c>
      <c r="O3" s="84">
        <f>'Ввод в действ жилых домов'!N3/Население!O3</f>
        <v>0.46077621800165153</v>
      </c>
      <c r="P3" s="84">
        <f>'Ввод в действ жилых домов'!O3/Население!P3</f>
        <v>0.33583333333333332</v>
      </c>
      <c r="Q3" s="84">
        <f>'Ввод в действ жилых домов'!P3/Население!Q3</f>
        <v>0.34115674769488685</v>
      </c>
      <c r="R3" s="84">
        <f>'Ввод в действ жилых домов'!Q3/Население!R3</f>
        <v>0.36094674556213019</v>
      </c>
    </row>
    <row r="4" spans="1:18" x14ac:dyDescent="0.25">
      <c r="A4" s="84">
        <v>3</v>
      </c>
      <c r="B4" s="84" t="s">
        <v>3</v>
      </c>
      <c r="C4" s="84">
        <f>'Ввод в действ жилых домов'!B4/Население!C4</f>
        <v>0.22005383580080753</v>
      </c>
      <c r="D4" s="84">
        <f>'Ввод в действ жилых домов'!C4/Население!D4</f>
        <v>0.23150033944331297</v>
      </c>
      <c r="E4" s="84">
        <f>'Ввод в действ жилых домов'!D4/Население!E4</f>
        <v>0.25771076079506511</v>
      </c>
      <c r="F4" s="84">
        <f>'Ввод в действ жилых домов'!E4/Население!F4</f>
        <v>0.2891649413388544</v>
      </c>
      <c r="G4" s="84">
        <f>'Ввод в действ жилых домов'!F4/Население!G4</f>
        <v>0.31319444444444444</v>
      </c>
      <c r="H4" s="84">
        <f>'Ввод в действ жилых домов'!G4/Население!H4</f>
        <v>0.33379597501734909</v>
      </c>
      <c r="I4" s="84">
        <f>'Ввод в действ жилых домов'!H4/Население!I4</f>
        <v>0.30586592178770949</v>
      </c>
      <c r="J4" s="84">
        <f>'Ввод в действ жилых домов'!I4/Население!J4</f>
        <v>0.35724331926863573</v>
      </c>
      <c r="K4" s="84">
        <f>'Ввод в действ жилых домов'!J4/Население!K4</f>
        <v>0.36730360934182588</v>
      </c>
      <c r="L4" s="84">
        <f>'Ввод в действ жилых домов'!K4/Население!L4</f>
        <v>0.43100995732574682</v>
      </c>
      <c r="M4" s="84">
        <f>'Ввод в действ жилых домов'!L4/Население!M4</f>
        <v>0.46313528990694347</v>
      </c>
      <c r="N4" s="84">
        <f>'Ввод в действ жилых домов'!M4/Население!N4</f>
        <v>0.47194244604316549</v>
      </c>
      <c r="O4" s="84">
        <f>'Ввод в действ жилых домов'!N4/Население!O4</f>
        <v>0.50435413642960814</v>
      </c>
      <c r="P4" s="84">
        <f>'Ввод в действ жилых домов'!O4/Население!P4</f>
        <v>0.47803806734992682</v>
      </c>
      <c r="Q4" s="84">
        <f>'Ввод в действ жилых домов'!P4/Население!Q4</f>
        <v>0.54860088365243009</v>
      </c>
      <c r="R4" s="84">
        <f>'Ввод в действ жилых домов'!Q4/Население!R4</f>
        <v>0.54098360655737709</v>
      </c>
    </row>
    <row r="5" spans="1:18" x14ac:dyDescent="0.25">
      <c r="A5" s="84">
        <v>4</v>
      </c>
      <c r="B5" s="84" t="s">
        <v>4</v>
      </c>
      <c r="C5" s="84">
        <f>'Ввод в действ жилых домов'!B5/Население!C5</f>
        <v>0.33206268530283778</v>
      </c>
      <c r="D5" s="84">
        <f>'Ввод в действ жилых домов'!C5/Население!D5</f>
        <v>0.36905790838375108</v>
      </c>
      <c r="E5" s="84">
        <f>'Ввод в действ жилых домов'!D5/Население!E5</f>
        <v>0.42440087145969496</v>
      </c>
      <c r="F5" s="84">
        <f>'Ввод в действ жилых домов'!E5/Население!F5</f>
        <v>0.49166666666666664</v>
      </c>
      <c r="G5" s="84">
        <f>'Ввод в действ жилых домов'!F5/Население!G5</f>
        <v>0.39118942731277534</v>
      </c>
      <c r="H5" s="84">
        <f>'Ввод в действ жилых домов'!G5/Население!H5</f>
        <v>0.44967880085653106</v>
      </c>
      <c r="I5" s="84">
        <f>'Ввод в действ жилых домов'!H5/Население!I5</f>
        <v>0.42710120068610635</v>
      </c>
      <c r="J5" s="84">
        <f>'Ввод в действ жилых домов'!I5/Население!J5</f>
        <v>0.47639484978540775</v>
      </c>
      <c r="K5" s="84">
        <f>'Ввод в действ жилых домов'!J5/Население!K5</f>
        <v>0.57921854873336198</v>
      </c>
      <c r="L5" s="84">
        <f>'Ввод в действ жилых домов'!K5/Население!L5</f>
        <v>0.67481767481767485</v>
      </c>
      <c r="M5" s="84">
        <f>'Ввод в действ жилых домов'!L5/Население!M5</f>
        <v>0.6973853407629661</v>
      </c>
      <c r="N5" s="84">
        <f>'Ввод в действ жилых домов'!M5/Население!N5</f>
        <v>0.7190578158458244</v>
      </c>
      <c r="O5" s="84">
        <f>'Ввод в действ жилых домов'!N5/Население!O5</f>
        <v>0.72310330047149596</v>
      </c>
      <c r="P5" s="84">
        <f>'Ввод в действ жилых домов'!O5/Население!P5</f>
        <v>0.72637457044673537</v>
      </c>
      <c r="Q5" s="84">
        <f>'Ввод в действ жилых домов'!P5/Население!Q5</f>
        <v>0.80851979345955249</v>
      </c>
      <c r="R5" s="84">
        <f>'Ввод в действ жилых домов'!Q5/Население!R5</f>
        <v>0.74848222029488287</v>
      </c>
    </row>
    <row r="6" spans="1:18" x14ac:dyDescent="0.25">
      <c r="A6" s="84">
        <v>5</v>
      </c>
      <c r="B6" s="84" t="s">
        <v>5</v>
      </c>
      <c r="C6" s="84">
        <f>'Ввод в действ жилых домов'!B6/Население!C6</f>
        <v>9.6188747731397461E-2</v>
      </c>
      <c r="D6" s="84">
        <f>'Ввод в действ жилых домов'!C6/Население!D6</f>
        <v>0.16272727272727272</v>
      </c>
      <c r="E6" s="84">
        <f>'Ввод в действ жилых домов'!D6/Население!E6</f>
        <v>0.13051470588235295</v>
      </c>
      <c r="F6" s="84">
        <f>'Ввод в действ жилых домов'!E6/Население!F6</f>
        <v>0.15833333333333333</v>
      </c>
      <c r="G6" s="84">
        <f>'Ввод в действ жилых домов'!F6/Население!G6</f>
        <v>0.17427772600186392</v>
      </c>
      <c r="H6" s="84">
        <f>'Ввод в действ жилых домов'!G6/Население!H6</f>
        <v>0.18018867924528301</v>
      </c>
      <c r="I6" s="84">
        <f>'Ввод в действ жилых домов'!H6/Население!I6</f>
        <v>0.20588235294117646</v>
      </c>
      <c r="J6" s="84">
        <f>'Ввод в действ жилых домов'!I6/Население!J6</f>
        <v>0.21163012392755004</v>
      </c>
      <c r="K6" s="84">
        <f>'Ввод в действ жилых домов'!J6/Население!K6</f>
        <v>0.2224352828379674</v>
      </c>
      <c r="L6" s="84">
        <f>'Ввод в действ жилых домов'!K6/Население!L6</f>
        <v>0.24397299903567984</v>
      </c>
      <c r="M6" s="84">
        <f>'Ввод в действ жилых домов'!L6/Население!M6</f>
        <v>0.25242718446601942</v>
      </c>
      <c r="N6" s="84">
        <f>'Ввод в действ жилых домов'!M6/Население!N6</f>
        <v>0.17302052785923755</v>
      </c>
      <c r="O6" s="84">
        <f>'Ввод в действ жилых домов'!N6/Население!O6</f>
        <v>0.33497536945812806</v>
      </c>
      <c r="P6" s="84">
        <f>'Ввод в действ жилых домов'!O6/Население!P6</f>
        <v>0.36752988047808766</v>
      </c>
      <c r="Q6" s="84">
        <f>'Ввод в действ жилых домов'!P6/Население!Q6</f>
        <v>0.33199598796389168</v>
      </c>
      <c r="R6" s="84">
        <f>'Ввод в действ жилых домов'!Q6/Население!R6</f>
        <v>0.33738601823708209</v>
      </c>
    </row>
    <row r="7" spans="1:18" x14ac:dyDescent="0.25">
      <c r="A7" s="84">
        <v>6</v>
      </c>
      <c r="B7" s="84" t="s">
        <v>6</v>
      </c>
      <c r="C7" s="84">
        <f>'Ввод в действ жилых домов'!B7/Население!C7</f>
        <v>0.25708699902248289</v>
      </c>
      <c r="D7" s="84">
        <f>'Ввод в действ жилых домов'!C7/Население!D7</f>
        <v>0.26134122287968442</v>
      </c>
      <c r="E7" s="84">
        <f>'Ввод в действ жилых домов'!D7/Население!E7</f>
        <v>0.45391476709613476</v>
      </c>
      <c r="F7" s="84">
        <f>'Ввод в действ жилых домов'!E7/Население!F7</f>
        <v>0.62823061630218691</v>
      </c>
      <c r="G7" s="84">
        <f>'Ввод в действ жилых домов'!F7/Население!G7</f>
        <v>0.4556331006979063</v>
      </c>
      <c r="H7" s="84">
        <f>'Ввод в действ жилых домов'!G7/Население!H7</f>
        <v>0.49653121902874131</v>
      </c>
      <c r="I7" s="84">
        <f>'Ввод в действ жилых домов'!H7/Население!I7</f>
        <v>0.59325396825396826</v>
      </c>
      <c r="J7" s="84">
        <f>'Ввод в действ жилых домов'!I7/Население!J7</f>
        <v>0.60934393638170969</v>
      </c>
      <c r="K7" s="84">
        <f>'Ввод в действ жилых домов'!J7/Население!K7</f>
        <v>0.65373134328358207</v>
      </c>
      <c r="L7" s="84">
        <f>'Ввод в действ жилых домов'!K7/Население!L7</f>
        <v>0.79920870425321466</v>
      </c>
      <c r="M7" s="84">
        <f>'Ввод в действ жилых домов'!L7/Население!M7</f>
        <v>0.78811881188118815</v>
      </c>
      <c r="N7" s="84">
        <f>'Ввод в действ жилых домов'!M7/Население!N7</f>
        <v>0.72682445759368841</v>
      </c>
      <c r="O7" s="84">
        <f>'Ввод в действ жилых домов'!N7/Население!O7</f>
        <v>0.87154150197628455</v>
      </c>
      <c r="P7" s="84">
        <f>'Ввод в действ жилых домов'!O7/Население!P7</f>
        <v>0.77998017839445</v>
      </c>
      <c r="Q7" s="84">
        <f>'Ввод в действ жилых домов'!P7/Население!Q7</f>
        <v>0.79262213359920242</v>
      </c>
      <c r="R7" s="84">
        <f>'Ввод в действ жилых домов'!Q7/Население!R7</f>
        <v>0.81818181818181823</v>
      </c>
    </row>
    <row r="8" spans="1:18" x14ac:dyDescent="0.25">
      <c r="A8" s="84">
        <v>7</v>
      </c>
      <c r="B8" s="84" t="s">
        <v>7</v>
      </c>
      <c r="C8" s="84">
        <f>'Ввод в действ жилых домов'!B8/Население!C8</f>
        <v>0.16714285714285715</v>
      </c>
      <c r="D8" s="84">
        <f>'Ввод в действ жилых домов'!C8/Население!D8</f>
        <v>0.15373765867418901</v>
      </c>
      <c r="E8" s="84">
        <f>'Ввод в действ жилых домов'!D8/Население!E8</f>
        <v>0.19943019943019943</v>
      </c>
      <c r="F8" s="84">
        <f>'Ввод в действ жилых домов'!E8/Население!F8</f>
        <v>0.21377331420373027</v>
      </c>
      <c r="G8" s="84">
        <f>'Ввод в действ жилых домов'!F8/Население!G8</f>
        <v>0.26011560693641617</v>
      </c>
      <c r="H8" s="84">
        <f>'Ввод в действ жилых домов'!G8/Население!H8</f>
        <v>0.22672672672672672</v>
      </c>
      <c r="I8" s="84">
        <f>'Ввод в действ жилых домов'!H8/Население!I8</f>
        <v>0.23564954682779457</v>
      </c>
      <c r="J8" s="84">
        <f>'Ввод в действ жилых домов'!I8/Население!J8</f>
        <v>0.31107738998482548</v>
      </c>
      <c r="K8" s="84">
        <f>'Ввод в действ жилых домов'!J8/Население!K8</f>
        <v>0.34756097560975607</v>
      </c>
      <c r="L8" s="84">
        <f>'Ввод в действ жилых домов'!K8/Население!L8</f>
        <v>0.50152905198776754</v>
      </c>
      <c r="M8" s="84">
        <f>'Ввод в действ жилых домов'!L8/Население!M8</f>
        <v>0.4946236559139785</v>
      </c>
      <c r="N8" s="84">
        <f>'Ввод в действ жилых домов'!M8/Население!N8</f>
        <v>0.47685185185185186</v>
      </c>
      <c r="O8" s="84">
        <f>'Ввод в действ жилых домов'!N8/Население!O8</f>
        <v>0.48211508553654742</v>
      </c>
      <c r="P8" s="84">
        <f>'Ввод в действ жилых домов'!O8/Население!P8</f>
        <v>0.30926216640502358</v>
      </c>
      <c r="Q8" s="84">
        <f>'Ввод в действ жилых домов'!P8/Население!Q8</f>
        <v>0.33491311216429698</v>
      </c>
      <c r="R8" s="84">
        <f>'Ввод в действ жилых домов'!Q8/Население!R8</f>
        <v>0.41242038216560511</v>
      </c>
    </row>
    <row r="9" spans="1:18" x14ac:dyDescent="0.25">
      <c r="A9" s="84">
        <v>8</v>
      </c>
      <c r="B9" s="84" t="s">
        <v>8</v>
      </c>
      <c r="C9" s="84">
        <f>'Ввод в действ жилых домов'!B9/Население!C9</f>
        <v>0.25297113752122241</v>
      </c>
      <c r="D9" s="84">
        <f>'Ввод в действ жилых домов'!C9/Население!D9</f>
        <v>0.27618243243243246</v>
      </c>
      <c r="E9" s="84">
        <f>'Ввод в действ жилых домов'!D9/Население!E9</f>
        <v>0.32109308283518362</v>
      </c>
      <c r="F9" s="84">
        <f>'Ввод в действ жилых домов'!E9/Население!F9</f>
        <v>0.38468158347676418</v>
      </c>
      <c r="G9" s="84">
        <f>'Ввод в действ жилых домов'!F9/Население!G9</f>
        <v>0.3944636678200692</v>
      </c>
      <c r="H9" s="84">
        <f>'Ввод в действ жилых домов'!G9/Население!H9</f>
        <v>0.33836589698046182</v>
      </c>
      <c r="I9" s="84">
        <f>'Ввод в действ жилых домов'!H9/Население!I9</f>
        <v>0.35115864527629231</v>
      </c>
      <c r="J9" s="84">
        <f>'Ввод в действ жилых домов'!I9/Население!J9</f>
        <v>0.38069705093833778</v>
      </c>
      <c r="K9" s="84">
        <f>'Ввод в действ жилых домов'!J9/Население!K9</f>
        <v>0.44325290437890974</v>
      </c>
      <c r="L9" s="84">
        <f>'Ввод в действ жилых домов'!K9/Население!L9</f>
        <v>0.50223813786929272</v>
      </c>
      <c r="M9" s="84">
        <f>'Ввод в действ жилых домов'!L9/Население!M9</f>
        <v>0.50624999999999998</v>
      </c>
      <c r="N9" s="84">
        <f>'Ввод в действ жилых домов'!M9/Население!N9</f>
        <v>0.52270703472840607</v>
      </c>
      <c r="O9" s="84">
        <f>'Ввод в действ жилых домов'!N9/Население!O9</f>
        <v>0.53004484304932731</v>
      </c>
      <c r="P9" s="84">
        <f>'Ввод в действ жилых домов'!O9/Население!P9</f>
        <v>0.5374887082204155</v>
      </c>
      <c r="Q9" s="84">
        <f>'Ввод в действ жилых домов'!P9/Население!Q9</f>
        <v>0.50181159420289856</v>
      </c>
      <c r="R9" s="84">
        <f>'Ввод в действ жилых домов'!Q9/Население!R9</f>
        <v>0.47675478577939834</v>
      </c>
    </row>
    <row r="10" spans="1:18" x14ac:dyDescent="0.25">
      <c r="A10" s="84">
        <v>9</v>
      </c>
      <c r="B10" s="84" t="s">
        <v>9</v>
      </c>
      <c r="C10" s="84">
        <f>'Ввод в действ жилых домов'!B10/Население!C10</f>
        <v>0.42546063651591287</v>
      </c>
      <c r="D10" s="84">
        <f>'Ввод в действ жилых домов'!C10/Население!D10</f>
        <v>0.52582557154953424</v>
      </c>
      <c r="E10" s="84">
        <f>'Ввод в действ жилых домов'!D10/Население!E10</f>
        <v>0.60051107325383302</v>
      </c>
      <c r="F10" s="84">
        <f>'Ввод в действ жилых домов'!E10/Население!F10</f>
        <v>0.61762189905902476</v>
      </c>
      <c r="G10" s="84">
        <f>'Ввод в действ жилых домов'!F10/Население!G10</f>
        <v>0.62940670679277733</v>
      </c>
      <c r="H10" s="84">
        <f>'Ввод в действ жилых домов'!G10/Население!H10</f>
        <v>0.62883959044368598</v>
      </c>
      <c r="I10" s="84">
        <f>'Ввод в действ жилых домов'!H10/Население!I10</f>
        <v>0.65351629502572894</v>
      </c>
      <c r="J10" s="84">
        <f>'Ввод в действ жилых домов'!I10/Население!J10</f>
        <v>0.69449225473321863</v>
      </c>
      <c r="K10" s="84">
        <f>'Ввод в действ жилых домов'!J10/Население!K10</f>
        <v>0.73965517241379308</v>
      </c>
      <c r="L10" s="84">
        <f>'Ввод в действ жилых домов'!K10/Население!L10</f>
        <v>0.87132987910189985</v>
      </c>
      <c r="M10" s="84">
        <f>'Ввод в действ жилых домов'!L10/Население!M10</f>
        <v>0.91782006920415227</v>
      </c>
      <c r="N10" s="84">
        <f>'Ввод в действ жилых домов'!M10/Население!N10</f>
        <v>0.93252595155709339</v>
      </c>
      <c r="O10" s="84">
        <f>'Ввод в действ жилых домов'!N10/Население!O10</f>
        <v>0.94260869565217387</v>
      </c>
      <c r="P10" s="84">
        <f>'Ввод в действ жилых домов'!O10/Население!P10</f>
        <v>0.78933566433566438</v>
      </c>
      <c r="Q10" s="84">
        <f>'Ввод в действ жилых домов'!P10/Население!Q10</f>
        <v>1.1009657594381037</v>
      </c>
      <c r="R10" s="84">
        <f>'Ввод в действ жилых домов'!Q10/Население!R10</f>
        <v>1.0921985815602837</v>
      </c>
    </row>
    <row r="11" spans="1:18" x14ac:dyDescent="0.25">
      <c r="A11" s="84">
        <v>10</v>
      </c>
      <c r="B11" s="84" t="s">
        <v>10</v>
      </c>
      <c r="C11" s="84">
        <f>'Ввод в действ жилых домов'!B11/Население!C11</f>
        <v>0.78080778301886788</v>
      </c>
      <c r="D11" s="84">
        <f>'Ввод в действ жилых домов'!C11/Население!D11</f>
        <v>0.97827398913699459</v>
      </c>
      <c r="E11" s="84">
        <f>'Ввод в действ жилых домов'!D11/Население!E11</f>
        <v>1.1743906108937707</v>
      </c>
      <c r="F11" s="84">
        <f>'Ввод в действ жилых домов'!E11/Население!F11</f>
        <v>1.181028023377791</v>
      </c>
      <c r="G11" s="84">
        <f>'Ввод в действ жилых домов'!F11/Население!G11</f>
        <v>1.2590496052435574</v>
      </c>
      <c r="H11" s="84">
        <f>'Ввод в действ жилых домов'!G11/Население!H11</f>
        <v>1.1172248803827751</v>
      </c>
      <c r="I11" s="84">
        <f>'Ввод в действ жилых домов'!H11/Население!I11</f>
        <v>1.1451590498680373</v>
      </c>
      <c r="J11" s="84">
        <f>'Ввод в действ жилых домов'!I11/Население!J11</f>
        <v>0.93927355278093072</v>
      </c>
      <c r="K11" s="84">
        <f>'Ввод в действ жилых домов'!J11/Население!K11</f>
        <v>1.0382674516400336</v>
      </c>
      <c r="L11" s="84">
        <f>'Ввод в действ жилых домов'!K11/Население!L11</f>
        <v>1.3753284469644587</v>
      </c>
      <c r="M11" s="84">
        <f>'Ввод в действ жилых домов'!L11/Население!M11</f>
        <v>1.3147971034294303</v>
      </c>
      <c r="N11" s="84">
        <f>'Ввод в действ жилых домов'!M11/Население!N11</f>
        <v>1.2008621851003638</v>
      </c>
      <c r="O11" s="84">
        <f>'Ввод в действ жилых домов'!N11/Население!O11</f>
        <v>1.2099160335865653</v>
      </c>
      <c r="P11" s="84">
        <f>'Ввод в действ жилых домов'!O11/Население!P11</f>
        <v>1.166864061060666</v>
      </c>
      <c r="Q11" s="84">
        <f>'Ввод в действ жилых домов'!P11/Население!Q11</f>
        <v>1.1200104017683006</v>
      </c>
      <c r="R11" s="84">
        <f>'Ввод в действ жилых домов'!Q11/Население!R11</f>
        <v>1.1726553379167206</v>
      </c>
    </row>
    <row r="12" spans="1:18" x14ac:dyDescent="0.25">
      <c r="A12" s="84">
        <v>11</v>
      </c>
      <c r="B12" s="84" t="s">
        <v>11</v>
      </c>
      <c r="C12" s="84">
        <f>'Ввод в действ жилых домов'!B12/Население!C12</f>
        <v>0.30170316301703165</v>
      </c>
      <c r="D12" s="84">
        <f>'Ввод в действ жилых домов'!C12/Население!D12</f>
        <v>0.30335731414868106</v>
      </c>
      <c r="E12" s="84">
        <f>'Ввод в действ жилых домов'!D12/Население!E12</f>
        <v>0.37484885126964934</v>
      </c>
      <c r="F12" s="84">
        <f>'Ввод в действ жилых домов'!E12/Население!F12</f>
        <v>0.39659367396593675</v>
      </c>
      <c r="G12" s="84">
        <f>'Ввод в действ жилых домов'!F12/Население!G12</f>
        <v>0.36964504283965727</v>
      </c>
      <c r="H12" s="84">
        <f>'Ввод в действ жилых домов'!G12/Население!H12</f>
        <v>0.31679389312977096</v>
      </c>
      <c r="I12" s="84">
        <f>'Ввод в действ жилых домов'!H12/Население!I12</f>
        <v>0.42765685019206146</v>
      </c>
      <c r="J12" s="84">
        <f>'Ввод в действ жилых домов'!I12/Население!J12</f>
        <v>0.46262886597938147</v>
      </c>
      <c r="K12" s="84">
        <f>'Ввод в действ жилых домов'!J12/Население!K12</f>
        <v>0.49220779220779221</v>
      </c>
      <c r="L12" s="84">
        <f>'Ввод в действ жилых домов'!K12/Население!L12</f>
        <v>0.61307189542483664</v>
      </c>
      <c r="M12" s="84">
        <f>'Ввод в действ жилых домов'!L12/Население!M12</f>
        <v>0.63026315789473686</v>
      </c>
      <c r="N12" s="84">
        <f>'Ввод в действ жилых домов'!M12/Население!N12</f>
        <v>0.47682119205298013</v>
      </c>
      <c r="O12" s="84">
        <f>'Ввод в действ жилых домов'!N12/Население!O12</f>
        <v>0.35876840696117807</v>
      </c>
      <c r="P12" s="84">
        <f>'Ввод в действ жилых домов'!O12/Население!P12</f>
        <v>0.39189189189189189</v>
      </c>
      <c r="Q12" s="84">
        <f>'Ввод в действ жилых домов'!P12/Население!Q12</f>
        <v>0.41280653950953677</v>
      </c>
      <c r="R12" s="84">
        <f>'Ввод в действ жилых домов'!Q12/Население!R12</f>
        <v>0.60689655172413792</v>
      </c>
    </row>
    <row r="13" spans="1:18" x14ac:dyDescent="0.25">
      <c r="A13" s="84">
        <v>12</v>
      </c>
      <c r="B13" s="84" t="s">
        <v>12</v>
      </c>
      <c r="C13" s="84">
        <f>'Ввод в действ жилых домов'!B13/Население!C13</f>
        <v>0.25315391084945332</v>
      </c>
      <c r="D13" s="84">
        <f>'Ввод в действ жилых домов'!C13/Население!D13</f>
        <v>0.31895093062605751</v>
      </c>
      <c r="E13" s="84">
        <f>'Ввод в действ жилых домов'!D13/Население!E13</f>
        <v>0.38993174061433444</v>
      </c>
      <c r="F13" s="84">
        <f>'Ввод в действ жилых домов'!E13/Население!F13</f>
        <v>0.43175965665236049</v>
      </c>
      <c r="G13" s="84">
        <f>'Ввод в действ жилых домов'!F13/Население!G13</f>
        <v>0.44041450777202074</v>
      </c>
      <c r="H13" s="84">
        <f>'Ввод в действ жилых домов'!G13/Население!H13</f>
        <v>0.4045138888888889</v>
      </c>
      <c r="I13" s="84">
        <f>'Ввод в действ жилых домов'!H13/Население!I13</f>
        <v>0.41637630662020908</v>
      </c>
      <c r="J13" s="84">
        <f>'Ввод в действ жилых домов'!I13/Население!J13</f>
        <v>0.44755244755244755</v>
      </c>
      <c r="K13" s="84">
        <f>'Ввод в действ жилых домов'!J13/Население!K13</f>
        <v>0.48466257668711654</v>
      </c>
      <c r="L13" s="84">
        <f>'Ввод в действ жилых домов'!K13/Население!L13</f>
        <v>0.53127753303964753</v>
      </c>
      <c r="M13" s="84">
        <f>'Ввод в действ жилых домов'!L13/Население!M13</f>
        <v>0.5902654867256637</v>
      </c>
      <c r="N13" s="84">
        <f>'Ввод в действ жилых домов'!M13/Население!N13</f>
        <v>0.62821650399290152</v>
      </c>
      <c r="O13" s="84">
        <f>'Ввод в действ жилых домов'!N13/Население!O13</f>
        <v>0.63547237076648844</v>
      </c>
      <c r="P13" s="84">
        <f>'Ввод в действ жилых домов'!O13/Население!P13</f>
        <v>0.69838420107719923</v>
      </c>
      <c r="Q13" s="84">
        <f>'Ввод в действ жилых домов'!P13/Население!Q13</f>
        <v>0.72046889089269617</v>
      </c>
      <c r="R13" s="84">
        <f>'Ввод в действ жилых домов'!Q13/Население!R13</f>
        <v>0.58925318761384338</v>
      </c>
    </row>
    <row r="14" spans="1:18" x14ac:dyDescent="0.25">
      <c r="A14" s="84">
        <v>13</v>
      </c>
      <c r="B14" s="84" t="s">
        <v>13</v>
      </c>
      <c r="C14" s="84">
        <f>'Ввод в действ жилых домов'!B14/Население!C14</f>
        <v>0.26341463414634148</v>
      </c>
      <c r="D14" s="84">
        <f>'Ввод в действ жилых домов'!C14/Население!D14</f>
        <v>0.2952286282306163</v>
      </c>
      <c r="E14" s="84">
        <f>'Ввод в действ жилых домов'!D14/Население!E14</f>
        <v>0.30181086519114686</v>
      </c>
      <c r="F14" s="84">
        <f>'Ввод в действ жилых домов'!E14/Население!F14</f>
        <v>0.35096642929806715</v>
      </c>
      <c r="G14" s="84">
        <f>'Ввод в действ жилых домов'!F14/Население!G14</f>
        <v>0.35523613963039014</v>
      </c>
      <c r="H14" s="84">
        <f>'Ввод в действ жилых домов'!G14/Население!H14</f>
        <v>0.35401831129196337</v>
      </c>
      <c r="I14" s="84">
        <f>'Ввод в действ жилых домов'!H14/Население!I14</f>
        <v>0.3781855249745158</v>
      </c>
      <c r="J14" s="84">
        <f>'Ввод в действ жилых домов'!I14/Население!J14</f>
        <v>0.26769230769230767</v>
      </c>
      <c r="K14" s="84">
        <f>'Ввод в действ жилых домов'!J14/Население!K14</f>
        <v>0.42458677685950413</v>
      </c>
      <c r="L14" s="84">
        <f>'Ввод в действ жилых домов'!K14/Население!L14</f>
        <v>0.46528497409326425</v>
      </c>
      <c r="M14" s="84">
        <f>'Ввод в действ жилых домов'!L14/Население!M14</f>
        <v>0.53597497393117832</v>
      </c>
      <c r="N14" s="84">
        <f>'Ввод в действ жилых домов'!M14/Население!N14</f>
        <v>0.66107030430220359</v>
      </c>
      <c r="O14" s="84">
        <f>'Ввод в действ жилых домов'!N14/Население!O14</f>
        <v>0.5094736842105263</v>
      </c>
      <c r="P14" s="84">
        <f>'Ввод в действ жилых домов'!O14/Население!P14</f>
        <v>0.38216560509554143</v>
      </c>
      <c r="Q14" s="84">
        <f>'Ввод в действ жилых домов'!P14/Население!Q14</f>
        <v>0.45668449197860961</v>
      </c>
      <c r="R14" s="84">
        <f>'Ввод в действ жилых домов'!Q14/Население!R14</f>
        <v>0.48208469055374592</v>
      </c>
    </row>
    <row r="15" spans="1:18" x14ac:dyDescent="0.25">
      <c r="A15" s="84">
        <v>14</v>
      </c>
      <c r="B15" s="84" t="s">
        <v>14</v>
      </c>
      <c r="C15" s="84">
        <f>'Ввод в действ жилых домов'!B15/Население!C15</f>
        <v>0.30728709394205445</v>
      </c>
      <c r="D15" s="84">
        <f>'Ввод в действ жилых домов'!C15/Население!D15</f>
        <v>0.37256637168141593</v>
      </c>
      <c r="E15" s="84">
        <f>'Ввод в действ жилых домов'!D15/Население!E15</f>
        <v>0.44941808415398388</v>
      </c>
      <c r="F15" s="84">
        <f>'Ввод в действ жилых домов'!E15/Население!F15</f>
        <v>0.50632911392405067</v>
      </c>
      <c r="G15" s="84">
        <f>'Ввод в действ жилых домов'!F15/Население!G15</f>
        <v>0.51412944393801274</v>
      </c>
      <c r="H15" s="84">
        <f>'Ввод в действ жилых домов'!G15/Население!H15</f>
        <v>0.52201834862385321</v>
      </c>
      <c r="I15" s="84">
        <f>'Ввод в действ жилых домов'!H15/Население!I15</f>
        <v>0.55730129390018479</v>
      </c>
      <c r="J15" s="84">
        <f>'Ввод в действ жилых домов'!I15/Население!J15</f>
        <v>0.59107806691449816</v>
      </c>
      <c r="K15" s="84">
        <f>'Ввод в действ жилых домов'!J15/Население!K15</f>
        <v>0.6585594013096352</v>
      </c>
      <c r="L15" s="84">
        <f>'Ввод в действ жилых домов'!K15/Население!L15</f>
        <v>0.72598870056497178</v>
      </c>
      <c r="M15" s="84">
        <f>'Ввод в действ жилых домов'!L15/Население!M15</f>
        <v>0.78666666666666663</v>
      </c>
      <c r="N15" s="84">
        <f>'Ввод в действ жилых домов'!M15/Население!N15</f>
        <v>0.8009615384615385</v>
      </c>
      <c r="O15" s="84">
        <f>'Ввод в действ жилых домов'!N15/Население!O15</f>
        <v>0.81219748305905126</v>
      </c>
      <c r="P15" s="84">
        <f>'Ввод в действ жилых домов'!O15/Население!P15</f>
        <v>0.84547244094488194</v>
      </c>
      <c r="Q15" s="84">
        <f>'Ввод в действ жилых домов'!P15/Население!Q15</f>
        <v>0.92452830188679247</v>
      </c>
      <c r="R15" s="84">
        <f>'Ввод в действ жилых домов'!Q15/Население!R15</f>
        <v>0.70724346076458755</v>
      </c>
    </row>
    <row r="16" spans="1:18" x14ac:dyDescent="0.25">
      <c r="A16" s="84">
        <v>15</v>
      </c>
      <c r="B16" s="84" t="s">
        <v>15</v>
      </c>
      <c r="C16" s="84">
        <f>'Ввод в действ жилых домов'!B16/Население!C16</f>
        <v>0.20565371024734982</v>
      </c>
      <c r="D16" s="84">
        <f>'Ввод в действ жилых домов'!C16/Население!D16</f>
        <v>0.25159914712153519</v>
      </c>
      <c r="E16" s="84">
        <f>'Ввод в действ жилых домов'!D16/Население!E16</f>
        <v>0.30143884892086331</v>
      </c>
      <c r="F16" s="84">
        <f>'Ввод в действ жилых домов'!E16/Население!F16</f>
        <v>0.25144927536231881</v>
      </c>
      <c r="G16" s="84">
        <f>'Ввод в действ жилых домов'!F16/Население!G16</f>
        <v>0.3287070854638422</v>
      </c>
      <c r="H16" s="84">
        <f>'Ввод в действ жилых домов'!G16/Население!H16</f>
        <v>0.33481481481481479</v>
      </c>
      <c r="I16" s="84">
        <f>'Ввод в действ жилых домов'!H16/Население!I16</f>
        <v>0.31445603576751119</v>
      </c>
      <c r="J16" s="84">
        <f>'Ввод в действ жилых домов'!I16/Население!J16</f>
        <v>0.3073463268365817</v>
      </c>
      <c r="K16" s="84">
        <f>'Ввод в действ жилых домов'!J16/Население!K16</f>
        <v>0.38113207547169814</v>
      </c>
      <c r="L16" s="84">
        <f>'Ввод в действ жилых домов'!K16/Население!L16</f>
        <v>0.40912547528517113</v>
      </c>
      <c r="M16" s="84">
        <f>'Ввод в действ жилых домов'!L16/Население!M16</f>
        <v>0.42605363984674327</v>
      </c>
      <c r="N16" s="84">
        <f>'Ввод в действ жилых домов'!M16/Население!N16</f>
        <v>0.38242097147262916</v>
      </c>
      <c r="O16" s="84">
        <f>'Ввод в действ жилых домов'!N16/Население!O16</f>
        <v>0.45560747663551404</v>
      </c>
      <c r="P16" s="84">
        <f>'Ввод в действ жилых домов'!O16/Население!P16</f>
        <v>0.3346456692913386</v>
      </c>
      <c r="Q16" s="84">
        <f>'Ввод в действ жилых домов'!P16/Население!Q16</f>
        <v>0.50793650793650791</v>
      </c>
      <c r="R16" s="84">
        <f>'Ввод в действ жилых домов'!Q16/Население!R16</f>
        <v>0.52969502407704649</v>
      </c>
    </row>
    <row r="17" spans="1:18" x14ac:dyDescent="0.25">
      <c r="A17" s="84">
        <v>16</v>
      </c>
      <c r="B17" s="84" t="s">
        <v>16</v>
      </c>
      <c r="C17" s="84">
        <f>'Ввод в действ жилых домов'!B17/Население!C17</f>
        <v>0.12321981424148606</v>
      </c>
      <c r="D17" s="84">
        <f>'Ввод в действ жилых домов'!C17/Население!D17</f>
        <v>0.15687499999999999</v>
      </c>
      <c r="E17" s="84">
        <f>'Ввод в действ жилых домов'!D17/Население!E17</f>
        <v>0.20379746835443038</v>
      </c>
      <c r="F17" s="84">
        <f>'Ввод в действ жилых домов'!E17/Население!F17</f>
        <v>0.26628352490421459</v>
      </c>
      <c r="G17" s="84">
        <f>'Ввод в действ жилых домов'!F17/Население!G17</f>
        <v>0.25434642627173215</v>
      </c>
      <c r="H17" s="84">
        <f>'Ввод в действ жилых домов'!G17/Население!H17</f>
        <v>0.25483870967741934</v>
      </c>
      <c r="I17" s="84">
        <f>'Ввод в действ жилых домов'!H17/Население!I17</f>
        <v>0.17022653721682848</v>
      </c>
      <c r="J17" s="84">
        <f>'Ввод в действ жилых домов'!I17/Население!J17</f>
        <v>0.20234986945169714</v>
      </c>
      <c r="K17" s="84">
        <f>'Ввод в действ жилых домов'!J17/Население!K17</f>
        <v>0.33048620236530879</v>
      </c>
      <c r="L17" s="84">
        <f>'Ввод в действ жилых домов'!K17/Население!L17</f>
        <v>0.38309114927344784</v>
      </c>
      <c r="M17" s="84">
        <f>'Ввод в действ жилых домов'!L17/Население!M17</f>
        <v>0.51195219123505975</v>
      </c>
      <c r="N17" s="84">
        <f>'Ввод в действ жилых домов'!M17/Население!N17</f>
        <v>0.41561040693795864</v>
      </c>
      <c r="O17" s="84">
        <f>'Ввод в действ жилых домов'!N17/Население!O17</f>
        <v>0.46715817694369971</v>
      </c>
      <c r="P17" s="84">
        <f>'Ввод в действ жилых домов'!O17/Население!P17</f>
        <v>0.49695740365111563</v>
      </c>
      <c r="Q17" s="84">
        <f>'Ввод в действ жилых домов'!P17/Население!Q17</f>
        <v>0.44406548431105047</v>
      </c>
      <c r="R17" s="84">
        <f>'Ввод в действ жилых домов'!Q17/Население!R17</f>
        <v>0.46928916494133888</v>
      </c>
    </row>
    <row r="18" spans="1:18" x14ac:dyDescent="0.25">
      <c r="A18" s="84">
        <v>17</v>
      </c>
      <c r="B18" s="84" t="s">
        <v>17</v>
      </c>
      <c r="C18" s="84">
        <f>'Ввод в действ жилых домов'!B18/Население!C18</f>
        <v>0.1706016755521706</v>
      </c>
      <c r="D18" s="84">
        <f>'Ввод в действ жилых домов'!C18/Население!D18</f>
        <v>0.18599397590361447</v>
      </c>
      <c r="E18" s="84">
        <f>'Ввод в действ жилых домов'!D18/Население!E18</f>
        <v>0.31818181818181818</v>
      </c>
      <c r="F18" s="84">
        <f>'Ввод в действ жилых домов'!E18/Население!F18</f>
        <v>0.30190114068441065</v>
      </c>
      <c r="G18" s="84">
        <f>'Ввод в действ жилых домов'!F18/Население!G18</f>
        <v>0.28702290076335879</v>
      </c>
      <c r="H18" s="84">
        <f>'Ввод в действ жилых домов'!G18/Население!H18</f>
        <v>0.22974036191974823</v>
      </c>
      <c r="I18" s="84">
        <f>'Ввод в действ жилых домов'!H18/Население!I18</f>
        <v>0.32336742722265932</v>
      </c>
      <c r="J18" s="84">
        <f>'Ввод в действ жилых домов'!I18/Население!J18</f>
        <v>0.36242138364779874</v>
      </c>
      <c r="K18" s="84">
        <f>'Ввод в действ жилых домов'!J18/Население!K18</f>
        <v>0.38286163522012578</v>
      </c>
      <c r="L18" s="84">
        <f>'Ввод в действ жилых домов'!K18/Население!L18</f>
        <v>0.54559748427672961</v>
      </c>
      <c r="M18" s="84">
        <f>'Ввод в действ жилых домов'!L18/Население!M18</f>
        <v>0.56367924528301883</v>
      </c>
      <c r="N18" s="84">
        <f>'Ввод в действ жилых домов'!M18/Население!N18</f>
        <v>0.62706530291109364</v>
      </c>
      <c r="O18" s="84">
        <f>'Ввод в действ жилых домов'!N18/Население!O18</f>
        <v>0.59557661927330174</v>
      </c>
      <c r="P18" s="84">
        <f>'Ввод в действ жилых домов'!O18/Население!P18</f>
        <v>0.60952380952380958</v>
      </c>
      <c r="Q18" s="84">
        <f>'Ввод в действ жилых домов'!P18/Население!Q18</f>
        <v>0.62041467304625197</v>
      </c>
      <c r="R18" s="84">
        <f>'Ввод в действ жилых домов'!Q18/Население!R18</f>
        <v>0.60112812248186942</v>
      </c>
    </row>
    <row r="19" spans="1:18" x14ac:dyDescent="0.25">
      <c r="A19" s="84">
        <v>18</v>
      </c>
      <c r="B19" s="84" t="s">
        <v>18</v>
      </c>
      <c r="C19" s="84">
        <f>'Ввод в действ жилых домов'!B19/Население!C19</f>
        <v>0.42557671182716955</v>
      </c>
      <c r="D19" s="84">
        <f>'Ввод в действ жилых домов'!C19/Население!D19</f>
        <v>0.45851318944844127</v>
      </c>
      <c r="E19" s="84">
        <f>'Ввод в действ жилых домов'!D19/Население!E19</f>
        <v>0.46203198314660537</v>
      </c>
      <c r="F19" s="84">
        <f>'Ввод в действ жилых домов'!E19/Население!F19</f>
        <v>0.31174785100286534</v>
      </c>
      <c r="G19" s="84">
        <f>'Ввод в действ жилых домов'!F19/Население!G19</f>
        <v>0.2573032638690646</v>
      </c>
      <c r="H19" s="84">
        <f>'Ввод в действ жилых домов'!G19/Население!H19</f>
        <v>0.15319296421453946</v>
      </c>
      <c r="I19" s="84">
        <f>'Ввод в действ жилых домов'!H19/Население!I19</f>
        <v>0.15568759149229311</v>
      </c>
      <c r="J19" s="84">
        <f>'Ввод в действ жилых домов'!I19/Население!J19</f>
        <v>0.25459098497495825</v>
      </c>
      <c r="K19" s="84">
        <f>'Ввод в действ жилых домов'!J19/Население!K19</f>
        <v>0.25982821275189955</v>
      </c>
      <c r="L19" s="84">
        <f>'Ввод в действ жилых домов'!K19/Население!L19</f>
        <v>0.27400180372222677</v>
      </c>
      <c r="M19" s="84">
        <f>'Ввод в действ жилых домов'!L19/Население!M19</f>
        <v>0.31792376317923765</v>
      </c>
      <c r="N19" s="84">
        <f>'Ввод в действ жилых домов'!M19/Население!N19</f>
        <v>0.27340279460463612</v>
      </c>
      <c r="O19" s="84">
        <f>'Ввод в действ жилых домов'!N19/Население!O19</f>
        <v>0.27336691452786438</v>
      </c>
      <c r="P19" s="84">
        <f>'Ввод в действ жилых домов'!O19/Население!P19</f>
        <v>0.28069758224336105</v>
      </c>
      <c r="Q19" s="84">
        <f>'Ввод в действ жилых домов'!P19/Население!Q19</f>
        <v>0.40826628805805332</v>
      </c>
      <c r="R19" s="84">
        <f>'Ввод в действ жилых домов'!Q19/Население!R19</f>
        <v>0.39344132753852235</v>
      </c>
    </row>
    <row r="20" spans="1:18" x14ac:dyDescent="0.25">
      <c r="A20" s="84">
        <v>19</v>
      </c>
      <c r="B20" s="84" t="s">
        <v>19</v>
      </c>
      <c r="C20" s="84">
        <f>'Ввод в действ жилых домов'!B20/Население!C20</f>
        <v>0.13017751479289941</v>
      </c>
      <c r="D20" s="84">
        <f>'Ввод в действ жилых домов'!C20/Население!D20</f>
        <v>0.15759312320916904</v>
      </c>
      <c r="E20" s="84">
        <f>'Ввод в действ жилых домов'!D20/Население!E20</f>
        <v>0.18903318903318903</v>
      </c>
      <c r="F20" s="84">
        <f>'Ввод в действ жилых домов'!E20/Население!F20</f>
        <v>0.21273516642547033</v>
      </c>
      <c r="G20" s="84">
        <f>'Ввод в действ жилых домов'!F20/Население!G20</f>
        <v>0.24017467248908297</v>
      </c>
      <c r="H20" s="84">
        <f>'Ввод в действ жилых домов'!G20/Население!H20</f>
        <v>0.22239502332814931</v>
      </c>
      <c r="I20" s="84">
        <f>'Ввод в действ жилых домов'!H20/Население!I20</f>
        <v>0.27812500000000001</v>
      </c>
      <c r="J20" s="84">
        <f>'Ввод в действ жилых домов'!I20/Население!J20</f>
        <v>0.30612244897959184</v>
      </c>
      <c r="K20" s="84">
        <f>'Ввод в действ жилых домов'!J20/Население!K20</f>
        <v>0.34542586750788645</v>
      </c>
      <c r="L20" s="84">
        <f>'Ввод в действ жилых домов'!K20/Население!L20</f>
        <v>0.38072669826224331</v>
      </c>
      <c r="M20" s="84">
        <f>'Ввод в действ жилых домов'!L20/Население!M20</f>
        <v>0.43015873015873018</v>
      </c>
      <c r="N20" s="84">
        <f>'Ввод в действ жилых домов'!M20/Население!N20</f>
        <v>0.46730462519936206</v>
      </c>
      <c r="O20" s="84">
        <f>'Ввод в действ жилых домов'!N20/Население!O20</f>
        <v>0.35691318327974275</v>
      </c>
      <c r="P20" s="84">
        <f>'Ввод в действ жилых домов'!O20/Население!P20</f>
        <v>0.43851132686084143</v>
      </c>
      <c r="Q20" s="84">
        <f>'Ввод в действ жилых домов'!P20/Население!Q20</f>
        <v>0.45114006514657978</v>
      </c>
      <c r="R20" s="84">
        <f>'Ввод в действ жилых домов'!Q20/Население!R20</f>
        <v>0.48275862068965519</v>
      </c>
    </row>
    <row r="21" spans="1:18" x14ac:dyDescent="0.25">
      <c r="A21" s="84">
        <v>20</v>
      </c>
      <c r="B21" s="84" t="s">
        <v>20</v>
      </c>
      <c r="C21" s="84">
        <f>'Ввод в действ жилых домов'!B21/Население!C21</f>
        <v>0.16510903426791276</v>
      </c>
      <c r="D21" s="84">
        <f>'Ввод в действ жилых домов'!C21/Население!D21</f>
        <v>0.17969543147208122</v>
      </c>
      <c r="E21" s="84">
        <f>'Ввод в действ жилых домов'!D21/Население!E21</f>
        <v>0.20205128205128206</v>
      </c>
      <c r="F21" s="84">
        <f>'Ввод в действ жилых домов'!E21/Население!F21</f>
        <v>0.19008264462809918</v>
      </c>
      <c r="G21" s="84">
        <f>'Ввод в действ жилых домов'!F21/Население!G21</f>
        <v>0.12513034410844631</v>
      </c>
      <c r="H21" s="84">
        <f>'Ввод в действ жилых домов'!G21/Население!H21</f>
        <v>8.8987764182424919E-2</v>
      </c>
      <c r="I21" s="84">
        <f>'Ввод в действ жилых домов'!H21/Население!I21</f>
        <v>0.1303370786516854</v>
      </c>
      <c r="J21" s="84">
        <f>'Ввод в действ жилых домов'!I21/Население!J21</f>
        <v>0.1</v>
      </c>
      <c r="K21" s="84">
        <f>'Ввод в действ жилых домов'!J21/Население!K21</f>
        <v>0.16513761467889909</v>
      </c>
      <c r="L21" s="84">
        <f>'Ввод в действ жилых домов'!K21/Население!L21</f>
        <v>0.18055555555555555</v>
      </c>
      <c r="M21" s="84">
        <f>'Ввод в действ жилых домов'!L21/Население!M21</f>
        <v>0.24504084014002334</v>
      </c>
      <c r="N21" s="84">
        <f>'Ввод в действ жилых домов'!M21/Население!N21</f>
        <v>0.28235294117647058</v>
      </c>
      <c r="O21" s="84">
        <f>'Ввод в действ жилых домов'!N21/Население!O21</f>
        <v>0.26516052318668254</v>
      </c>
      <c r="P21" s="84">
        <f>'Ввод в действ жилых домов'!O21/Население!P21</f>
        <v>0.3493975903614458</v>
      </c>
      <c r="Q21" s="84">
        <f>'Ввод в действ жилых домов'!P21/Население!Q21</f>
        <v>0.28867235079171744</v>
      </c>
      <c r="R21" s="84">
        <f>'Ввод в действ жилых домов'!Q21/Население!R21</f>
        <v>0.25061425061425063</v>
      </c>
    </row>
    <row r="22" spans="1:18" x14ac:dyDescent="0.25">
      <c r="A22" s="84">
        <v>21</v>
      </c>
      <c r="B22" s="84" t="s">
        <v>21</v>
      </c>
      <c r="C22" s="84">
        <f>'Ввод в действ жилых домов'!B22/Население!C22</f>
        <v>9.2043681747269887E-2</v>
      </c>
      <c r="D22" s="84">
        <f>'Ввод в действ жилых домов'!C22/Население!D22</f>
        <v>0.14949651432997677</v>
      </c>
      <c r="E22" s="84">
        <f>'Ввод в действ жилых домов'!D22/Население!E22</f>
        <v>0.203125</v>
      </c>
      <c r="F22" s="84">
        <f>'Ввод в действ жилых домов'!E22/Население!F22</f>
        <v>0.2727987421383648</v>
      </c>
      <c r="G22" s="84">
        <f>'Ввод в действ жилых домов'!F22/Население!G22</f>
        <v>0.19334389857369255</v>
      </c>
      <c r="H22" s="84">
        <f>'Ввод в действ жилых домов'!G22/Население!H22</f>
        <v>0.23510204081632652</v>
      </c>
      <c r="I22" s="84">
        <f>'Ввод в действ жилых домов'!H22/Население!I22</f>
        <v>0.23330585325638911</v>
      </c>
      <c r="J22" s="84">
        <f>'Ввод в действ жилых домов'!I22/Население!J22</f>
        <v>0.25207986688851913</v>
      </c>
      <c r="K22" s="84">
        <f>'Ввод в действ жилых домов'!J22/Население!K22</f>
        <v>0.27432885906040266</v>
      </c>
      <c r="L22" s="84">
        <f>'Ввод в действ жилых домов'!K22/Население!L22</f>
        <v>0.30092983939137785</v>
      </c>
      <c r="M22" s="84">
        <f>'Ввод в действ жилых домов'!L22/Население!M22</f>
        <v>0.33560477001703576</v>
      </c>
      <c r="N22" s="84">
        <f>'Ввод в действ жилых домов'!M22/Население!N22</f>
        <v>0.313893653516295</v>
      </c>
      <c r="O22" s="84">
        <f>'Ввод в действ жилых домов'!N22/Население!O22</f>
        <v>0.36623376623376624</v>
      </c>
      <c r="P22" s="84">
        <f>'Ввод в действ жилых домов'!O22/Население!P22</f>
        <v>0.28234265734265734</v>
      </c>
      <c r="Q22" s="84">
        <f>'Ввод в действ жилых домов'!P22/Население!Q22</f>
        <v>0.30017605633802819</v>
      </c>
      <c r="R22" s="84">
        <f>'Ввод в действ жилых домов'!Q22/Население!R22</f>
        <v>0.3318544809228039</v>
      </c>
    </row>
    <row r="23" spans="1:18" x14ac:dyDescent="0.25">
      <c r="A23" s="84">
        <v>22</v>
      </c>
      <c r="B23" s="84" t="s">
        <v>22</v>
      </c>
      <c r="C23" s="84">
        <f>'Ввод в действ жилых домов'!B23/Население!C23</f>
        <v>0.23724696356275304</v>
      </c>
      <c r="D23" s="84">
        <f>'Ввод в действ жилых домов'!C23/Население!D23</f>
        <v>0.27044534412955468</v>
      </c>
      <c r="E23" s="84">
        <f>'Ввод в действ жилых домов'!D23/Население!E23</f>
        <v>0.3982084690553746</v>
      </c>
      <c r="F23" s="84">
        <f>'Ввод в действ жилых домов'!E23/Население!F23</f>
        <v>0.44562551103843007</v>
      </c>
      <c r="G23" s="84">
        <f>'Ввод в действ жилых домов'!F23/Население!G23</f>
        <v>0.40229885057471265</v>
      </c>
      <c r="H23" s="84">
        <f>'Ввод в действ жилых домов'!G23/Население!H23</f>
        <v>0.34138218151540384</v>
      </c>
      <c r="I23" s="84">
        <f>'Ввод в действ жилых домов'!H23/Население!I23</f>
        <v>0.36227045075125208</v>
      </c>
      <c r="J23" s="84">
        <f>'Ввод в действ жилых домов'!I23/Население!J23</f>
        <v>0.32525083612040134</v>
      </c>
      <c r="K23" s="84">
        <f>'Ввод в действ жилых домов'!J23/Население!K23</f>
        <v>0.48281642917015927</v>
      </c>
      <c r="L23" s="84">
        <f>'Ввод в действ жилых домов'!K23/Население!L23</f>
        <v>0.64987405541561716</v>
      </c>
      <c r="M23" s="84">
        <f>'Ввод в действ жилых домов'!L23/Население!M23</f>
        <v>0.72727272727272729</v>
      </c>
      <c r="N23" s="84">
        <f>'Ввод в действ жилых домов'!M23/Население!N23</f>
        <v>0.65371621621621623</v>
      </c>
      <c r="O23" s="84">
        <f>'Ввод в действ жилых домов'!N23/Население!O23</f>
        <v>0.46049277824978757</v>
      </c>
      <c r="P23" s="84">
        <f>'Ввод в действ жилых домов'!O23/Население!P23</f>
        <v>0.4589041095890411</v>
      </c>
      <c r="Q23" s="84">
        <f>'Ввод в действ жилых домов'!P23/Население!Q23</f>
        <v>0.50431034482758619</v>
      </c>
      <c r="R23" s="84">
        <f>'Ввод в действ жилых домов'!Q23/Население!R23</f>
        <v>0.43440486533449174</v>
      </c>
    </row>
    <row r="24" spans="1:18" x14ac:dyDescent="0.25">
      <c r="A24" s="84">
        <v>23</v>
      </c>
      <c r="B24" s="84" t="s">
        <v>23</v>
      </c>
      <c r="C24" s="84">
        <f>'Ввод в действ жилых домов'!B24/Население!C24</f>
        <v>0.28418803418803418</v>
      </c>
      <c r="D24" s="84">
        <f>'Ввод в действ жилых домов'!C24/Население!D24</f>
        <v>0.53404255319148941</v>
      </c>
      <c r="E24" s="84">
        <f>'Ввод в действ жилых домов'!D24/Население!E24</f>
        <v>0.80362860192102459</v>
      </c>
      <c r="F24" s="84">
        <f>'Ввод в действ жилых домов'!E24/Население!F24</f>
        <v>0.85485592315901815</v>
      </c>
      <c r="G24" s="84">
        <f>'Ввод в действ жилых домов'!F24/Население!G24</f>
        <v>0.64887940234791885</v>
      </c>
      <c r="H24" s="84">
        <f>'Ввод в действ жилых домов'!G24/Население!H24</f>
        <v>0.5573248407643312</v>
      </c>
      <c r="I24" s="84">
        <f>'Ввод в действ жилых домов'!H24/Население!I24</f>
        <v>0.57550158394931361</v>
      </c>
      <c r="J24" s="84">
        <f>'Ввод в действ жилых домов'!I24/Население!J24</f>
        <v>0.60942408376963353</v>
      </c>
      <c r="K24" s="84">
        <f>'Ввод в действ жилых домов'!J24/Население!K24</f>
        <v>0.66355140186915884</v>
      </c>
      <c r="L24" s="84">
        <f>'Ввод в действ жилых домов'!K24/Население!L24</f>
        <v>1.151702786377709</v>
      </c>
      <c r="M24" s="84">
        <f>'Ввод в действ жилых домов'!L24/Население!M24</f>
        <v>1.2366803278688525</v>
      </c>
      <c r="N24" s="84">
        <f>'Ввод в действ жилых домов'!M24/Население!N24</f>
        <v>1.2261663286004056</v>
      </c>
      <c r="O24" s="84">
        <f>'Ввод в действ жилых домов'!N24/Население!O24</f>
        <v>0.90653266331658289</v>
      </c>
      <c r="P24" s="84">
        <f>'Ввод в действ жилых домов'!O24/Население!P24</f>
        <v>0.9141716566866267</v>
      </c>
      <c r="Q24" s="84">
        <f>'Ввод в действ жилых домов'!P24/Население!Q24</f>
        <v>0.96051332675222112</v>
      </c>
      <c r="R24" s="84">
        <f>'Ввод в действ жилых домов'!Q24/Население!R24</f>
        <v>1.1422963689892052</v>
      </c>
    </row>
    <row r="25" spans="1:18" x14ac:dyDescent="0.25">
      <c r="A25" s="84">
        <v>24</v>
      </c>
      <c r="B25" s="84" t="s">
        <v>24</v>
      </c>
      <c r="C25" s="84">
        <f>'Ввод в действ жилых домов'!B25/Население!C25</f>
        <v>0.31632047477744807</v>
      </c>
      <c r="D25" s="84">
        <f>'Ввод в действ жилых домов'!C25/Население!D25</f>
        <v>0.40815085158150849</v>
      </c>
      <c r="E25" s="84">
        <f>'Ввод в действ жилых домов'!D25/Население!E25</f>
        <v>0.51526251526251521</v>
      </c>
      <c r="F25" s="84">
        <f>'Ввод в действ жилых домов'!E25/Население!F25</f>
        <v>0.55603184323331289</v>
      </c>
      <c r="G25" s="84">
        <f>'Ввод в действ жилых домов'!F25/Население!G25</f>
        <v>0.63174019607843135</v>
      </c>
      <c r="H25" s="84">
        <f>'Ввод в действ жилых домов'!G25/Население!H25</f>
        <v>0.60732984293193715</v>
      </c>
      <c r="I25" s="84">
        <f>'Ввод в действ жилых домов'!H25/Население!I25</f>
        <v>0.62053056516724336</v>
      </c>
      <c r="J25" s="84">
        <f>'Ввод в действ жилых домов'!I25/Население!J25</f>
        <v>0.65619645916619074</v>
      </c>
      <c r="K25" s="84">
        <f>'Ввод в действ жилых домов'!J25/Население!K25</f>
        <v>0.77097505668934241</v>
      </c>
      <c r="L25" s="84">
        <f>'Ввод в действ жилых домов'!K25/Население!L25</f>
        <v>1.0067567567567568</v>
      </c>
      <c r="M25" s="84">
        <f>'Ввод в действ жилых домов'!L25/Население!M25</f>
        <v>1.3057897695334457</v>
      </c>
      <c r="N25" s="84">
        <f>'Ввод в действ жилых домов'!M25/Население!N25</f>
        <v>1.2120535714285714</v>
      </c>
      <c r="O25" s="84">
        <f>'Ввод в действ жилых домов'!N25/Население!O25</f>
        <v>1.4476295479603087</v>
      </c>
      <c r="P25" s="84">
        <f>'Ввод в действ жилых домов'!O25/Население!P25</f>
        <v>1.4291125541125542</v>
      </c>
      <c r="Q25" s="84">
        <f>'Ввод в действ жилых домов'!P25/Население!Q25</f>
        <v>1.5618336886993602</v>
      </c>
      <c r="R25" s="84">
        <f>'Ввод в действ жилых домов'!Q25/Население!R25</f>
        <v>1.4083465398837824</v>
      </c>
    </row>
    <row r="26" spans="1:18" x14ac:dyDescent="0.25">
      <c r="A26" s="84">
        <v>25</v>
      </c>
      <c r="B26" s="84" t="s">
        <v>25</v>
      </c>
      <c r="C26" s="84">
        <f>'Ввод в действ жилых домов'!B26/Население!C26</f>
        <v>9.5351609058402856E-3</v>
      </c>
      <c r="D26" s="84">
        <f>'Ввод в действ жилых домов'!C26/Население!D26</f>
        <v>1.6203703703703703E-2</v>
      </c>
      <c r="E26" s="84">
        <f>'Ввод в действ жилых домов'!D26/Население!E26</f>
        <v>1.5169194865810968E-2</v>
      </c>
      <c r="F26" s="84">
        <f>'Ввод в действ жилых домов'!E26/Население!F26</f>
        <v>1.0575793184488837E-2</v>
      </c>
      <c r="G26" s="84">
        <f>'Ввод в действ жилых домов'!F26/Население!G26</f>
        <v>2.6097271648873072E-2</v>
      </c>
      <c r="H26" s="84">
        <f>'Ввод в действ жилых домов'!G26/Население!H26</f>
        <v>3.5264483627204031E-2</v>
      </c>
      <c r="I26" s="84">
        <f>'Ввод в действ жилых домов'!H26/Население!I26</f>
        <v>2.9187817258883249E-2</v>
      </c>
      <c r="J26" s="84">
        <f>'Ввод в действ жилых домов'!I26/Население!J26</f>
        <v>3.0769230769230771E-2</v>
      </c>
      <c r="K26" s="84">
        <f>'Ввод в действ жилых домов'!J26/Население!K26</f>
        <v>3.2425421530479899E-2</v>
      </c>
      <c r="L26" s="84">
        <f>'Ввод в действ жилых домов'!K26/Население!L26</f>
        <v>3.2637075718015669E-2</v>
      </c>
      <c r="M26" s="84">
        <f>'Ввод в действ жилых домов'!L26/Население!M26</f>
        <v>4.3307086614173228E-2</v>
      </c>
      <c r="N26" s="84">
        <f>'Ввод в действ жилых домов'!M26/Население!N26</f>
        <v>7.7939233817701459E-2</v>
      </c>
      <c r="O26" s="84">
        <f>'Ввод в действ жилых домов'!N26/Население!O26</f>
        <v>9.4164456233421748E-2</v>
      </c>
      <c r="P26" s="84">
        <f>'Ввод в действ жилых домов'!O26/Население!P26</f>
        <v>6.1497326203208559E-2</v>
      </c>
      <c r="Q26" s="84">
        <f>'Ввод в действ жилых домов'!P26/Население!Q26</f>
        <v>6.0728744939271252E-2</v>
      </c>
      <c r="R26" s="84">
        <f>'Ввод в действ жилых домов'!Q26/Население!R26</f>
        <v>4.9113233287858118E-2</v>
      </c>
    </row>
    <row r="27" spans="1:18" x14ac:dyDescent="0.25">
      <c r="A27" s="84">
        <v>26</v>
      </c>
      <c r="B27" s="84" t="s">
        <v>26</v>
      </c>
      <c r="C27" s="84">
        <f>'Ввод в действ жилых домов'!B27/Население!C27</f>
        <v>0.21471471471471471</v>
      </c>
      <c r="D27" s="84">
        <f>'Ввод в действ жилых домов'!C27/Население!D27</f>
        <v>0.24511278195488723</v>
      </c>
      <c r="E27" s="84">
        <f>'Ввод в действ жилых домов'!D27/Население!E27</f>
        <v>0.31202435312024351</v>
      </c>
      <c r="F27" s="84">
        <f>'Ввод в действ жилых домов'!E27/Население!F27</f>
        <v>0.39723926380368096</v>
      </c>
      <c r="G27" s="84">
        <f>'Ввод в действ жилых домов'!F27/Население!G27</f>
        <v>0.38080495356037153</v>
      </c>
      <c r="H27" s="84">
        <f>'Ввод в действ жилых домов'!G27/Население!H27</f>
        <v>0.36808846761453395</v>
      </c>
      <c r="I27" s="84">
        <f>'Ввод в действ жилых домов'!H27/Население!I27</f>
        <v>0.43015873015873018</v>
      </c>
      <c r="J27" s="84">
        <f>'Ввод в действ жилых домов'!I27/Население!J27</f>
        <v>0.5</v>
      </c>
      <c r="K27" s="84">
        <f>'Ввод в действ жилых домов'!J27/Население!K27</f>
        <v>0.5184590690208668</v>
      </c>
      <c r="L27" s="84">
        <f>'Ввод в действ жилых домов'!K27/Население!L27</f>
        <v>0.57189014539579963</v>
      </c>
      <c r="M27" s="84">
        <f>'Ввод в действ жилых домов'!L27/Население!M27</f>
        <v>0.58279220779220775</v>
      </c>
      <c r="N27" s="84">
        <f>'Ввод в действ жилых домов'!M27/Население!N27</f>
        <v>0.5905383360522023</v>
      </c>
      <c r="O27" s="84">
        <f>'Ввод в действ жилых домов'!N27/Население!O27</f>
        <v>0.38283828382838286</v>
      </c>
      <c r="P27" s="84">
        <f>'Ввод в действ жилых домов'!O27/Население!P27</f>
        <v>0.44</v>
      </c>
      <c r="Q27" s="84">
        <f>'Ввод в действ жилых домов'!P27/Население!Q27</f>
        <v>0.48073701842546063</v>
      </c>
      <c r="R27" s="84">
        <f>'Ввод в действ жилых домов'!Q27/Население!R27</f>
        <v>0.47804054054054052</v>
      </c>
    </row>
    <row r="28" spans="1:18" x14ac:dyDescent="0.25">
      <c r="A28" s="84">
        <v>27</v>
      </c>
      <c r="B28" s="84" t="s">
        <v>27</v>
      </c>
      <c r="C28" s="84">
        <f>'Ввод в действ жилых домов'!B28/Население!C28</f>
        <v>0.13869625520110956</v>
      </c>
      <c r="D28" s="84">
        <f>'Ввод в действ жилых домов'!C28/Население!D28</f>
        <v>0.17379310344827587</v>
      </c>
      <c r="E28" s="84">
        <f>'Ввод в действ жилых домов'!D28/Население!E28</f>
        <v>0.18347338935574228</v>
      </c>
      <c r="F28" s="84">
        <f>'Ввод в действ жилых домов'!E28/Население!F28</f>
        <v>0.21388101983002833</v>
      </c>
      <c r="G28" s="84">
        <f>'Ввод в действ жилых домов'!F28/Население!G28</f>
        <v>0.27586206896551724</v>
      </c>
      <c r="H28" s="84">
        <f>'Ввод в действ жилых домов'!G28/Население!H28</f>
        <v>0.22354694485842028</v>
      </c>
      <c r="I28" s="84">
        <f>'Ввод в действ жилых домов'!H28/Население!I28</f>
        <v>0.26686656671664166</v>
      </c>
      <c r="J28" s="84">
        <f>'Ввод в действ жилых домов'!I28/Население!J28</f>
        <v>0.32477341389728098</v>
      </c>
      <c r="K28" s="84">
        <f>'Ввод в действ жилых домов'!J28/Население!K28</f>
        <v>0.28158295281582951</v>
      </c>
      <c r="L28" s="84">
        <f>'Ввод в действ жилых домов'!K28/Население!L28</f>
        <v>0.45775729646697388</v>
      </c>
      <c r="M28" s="84">
        <f>'Ввод в действ жилых домов'!L28/Население!M28</f>
        <v>0.54334365325077394</v>
      </c>
      <c r="N28" s="84">
        <f>'Ввод в действ жилых домов'!M28/Население!N28</f>
        <v>0.42367601246105918</v>
      </c>
      <c r="O28" s="84">
        <f>'Ввод в действ жилых домов'!N28/Население!O28</f>
        <v>0.31761006289308175</v>
      </c>
      <c r="P28" s="84">
        <f>'Ввод в действ жилых домов'!O28/Население!P28</f>
        <v>0.3746031746031746</v>
      </c>
      <c r="Q28" s="84">
        <f>'Ввод в действ жилых домов'!P28/Население!Q28</f>
        <v>0.48242811501597443</v>
      </c>
      <c r="R28" s="84">
        <f>'Ввод в действ жилых домов'!Q28/Население!R28</f>
        <v>0.44032258064516128</v>
      </c>
    </row>
    <row r="29" spans="1:18" x14ac:dyDescent="0.25">
      <c r="A29" s="84">
        <v>28</v>
      </c>
      <c r="B29" s="84" t="s">
        <v>28</v>
      </c>
      <c r="C29" s="84">
        <f>'Ввод в действ жилых домов'!B29/Население!C29</f>
        <v>0.48228304689157647</v>
      </c>
      <c r="D29" s="84">
        <f>'Ввод в действ жилых домов'!C29/Население!D29</f>
        <v>0.51866404715127701</v>
      </c>
      <c r="E29" s="84">
        <f>'Ввод в действ жилых домов'!D29/Население!E29</f>
        <v>0.57689783417195362</v>
      </c>
      <c r="F29" s="84">
        <f>'Ввод в действ жилых домов'!E29/Население!F29</f>
        <v>0.70315236427320493</v>
      </c>
      <c r="G29" s="84">
        <f>'Ввод в действ жилых домов'!F29/Население!G29</f>
        <v>0.56809253601047582</v>
      </c>
      <c r="H29" s="84">
        <f>'Ввод в действ жилых домов'!G29/Население!H29</f>
        <v>0.54235558277199425</v>
      </c>
      <c r="I29" s="84">
        <f>'Ввод в действ жилых домов'!H29/Население!I29</f>
        <v>0.54633555420956992</v>
      </c>
      <c r="J29" s="84">
        <f>'Ввод в действ жилых домов'!I29/Население!J29</f>
        <v>0.51252983293556087</v>
      </c>
      <c r="K29" s="84">
        <f>'Ввод в действ жилых домов'!J29/Население!K29</f>
        <v>0.50350740452065468</v>
      </c>
      <c r="L29" s="84">
        <f>'Ввод в действ жилых домов'!K29/Население!L29</f>
        <v>0.6282742681047766</v>
      </c>
      <c r="M29" s="84">
        <f>'Ввод в действ жилых домов'!L29/Население!M29</f>
        <v>0.57998469192499047</v>
      </c>
      <c r="N29" s="84">
        <f>'Ввод в действ жилых домов'!M29/Население!N29</f>
        <v>0.58992805755395683</v>
      </c>
      <c r="O29" s="84">
        <f>'Ввод в действ жилых домов'!N29/Население!O29</f>
        <v>0.66068759342301941</v>
      </c>
      <c r="P29" s="84">
        <f>'Ввод в действ жилых домов'!O29/Население!P29</f>
        <v>0.73365527488855864</v>
      </c>
      <c r="Q29" s="84">
        <f>'Ввод в действ жилых домов'!P29/Население!Q29</f>
        <v>0.64301593182660244</v>
      </c>
      <c r="R29" s="84">
        <f>'Ввод в действ жилых домов'!Q29/Население!R29</f>
        <v>0.62592867756315007</v>
      </c>
    </row>
    <row r="30" spans="1:18" x14ac:dyDescent="0.25">
      <c r="A30" s="84">
        <v>29</v>
      </c>
      <c r="B30" s="84" t="s">
        <v>29</v>
      </c>
      <c r="C30" s="84">
        <f>'Ввод в действ жилых домов'!B30/Население!C30</f>
        <v>0.16326530612244897</v>
      </c>
      <c r="D30" s="84">
        <f>'Ввод в действ жилых домов'!C30/Население!D30</f>
        <v>9.480812641083522E-2</v>
      </c>
      <c r="E30" s="84">
        <f>'Ввод в действ жилых домов'!D30/Население!E30</f>
        <v>0.15646258503401361</v>
      </c>
      <c r="F30" s="84">
        <f>'Ввод в действ жилых домов'!E30/Население!F30</f>
        <v>0.18367346938775511</v>
      </c>
      <c r="G30" s="84">
        <f>'Ввод в действ жилых домов'!F30/Население!G30</f>
        <v>0.28442437923250563</v>
      </c>
      <c r="H30" s="84">
        <f>'Ввод в действ жилых домов'!G30/Население!H30</f>
        <v>0.30681818181818182</v>
      </c>
      <c r="I30" s="84">
        <f>'Ввод в действ жилых домов'!H30/Население!I30</f>
        <v>0.27539503386004516</v>
      </c>
      <c r="J30" s="84">
        <f>'Ввод в действ жилых домов'!I30/Население!J30</f>
        <v>0.22022471910112359</v>
      </c>
      <c r="K30" s="84">
        <f>'Ввод в действ жилых домов'!J30/Население!K30</f>
        <v>0.23991031390134529</v>
      </c>
      <c r="L30" s="84">
        <f>'Ввод в действ жилых домов'!K30/Население!L30</f>
        <v>0.60356347438752789</v>
      </c>
      <c r="M30" s="84">
        <f>'Ввод в действ жилых домов'!L30/Население!M30</f>
        <v>0.65853658536585369</v>
      </c>
      <c r="N30" s="84">
        <f>'Ввод в действ жилых домов'!M30/Население!N30</f>
        <v>0.51762114537444937</v>
      </c>
      <c r="O30" s="84">
        <f>'Ввод в действ жилых домов'!N30/Население!O30</f>
        <v>0.5374449339207048</v>
      </c>
      <c r="P30" s="84">
        <f>'Ввод в действ жилых домов'!O30/Население!P30</f>
        <v>0.41098901098901097</v>
      </c>
      <c r="Q30" s="84">
        <f>'Ввод в действ жилых домов'!P30/Население!Q30</f>
        <v>0.55507559395248385</v>
      </c>
      <c r="R30" s="84">
        <f>'Ввод в действ жилых домов'!Q30/Население!R30</f>
        <v>0.55723542116630664</v>
      </c>
    </row>
    <row r="31" spans="1:18" x14ac:dyDescent="0.25">
      <c r="A31" s="84">
        <v>30</v>
      </c>
      <c r="B31" s="84" t="s">
        <v>30</v>
      </c>
      <c r="C31" s="84">
        <f>'Ввод в действ жилых домов'!B31/Население!C31</f>
        <v>0.16666666666666666</v>
      </c>
      <c r="D31" s="84">
        <f>'Ввод в действ жилых домов'!C31/Население!D31</f>
        <v>0.2179930795847751</v>
      </c>
      <c r="E31" s="84">
        <f>'Ввод в действ жилых домов'!D31/Население!E31</f>
        <v>0.27177700348432055</v>
      </c>
      <c r="F31" s="84">
        <f>'Ввод в действ жилых домов'!E31/Население!F31</f>
        <v>0.2062937062937063</v>
      </c>
      <c r="G31" s="84">
        <f>'Ввод в действ жилых домов'!F31/Население!G31</f>
        <v>0.25352112676056338</v>
      </c>
      <c r="H31" s="84">
        <f>'Ввод в действ жилых домов'!G31/Население!H31</f>
        <v>0.30103806228373703</v>
      </c>
      <c r="I31" s="84">
        <f>'Ввод в действ жилых домов'!H31/Население!I31</f>
        <v>0.3623693379790941</v>
      </c>
      <c r="J31" s="84">
        <f>'Ввод в действ жилых домов'!I31/Население!J31</f>
        <v>0.29929577464788731</v>
      </c>
      <c r="K31" s="84">
        <f>'Ввод в действ жилых домов'!J31/Население!K31</f>
        <v>0.39361702127659576</v>
      </c>
      <c r="L31" s="84">
        <f>'Ввод в действ жилых домов'!K31/Население!L31</f>
        <v>0.44483985765124556</v>
      </c>
      <c r="M31" s="84">
        <f>'Ввод в действ жилых домов'!L31/Население!M31</f>
        <v>0.45161290322580644</v>
      </c>
      <c r="N31" s="84">
        <f>'Ввод в действ жилых домов'!M31/Население!N31</f>
        <v>0.25539568345323743</v>
      </c>
      <c r="O31" s="84">
        <f>'Ввод в действ жилых домов'!N31/Население!O31</f>
        <v>0.34909090909090912</v>
      </c>
      <c r="P31" s="84">
        <f>'Ввод в действ жилых домов'!O31/Население!P31</f>
        <v>0.33088235294117646</v>
      </c>
      <c r="Q31" s="84">
        <f>'Ввод в действ жилых домов'!P31/Население!Q31</f>
        <v>0.37269372693726938</v>
      </c>
      <c r="R31" s="84">
        <f>'Ввод в действ жилых домов'!Q31/Население!R31</f>
        <v>0.32592592592592595</v>
      </c>
    </row>
    <row r="32" spans="1:18" x14ac:dyDescent="0.25">
      <c r="A32" s="84">
        <v>31</v>
      </c>
      <c r="B32" s="84" t="s">
        <v>31</v>
      </c>
      <c r="C32" s="84"/>
      <c r="D32" s="84"/>
      <c r="E32" s="84"/>
      <c r="F32" s="84"/>
      <c r="G32" s="84"/>
      <c r="H32" s="84"/>
      <c r="I32" s="84"/>
      <c r="J32" s="84"/>
      <c r="K32" s="84"/>
      <c r="L32" s="84">
        <f>'Ввод в действ жилых домов'!K32/Население!L32</f>
        <v>0.33438818565400846</v>
      </c>
      <c r="M32" s="84">
        <f>'Ввод в действ жилых домов'!L32/Население!M32</f>
        <v>0.13266911379129523</v>
      </c>
      <c r="N32" s="84">
        <f>'Ввод в действ жилых домов'!M32/Население!N32</f>
        <v>0.14958158995815898</v>
      </c>
      <c r="O32" s="84">
        <f>'Ввод в действ жилых домов'!N32/Население!O32</f>
        <v>0.43573667711598746</v>
      </c>
      <c r="P32" s="84">
        <f>'Ввод в действ жилых домов'!O32/Население!P32</f>
        <v>0.40533472803347281</v>
      </c>
      <c r="Q32" s="84">
        <f>'Ввод в действ жилых домов'!P32/Население!Q32</f>
        <v>0.41841004184100417</v>
      </c>
      <c r="R32" s="84">
        <f>'Ввод в действ жилых домов'!Q32/Население!R32</f>
        <v>0.42534174553102</v>
      </c>
    </row>
    <row r="33" spans="1:18" x14ac:dyDescent="0.25">
      <c r="A33" s="84">
        <v>32</v>
      </c>
      <c r="B33" s="84" t="s">
        <v>32</v>
      </c>
      <c r="C33" s="84">
        <f>'Ввод в действ жилых домов'!B33/Население!C33</f>
        <v>0.37838892139652819</v>
      </c>
      <c r="D33" s="84">
        <f>'Ввод в действ жилых домов'!C33/Население!D33</f>
        <v>0.53080847723704871</v>
      </c>
      <c r="E33" s="84">
        <f>'Ввод в действ жилых домов'!D33/Население!E33</f>
        <v>0.72613213095471474</v>
      </c>
      <c r="F33" s="84">
        <f>'Ввод в действ жилых домов'!E33/Население!F33</f>
        <v>0.7688402967590785</v>
      </c>
      <c r="G33" s="84">
        <f>'Ввод в действ жилых домов'!F33/Население!G33</f>
        <v>0.66355503695060292</v>
      </c>
      <c r="H33" s="84">
        <f>'Ввод в действ жилых домов'!G33/Население!H33</f>
        <v>0.68948374760994269</v>
      </c>
      <c r="I33" s="84">
        <f>'Ввод в действ жилых домов'!H33/Население!I33</f>
        <v>0.69871309613928845</v>
      </c>
      <c r="J33" s="84">
        <f>'Ввод в действ жилых домов'!I33/Население!J33</f>
        <v>0.82007504690431521</v>
      </c>
      <c r="K33" s="84">
        <f>'Ввод в действ жилых домов'!J33/Население!K33</f>
        <v>0.73075499629903773</v>
      </c>
      <c r="L33" s="84">
        <f>'Ввод в действ жилых домов'!K33/Население!L33</f>
        <v>0.87257059039237261</v>
      </c>
      <c r="M33" s="84">
        <f>'Ввод в действ жилых домов'!L33/Население!M33</f>
        <v>0.84221980413492925</v>
      </c>
      <c r="N33" s="84">
        <f>'Ввод в действ жилых домов'!M33/Население!N33</f>
        <v>0.80811344462394541</v>
      </c>
      <c r="O33" s="84">
        <f>'Ввод в действ жилых домов'!N33/Население!O33</f>
        <v>0.843833660538997</v>
      </c>
      <c r="P33" s="84">
        <f>'Ввод в действ жилых домов'!O33/Население!P33</f>
        <v>0.78169263456090654</v>
      </c>
      <c r="Q33" s="84">
        <f>'Ввод в действ жилых домов'!P33/Население!Q33</f>
        <v>0.79844961240310075</v>
      </c>
      <c r="R33" s="84">
        <f>'Ввод в действ жилых домов'!Q33/Население!R33</f>
        <v>0.90147783251231528</v>
      </c>
    </row>
    <row r="34" spans="1:18" x14ac:dyDescent="0.25">
      <c r="A34" s="84">
        <v>33</v>
      </c>
      <c r="B34" s="84" t="s">
        <v>33</v>
      </c>
      <c r="C34" s="84">
        <f>'Ввод в действ жилых домов'!B34/Население!C34</f>
        <v>0.64606181455633105</v>
      </c>
      <c r="D34" s="84">
        <f>'Ввод в действ жилых домов'!C34/Население!D34</f>
        <v>0.67303822937625757</v>
      </c>
      <c r="E34" s="84">
        <f>'Ввод в действ жилых домов'!D34/Население!E34</f>
        <v>0.72937625754527158</v>
      </c>
      <c r="F34" s="84">
        <f>'Ввод в действ жилых домов'!E34/Население!F34</f>
        <v>0.38161838161838163</v>
      </c>
      <c r="G34" s="84">
        <f>'Ввод в действ жилых домов'!F34/Население!G34</f>
        <v>0.47363184079601989</v>
      </c>
      <c r="H34" s="84">
        <f>'Ввод в действ жилых домов'!G34/Население!H34</f>
        <v>0.49504950495049505</v>
      </c>
      <c r="I34" s="84">
        <f>'Ввод в действ жилых домов'!H34/Население!I34</f>
        <v>0.49655172413793103</v>
      </c>
      <c r="J34" s="84">
        <f>'Ввод в действ жилых домов'!I34/Население!J34</f>
        <v>0.50394477317554243</v>
      </c>
      <c r="K34" s="84">
        <f>'Ввод в действ жилых домов'!J34/Население!K34</f>
        <v>0.58505408062930186</v>
      </c>
      <c r="L34" s="84">
        <f>'Ввод в действ жилых домов'!K34/Население!L34</f>
        <v>0.61116552399608226</v>
      </c>
      <c r="M34" s="84">
        <f>'Ввод в действ жилых домов'!L34/Население!M34</f>
        <v>0.56427870461236507</v>
      </c>
      <c r="N34" s="84">
        <f>'Ввод в действ жилых домов'!M34/Население!N34</f>
        <v>0.59175662414131502</v>
      </c>
      <c r="O34" s="84">
        <f>'Ввод в действ жилых домов'!N34/Население!O34</f>
        <v>0.47590953785644052</v>
      </c>
      <c r="P34" s="84">
        <f>'Ввод в действ жилых домов'!O34/Население!P34</f>
        <v>0.3234714003944773</v>
      </c>
      <c r="Q34" s="84">
        <f>'Ввод в действ жилых домов'!P34/Население!Q34</f>
        <v>0.31709741550695825</v>
      </c>
      <c r="R34" s="84">
        <f>'Ввод в действ жилых домов'!Q34/Население!R34</f>
        <v>0.36573146292585168</v>
      </c>
    </row>
    <row r="35" spans="1:18" x14ac:dyDescent="0.25">
      <c r="A35" s="84">
        <v>34</v>
      </c>
      <c r="B35" s="84" t="s">
        <v>34</v>
      </c>
      <c r="C35" s="84">
        <f>'Ввод в действ жилых домов'!B35/Население!C35</f>
        <v>0.19507575757575757</v>
      </c>
      <c r="D35" s="84">
        <f>'Ввод в действ жилых домов'!C35/Население!D35</f>
        <v>0.24203338391502277</v>
      </c>
      <c r="E35" s="84">
        <f>'Ввод в действ жилых домов'!D35/Население!E35</f>
        <v>0.29083969465648857</v>
      </c>
      <c r="F35" s="84">
        <f>'Ввод в действ жилых домов'!E35/Население!F35</f>
        <v>0.31429666538903794</v>
      </c>
      <c r="G35" s="84">
        <f>'Ввод в действ жилых домов'!F35/Население!G35</f>
        <v>0.27818391689111199</v>
      </c>
      <c r="H35" s="84">
        <f>'Ввод в действ жилых домов'!G35/Население!H35</f>
        <v>0.25584963559647106</v>
      </c>
      <c r="I35" s="84">
        <f>'Ввод в действ жилых домов'!H35/Население!I35</f>
        <v>0.24238921001926783</v>
      </c>
      <c r="J35" s="84">
        <f>'Ввод в действ жилых домов'!I35/Население!J35</f>
        <v>0.34262485481997679</v>
      </c>
      <c r="K35" s="84">
        <f>'Ввод в действ жилых домов'!J35/Население!K35</f>
        <v>0.31529778123783575</v>
      </c>
      <c r="L35" s="84">
        <f>'Ввод в действ жилых домов'!K35/Население!L35</f>
        <v>0.43605788032850995</v>
      </c>
      <c r="M35" s="84">
        <f>'Ввод в действ жилых домов'!L35/Население!M35</f>
        <v>0.35820895522388058</v>
      </c>
      <c r="N35" s="84">
        <f>'Ввод в действ жилых домов'!M35/Население!N35</f>
        <v>0.29743589743589743</v>
      </c>
      <c r="O35" s="84">
        <f>'Ввод в действ жилых домов'!N35/Население!O35</f>
        <v>0.28877429591431969</v>
      </c>
      <c r="P35" s="84">
        <f>'Ввод в действ жилых домов'!O35/Население!P35</f>
        <v>0.24322169059011164</v>
      </c>
      <c r="Q35" s="84">
        <f>'Ввод в действ жилых домов'!P35/Население!Q35</f>
        <v>0.29345644319550379</v>
      </c>
      <c r="R35" s="84">
        <f>'Ввод в действ жилых домов'!Q35/Население!R35</f>
        <v>0.31151515151515152</v>
      </c>
    </row>
    <row r="36" spans="1:18" x14ac:dyDescent="0.25">
      <c r="A36" s="84">
        <v>35</v>
      </c>
      <c r="B36" s="84" t="s">
        <v>35</v>
      </c>
      <c r="C36" s="84">
        <f>'Ввод в действ жилых домов'!B36/Население!C36</f>
        <v>0.27377654662973222</v>
      </c>
      <c r="D36" s="84">
        <f>'Ввод в действ жилых домов'!C36/Население!D36</f>
        <v>0.32249070631970261</v>
      </c>
      <c r="E36" s="84">
        <f>'Ввод в действ жилых домов'!D36/Население!E36</f>
        <v>0.39897100093545368</v>
      </c>
      <c r="F36" s="84">
        <f>'Ввод в действ жилых домов'!E36/Население!F36</f>
        <v>0.47191539365452406</v>
      </c>
      <c r="G36" s="84">
        <f>'Ввод в действ жилых домов'!F36/Население!G36</f>
        <v>0.42550683639792553</v>
      </c>
      <c r="H36" s="84">
        <f>'Ввод в действ жилых домов'!G36/Население!H36</f>
        <v>0.42315789473684212</v>
      </c>
      <c r="I36" s="84">
        <f>'Ввод в действ жилых домов'!H36/Население!I36</f>
        <v>0.44131455399061031</v>
      </c>
      <c r="J36" s="84">
        <f>'Ввод в действ жилых домов'!I36/Население!J36</f>
        <v>0.46638457921955806</v>
      </c>
      <c r="K36" s="84">
        <f>'Ввод в действ жилых домов'!J36/Население!K36</f>
        <v>0.50259067357512954</v>
      </c>
      <c r="L36" s="84">
        <f>'Ввод в действ жилых домов'!K36/Население!L36</f>
        <v>0.54809052333804809</v>
      </c>
      <c r="M36" s="84">
        <f>'Ввод в действ жилых домов'!L36/Население!M36</f>
        <v>0.56869688385269124</v>
      </c>
      <c r="N36" s="84">
        <f>'Ввод в действ жилых домов'!M36/Население!N36</f>
        <v>0.54195225714961004</v>
      </c>
      <c r="O36" s="84">
        <f>'Ввод в действ жилых домов'!N36/Население!O36</f>
        <v>0.55294953802416491</v>
      </c>
      <c r="P36" s="84">
        <f>'Ввод в действ жилых домов'!O36/Население!P36</f>
        <v>0.55841065905305731</v>
      </c>
      <c r="Q36" s="84">
        <f>'Ввод в действ жилых домов'!P36/Население!Q36</f>
        <v>0.62196283944735586</v>
      </c>
      <c r="R36" s="84">
        <f>'Ввод в действ жилых домов'!Q36/Население!R36</f>
        <v>0.63223338115734096</v>
      </c>
    </row>
    <row r="37" spans="1:18" x14ac:dyDescent="0.25">
      <c r="A37" s="84">
        <v>36</v>
      </c>
      <c r="B37" s="84" t="s">
        <v>36</v>
      </c>
      <c r="C37" s="84"/>
      <c r="D37" s="84"/>
      <c r="E37" s="84"/>
      <c r="F37" s="84"/>
      <c r="G37" s="84"/>
      <c r="H37" s="84"/>
      <c r="I37" s="84"/>
      <c r="J37" s="84"/>
      <c r="K37" s="84"/>
      <c r="L37" s="84">
        <f>'Ввод в действ жилых домов'!K37/Население!L37</f>
        <v>0.61403508771929827</v>
      </c>
      <c r="M37" s="84">
        <f>'Ввод в действ жилых домов'!L37/Население!M37</f>
        <v>0.25240384615384615</v>
      </c>
      <c r="N37" s="84">
        <f>'Ввод в действ жилых домов'!M37/Население!N37</f>
        <v>0.51048951048951052</v>
      </c>
      <c r="O37" s="84">
        <f>'Ввод в действ жилых домов'!N37/Население!O37</f>
        <v>0.39816933638443935</v>
      </c>
      <c r="P37" s="84">
        <f>'Ввод в действ жилых домов'!O37/Население!P37</f>
        <v>0.70880361173814899</v>
      </c>
      <c r="Q37" s="84">
        <f>'Ввод в действ жилых домов'!P37/Население!Q37</f>
        <v>1.2672605790645879</v>
      </c>
      <c r="R37" s="84">
        <f>'Ввод в действ жилых домов'!Q37/Население!R37</f>
        <v>1.2588235294117647</v>
      </c>
    </row>
    <row r="38" spans="1:18" x14ac:dyDescent="0.25">
      <c r="A38" s="84">
        <v>37</v>
      </c>
      <c r="B38" s="84" t="s">
        <v>37</v>
      </c>
      <c r="C38" s="84">
        <f>'Ввод в действ жилых домов'!B38/Население!C38</f>
        <v>0.2331971778685481</v>
      </c>
      <c r="D38" s="84">
        <f>'Ввод в действ жилых домов'!C38/Население!D38</f>
        <v>0.27073078379401744</v>
      </c>
      <c r="E38" s="84">
        <f>'Ввод в действ жилых домов'!D38/Население!E38</f>
        <v>0.30086498683715684</v>
      </c>
      <c r="F38" s="84">
        <f>'Ввод в действ жилых домов'!E38/Население!F38</f>
        <v>0.33742559523809523</v>
      </c>
      <c r="G38" s="84">
        <f>'Ввод в действ жилых домов'!F38/Население!G38</f>
        <v>0.39306784660766964</v>
      </c>
      <c r="H38" s="84">
        <f>'Ввод в действ жилых домов'!G38/Население!H38</f>
        <v>0.38572409059711738</v>
      </c>
      <c r="I38" s="84">
        <f>'Ввод в действ жилых домов'!H38/Население!I38</f>
        <v>0.41351074718526099</v>
      </c>
      <c r="J38" s="84">
        <f>'Ввод в действ жилых домов'!I38/Население!J38</f>
        <v>0.48744059742023083</v>
      </c>
      <c r="K38" s="84">
        <f>'Ввод в действ жилых домов'!J38/Население!K38</f>
        <v>0.51821862348178138</v>
      </c>
      <c r="L38" s="84">
        <f>'Ввод в действ жилых домов'!K38/Население!L38</f>
        <v>0.55117056856187296</v>
      </c>
      <c r="M38" s="84">
        <f>'Ввод в действ жилых домов'!L38/Население!M38</f>
        <v>0.60033167495854067</v>
      </c>
      <c r="N38" s="84">
        <f>'Ввод в действ жилых домов'!M38/Население!N38</f>
        <v>0.61209730440499677</v>
      </c>
      <c r="O38" s="84">
        <f>'Ввод в действ жилых домов'!N38/Население!O38</f>
        <v>0.65274151436031336</v>
      </c>
      <c r="P38" s="84">
        <f>'Ввод в действ жилых домов'!O38/Население!P38</f>
        <v>0.31626701231367466</v>
      </c>
      <c r="Q38" s="84">
        <f>'Ввод в действ жилых домов'!P38/Население!Q38</f>
        <v>0.327547412407586</v>
      </c>
      <c r="R38" s="84">
        <f>'Ввод в действ жилых домов'!Q38/Население!R38</f>
        <v>0.3096074050430897</v>
      </c>
    </row>
    <row r="39" spans="1:18" x14ac:dyDescent="0.25">
      <c r="A39" s="84">
        <v>38</v>
      </c>
      <c r="B39" s="84" t="s">
        <v>38</v>
      </c>
      <c r="C39" s="84">
        <f>'Ввод в действ жилых домов'!B39/Население!C39</f>
        <v>0</v>
      </c>
      <c r="D39" s="84">
        <f>'Ввод в действ жилых домов'!C39/Население!D39</f>
        <v>0</v>
      </c>
      <c r="E39" s="84">
        <f>'Ввод в действ жилых домов'!D39/Население!E39</f>
        <v>0</v>
      </c>
      <c r="F39" s="84">
        <f>'Ввод в действ жилых домов'!E39/Население!F39</f>
        <v>0</v>
      </c>
      <c r="G39" s="84">
        <f>'Ввод в действ жилых домов'!F39/Население!G39</f>
        <v>0</v>
      </c>
      <c r="H39" s="84">
        <f>'Ввод в действ жилых домов'!G39/Население!H39</f>
        <v>0.38072289156626504</v>
      </c>
      <c r="I39" s="84">
        <f>'Ввод в действ жилых домов'!H39/Население!I39</f>
        <v>0.19069767441860466</v>
      </c>
      <c r="J39" s="84">
        <f>'Ввод в действ жилых домов'!I39/Население!J39</f>
        <v>0.20135746606334842</v>
      </c>
      <c r="K39" s="84">
        <f>'Ввод в действ жилых домов'!J39/Население!K39</f>
        <v>0.55408388520971308</v>
      </c>
      <c r="L39" s="84">
        <f>'Ввод в действ жилых домов'!K39/Население!L39</f>
        <v>0.56034482758620685</v>
      </c>
      <c r="M39" s="84">
        <f>'Ввод в действ жилых домов'!L39/Население!M39</f>
        <v>0.55391120507399583</v>
      </c>
      <c r="N39" s="84">
        <f>'Ввод в действ жилых домов'!M39/Население!N39</f>
        <v>0.56548856548856552</v>
      </c>
      <c r="O39" s="84">
        <f>'Ввод в действ жилых домов'!N39/Население!O39</f>
        <v>0.63319672131147542</v>
      </c>
      <c r="P39" s="84">
        <f>'Ввод в действ жилых домов'!O39/Население!P39</f>
        <v>0.47389558232931728</v>
      </c>
      <c r="Q39" s="84">
        <f>'Ввод в действ жилых домов'!P39/Население!Q39</f>
        <v>0.55226824457593693</v>
      </c>
      <c r="R39" s="84">
        <f>'Ввод в действ жилых домов'!Q39/Население!R39</f>
        <v>0.34883720930232559</v>
      </c>
    </row>
    <row r="40" spans="1:18" x14ac:dyDescent="0.25">
      <c r="A40" s="84">
        <v>39</v>
      </c>
      <c r="B40" s="84" t="s">
        <v>42</v>
      </c>
      <c r="C40" s="84">
        <f>'Ввод в действ жилых домов'!B40/Население!C40</f>
        <v>0.26443418013856812</v>
      </c>
      <c r="D40" s="84">
        <f>'Ввод в действ жилых домов'!C40/Население!D40</f>
        <v>0.25615212527964204</v>
      </c>
      <c r="E40" s="84">
        <f>'Ввод в действ жилых домов'!D40/Население!E40</f>
        <v>0.265993265993266</v>
      </c>
      <c r="F40" s="84">
        <f>'Ввод в действ жилых домов'!E40/Население!F40</f>
        <v>0.2772166105499439</v>
      </c>
      <c r="G40" s="84">
        <f>'Ввод в действ жилых домов'!F40/Население!G40</f>
        <v>0.28699551569506726</v>
      </c>
      <c r="H40" s="84">
        <f>'Ввод в действ жилых домов'!G40/Население!H40</f>
        <v>0.30697674418604654</v>
      </c>
      <c r="I40" s="84">
        <f>'Ввод в действ жилых домов'!H40/Население!I40</f>
        <v>0.31781140861466822</v>
      </c>
      <c r="J40" s="84">
        <f>'Ввод в действ жилых домов'!I40/Население!J40</f>
        <v>0.32828870779976715</v>
      </c>
      <c r="K40" s="84">
        <f>'Ввод в действ жилых домов'!J40/Население!K40</f>
        <v>0.33876600698486614</v>
      </c>
      <c r="L40" s="84">
        <f>'Ввод в действ жилых домов'!K40/Население!L40</f>
        <v>0.38095238095238093</v>
      </c>
      <c r="M40" s="84">
        <f>'Ввод в действ жилых домов'!L40/Население!M40</f>
        <v>0.43503480278422274</v>
      </c>
      <c r="N40" s="84">
        <f>'Ввод в действ жилых домов'!M40/Население!N40</f>
        <v>0.47630057803468207</v>
      </c>
      <c r="O40" s="84">
        <f>'Ввод в действ жилых домов'!N40/Население!O40</f>
        <v>0.4936416184971098</v>
      </c>
      <c r="P40" s="84">
        <f>'Ввод в действ жилых домов'!O40/Население!P40</f>
        <v>0.50346420323325636</v>
      </c>
      <c r="Q40" s="84">
        <f>'Ввод в действ жилых домов'!P40/Население!Q40</f>
        <v>0.54608294930875578</v>
      </c>
      <c r="R40" s="84">
        <f>'Ввод в действ жилых домов'!Q40/Население!R40</f>
        <v>0.57537399309551207</v>
      </c>
    </row>
    <row r="41" spans="1:18" x14ac:dyDescent="0.25">
      <c r="A41" s="84">
        <v>40</v>
      </c>
      <c r="B41" s="84" t="s">
        <v>39</v>
      </c>
      <c r="C41" s="84">
        <f>'Ввод в действ жилых домов'!B41/Население!C41</f>
        <v>0.13626373626373625</v>
      </c>
      <c r="D41" s="84">
        <f>'Ввод в действ жилых домов'!C41/Население!D41</f>
        <v>0.18793503480278423</v>
      </c>
      <c r="E41" s="84">
        <f>'Ввод в действ жилых домов'!D41/Население!E41</f>
        <v>0.21678321678321677</v>
      </c>
      <c r="F41" s="84">
        <f>'Ввод в действ жилых домов'!E41/Население!F41</f>
        <v>0.22482435597189696</v>
      </c>
      <c r="G41" s="84">
        <f>'Ввод в действ жилых домов'!F41/Население!G41</f>
        <v>0.21077283372365341</v>
      </c>
      <c r="H41" s="84">
        <f>'Ввод в действ жилых домов'!G41/Население!H41</f>
        <v>0.14675052410901468</v>
      </c>
      <c r="I41" s="84">
        <f>'Ввод в действ жилых домов'!H41/Население!I41</f>
        <v>0.17263157894736841</v>
      </c>
      <c r="J41" s="84">
        <f>'Ввод в действ жилых домов'!I41/Население!J41</f>
        <v>0.1864406779661017</v>
      </c>
      <c r="K41" s="84">
        <f>'Ввод в действ жилых домов'!J41/Население!K41</f>
        <v>0.2404255319148936</v>
      </c>
      <c r="L41" s="84">
        <f>'Ввод в действ жилых домов'!K41/Население!L41</f>
        <v>0.37100213219616207</v>
      </c>
      <c r="M41" s="84">
        <f>'Ввод в действ жилых домов'!L41/Население!M41</f>
        <v>0.39316239316239315</v>
      </c>
      <c r="N41" s="84">
        <f>'Ввод в действ жилых домов'!M41/Население!N41</f>
        <v>0.35407725321888411</v>
      </c>
      <c r="O41" s="84">
        <f>'Ввод в действ жилых домов'!N41/Население!O41</f>
        <v>0.4334763948497854</v>
      </c>
      <c r="P41" s="84">
        <f>'Ввод в действ жилых домов'!O41/Население!P41</f>
        <v>0.37553648068669526</v>
      </c>
      <c r="Q41" s="84">
        <f>'Ввод в действ жилых домов'!P41/Население!Q41</f>
        <v>0.45493562231759654</v>
      </c>
      <c r="R41" s="84">
        <f>'Ввод в действ жилых домов'!Q41/Население!R41</f>
        <v>0.27526881720430108</v>
      </c>
    </row>
    <row r="42" spans="1:18" x14ac:dyDescent="0.25">
      <c r="A42" s="84">
        <v>41</v>
      </c>
      <c r="B42" s="84" t="s">
        <v>43</v>
      </c>
      <c r="C42" s="84">
        <f>'Ввод в действ жилых домов'!B42/Население!C42</f>
        <v>0.16831683168316833</v>
      </c>
      <c r="D42" s="84">
        <f>'Ввод в действ жилых домов'!C42/Население!D42</f>
        <v>0.22507122507122507</v>
      </c>
      <c r="E42" s="84">
        <f>'Ввод в действ жилых домов'!D42/Население!E42</f>
        <v>0.25106990014265335</v>
      </c>
      <c r="F42" s="84">
        <f>'Ввод в действ жилых домов'!E42/Население!F42</f>
        <v>0.28062678062678065</v>
      </c>
      <c r="G42" s="84">
        <f>'Ввод в действ жилых домов'!F42/Население!G42</f>
        <v>0.28205128205128205</v>
      </c>
      <c r="H42" s="84">
        <f>'Ввод в действ жилых домов'!G42/Население!H42</f>
        <v>0.27808988764044945</v>
      </c>
      <c r="I42" s="84">
        <f>'Ввод в действ жилых домов'!H42/Население!I42</f>
        <v>0.28208744710860367</v>
      </c>
      <c r="J42" s="84">
        <f>'Ввод в действ жилых домов'!I42/Население!J42</f>
        <v>0.29178470254957506</v>
      </c>
      <c r="K42" s="84">
        <f>'Ввод в действ жилых домов'!J42/Население!K42</f>
        <v>0.29829545454545453</v>
      </c>
      <c r="L42" s="84">
        <f>'Ввод в действ жилых домов'!K42/Население!L42</f>
        <v>0.24220963172804533</v>
      </c>
      <c r="M42" s="84">
        <f>'Ввод в действ жилых домов'!L42/Население!M42</f>
        <v>0.24715909090909091</v>
      </c>
      <c r="N42" s="84">
        <f>'Ввод в действ жилых домов'!M42/Население!N42</f>
        <v>0.25320056899004267</v>
      </c>
      <c r="O42" s="84">
        <f>'Ввод в действ жилых домов'!N42/Население!O42</f>
        <v>0.27350427350427353</v>
      </c>
      <c r="P42" s="84">
        <f>'Ввод в действ жилых домов'!O42/Население!P42</f>
        <v>0.30042918454935624</v>
      </c>
      <c r="Q42" s="84">
        <f>'Ввод в действ жилых домов'!P42/Население!Q42</f>
        <v>0.32855093256814921</v>
      </c>
      <c r="R42" s="84">
        <f>'Ввод в действ жилых домов'!Q42/Население!R42</f>
        <v>0.34487734487734489</v>
      </c>
    </row>
    <row r="43" spans="1:18" x14ac:dyDescent="0.25">
      <c r="A43" s="84">
        <v>42</v>
      </c>
      <c r="B43" s="84" t="s">
        <v>40</v>
      </c>
      <c r="C43" s="84">
        <f>'Ввод в действ жилых домов'!B43/Население!C43</f>
        <v>0</v>
      </c>
      <c r="D43" s="84">
        <f>'Ввод в действ жилых домов'!C43/Население!D43</f>
        <v>0</v>
      </c>
      <c r="E43" s="84">
        <f>'Ввод в действ жилых домов'!D43/Население!E43</f>
        <v>0</v>
      </c>
      <c r="F43" s="84">
        <f>'Ввод в действ жилых домов'!E43/Население!F43</f>
        <v>0</v>
      </c>
      <c r="G43" s="84">
        <f>'Ввод в действ жилых домов'!F43/Население!G43</f>
        <v>0</v>
      </c>
      <c r="H43" s="84">
        <f>'Ввод в действ жилых домов'!G43/Население!H43</f>
        <v>9.0196078431372548E-2</v>
      </c>
      <c r="I43" s="84">
        <f>'Ввод в действ жилых домов'!H43/Население!I43</f>
        <v>5.8371735791090631E-2</v>
      </c>
      <c r="J43" s="84">
        <f>'Ввод в действ жилых домов'!I43/Население!J43</f>
        <v>0.23849056603773586</v>
      </c>
      <c r="K43" s="84">
        <f>'Ввод в действ жилых домов'!J43/Население!K43</f>
        <v>0.27191679049034173</v>
      </c>
      <c r="L43" s="84">
        <f>'Ввод в действ жилых домов'!K43/Население!L43</f>
        <v>0.83211678832116787</v>
      </c>
      <c r="M43" s="84">
        <f>'Ввод в действ жилых домов'!L43/Население!M43</f>
        <v>0.67647058823529416</v>
      </c>
      <c r="N43" s="84">
        <f>'Ввод в действ жилых домов'!M43/Население!N43</f>
        <v>0.73639575971731452</v>
      </c>
      <c r="O43" s="84">
        <f>'Ввод в действ жилых домов'!N43/Население!O43</f>
        <v>0.74391092553931804</v>
      </c>
      <c r="P43" s="84">
        <f>'Ввод в действ жилых домов'!O43/Население!P43</f>
        <v>0.41180507892930679</v>
      </c>
      <c r="Q43" s="84">
        <f>'Ввод в действ жилых домов'!P43/Население!Q43</f>
        <v>0.43069641649763352</v>
      </c>
      <c r="R43" s="84">
        <f>'Ввод в действ жилых домов'!Q43/Население!R43</f>
        <v>0.50467289719626163</v>
      </c>
    </row>
    <row r="44" spans="1:18" x14ac:dyDescent="0.25">
      <c r="A44" s="84">
        <v>43</v>
      </c>
      <c r="B44" s="84" t="s">
        <v>41</v>
      </c>
      <c r="C44" s="84">
        <f>'Ввод в действ жилых домов'!B44/Население!C44</f>
        <v>0.2551874772479068</v>
      </c>
      <c r="D44" s="84">
        <f>'Ввод в действ жилых домов'!C44/Население!D44</f>
        <v>0.29372693726937271</v>
      </c>
      <c r="E44" s="84">
        <f>'Ввод в действ жилых домов'!D44/Население!E44</f>
        <v>0.3502406516105146</v>
      </c>
      <c r="F44" s="84">
        <f>'Ввод в действ жилых домов'!E44/Население!F44</f>
        <v>0.39371534195933455</v>
      </c>
      <c r="G44" s="84">
        <f>'Ввод в действ жилых домов'!F44/Население!G44</f>
        <v>0.39859623199113409</v>
      </c>
      <c r="H44" s="84">
        <f>'Ввод в действ жилых домов'!G44/Население!H44</f>
        <v>0.39519023689877963</v>
      </c>
      <c r="I44" s="84">
        <f>'Ввод в действ жилых домов'!H44/Население!I44</f>
        <v>0.45461069250089703</v>
      </c>
      <c r="J44" s="84">
        <f>'Ввод в действ жилых домов'!I44/Население!J44</f>
        <v>0.47760659261913291</v>
      </c>
      <c r="K44" s="84">
        <f>'Ввод в действ жилых домов'!J44/Население!K44</f>
        <v>0.49212598425196852</v>
      </c>
      <c r="L44" s="84">
        <f>'Ввод в действ жилых домов'!K44/Население!L44</f>
        <v>0.46159342622365129</v>
      </c>
      <c r="M44" s="84">
        <f>'Ввод в действ жилых домов'!L44/Население!M44</f>
        <v>0.44539614561027835</v>
      </c>
      <c r="N44" s="84">
        <f>'Ввод в действ жилых домов'!M44/Население!N44</f>
        <v>0.39265335235378029</v>
      </c>
      <c r="O44" s="84">
        <f>'Ввод в действ жилых домов'!N44/Население!O44</f>
        <v>0.31488754016422704</v>
      </c>
      <c r="P44" s="84">
        <f>'Ввод в действ жилых домов'!O44/Население!P44</f>
        <v>0.33094812164579607</v>
      </c>
      <c r="Q44" s="84">
        <f>'Ввод в действ жилых домов'!P44/Население!Q44</f>
        <v>0.41990724224045667</v>
      </c>
      <c r="R44" s="84">
        <f>'Ввод в действ жилых домов'!Q44/Население!R44</f>
        <v>0.43752237737200145</v>
      </c>
    </row>
    <row r="45" spans="1:18" x14ac:dyDescent="0.25">
      <c r="A45" s="84">
        <v>44</v>
      </c>
      <c r="B45" s="84" t="s">
        <v>44</v>
      </c>
      <c r="C45" s="84">
        <f>'Ввод в действ жилых домов'!B45/Население!C45</f>
        <v>0.39547466797835712</v>
      </c>
      <c r="D45" s="84">
        <f>'Ввод в действ жилых домов'!C45/Население!D45</f>
        <v>0.41964065961112479</v>
      </c>
      <c r="E45" s="84">
        <f>'Ввод в действ жилых домов'!D45/Население!E45</f>
        <v>0.45840533201678596</v>
      </c>
      <c r="F45" s="84">
        <f>'Ввод в действ жилых домов'!E45/Население!F45</f>
        <v>0.5803108808290155</v>
      </c>
      <c r="G45" s="84">
        <f>'Ввод в действ жилых домов'!F45/Население!G45</f>
        <v>0.57998521074685727</v>
      </c>
      <c r="H45" s="84">
        <f>'Ввод в действ жилых домов'!G45/Население!H45</f>
        <v>0.49287819253438114</v>
      </c>
      <c r="I45" s="84">
        <f>'Ввод в действ жилых домов'!H45/Население!I45</f>
        <v>0.51894685039370081</v>
      </c>
      <c r="J45" s="84">
        <f>'Ввод в действ жилых домов'!I45/Население!J45</f>
        <v>0.57227283920216698</v>
      </c>
      <c r="K45" s="84">
        <f>'Ввод в действ жилых домов'!J45/Население!K45</f>
        <v>0.61056511056511054</v>
      </c>
      <c r="L45" s="84">
        <f>'Ввод в действ жилых домов'!K45/Население!L45</f>
        <v>0.65127701375245584</v>
      </c>
      <c r="M45" s="84">
        <f>'Ввод в действ жилых домов'!L45/Население!M45</f>
        <v>0.66101694915254239</v>
      </c>
      <c r="N45" s="84">
        <f>'Ввод в действ жилых домов'!M45/Население!N45</f>
        <v>0.66338824686501108</v>
      </c>
      <c r="O45" s="84">
        <f>'Ввод в действ жилых домов'!N45/Население!O45</f>
        <v>0.60571006645335956</v>
      </c>
      <c r="P45" s="84">
        <f>'Ввод в действ жилых домов'!O45/Население!P45</f>
        <v>0.56529252036534194</v>
      </c>
      <c r="Q45" s="84">
        <f>'Ввод в действ жилых домов'!P45/Население!Q45</f>
        <v>0.58741951461119368</v>
      </c>
      <c r="R45" s="84">
        <f>'Ввод в действ жилых домов'!Q45/Население!R45</f>
        <v>0.61160936721474835</v>
      </c>
    </row>
    <row r="46" spans="1:18" x14ac:dyDescent="0.25">
      <c r="A46" s="84">
        <v>45</v>
      </c>
      <c r="B46" s="84" t="s">
        <v>45</v>
      </c>
      <c r="C46" s="84">
        <f>'Ввод в действ жилых домов'!B46/Население!C46</f>
        <v>0.2552594670406732</v>
      </c>
      <c r="D46" s="84">
        <f>'Ввод в действ жилых домов'!C46/Население!D46</f>
        <v>0.32162921348314605</v>
      </c>
      <c r="E46" s="84">
        <f>'Ввод в действ жилых домов'!D46/Население!E46</f>
        <v>0.40169731258840169</v>
      </c>
      <c r="F46" s="84">
        <f>'Ввод в действ жилых домов'!E46/Население!F46</f>
        <v>0.42532005689900426</v>
      </c>
      <c r="G46" s="84">
        <f>'Ввод в действ жилых домов'!F46/Население!G46</f>
        <v>0.42857142857142855</v>
      </c>
      <c r="H46" s="84">
        <f>'Ввод в действ жилых домов'!G46/Население!H46</f>
        <v>0.43741007194244602</v>
      </c>
      <c r="I46" s="84">
        <f>'Ввод в действ жилых домов'!H46/Население!I46</f>
        <v>0.4552023121387283</v>
      </c>
      <c r="J46" s="84">
        <f>'Ввод в действ жилых домов'!I46/Население!J46</f>
        <v>0.50869565217391299</v>
      </c>
      <c r="K46" s="84">
        <f>'Ввод в действ жилых домов'!J46/Население!K46</f>
        <v>0.53779069767441856</v>
      </c>
      <c r="L46" s="84">
        <f>'Ввод в действ жилых домов'!K46/Население!L46</f>
        <v>0.60553129548762741</v>
      </c>
      <c r="M46" s="84">
        <f>'Ввод в действ жилых домов'!L46/Население!M46</f>
        <v>0.64139941690962099</v>
      </c>
      <c r="N46" s="84">
        <f>'Ввод в действ жилых домов'!M46/Население!N46</f>
        <v>0.6802919708029197</v>
      </c>
      <c r="O46" s="84">
        <f>'Ввод в действ жилых домов'!N46/Население!O46</f>
        <v>0.68914956011730211</v>
      </c>
      <c r="P46" s="84">
        <f>'Ввод в действ жилых домов'!O46/Население!P46</f>
        <v>0.49486049926578562</v>
      </c>
      <c r="Q46" s="84">
        <f>'Ввод в действ жилых домов'!P46/Население!Q46</f>
        <v>0.58615611192930783</v>
      </c>
      <c r="R46" s="84">
        <f>'Ввод в действ жилых домов'!Q46/Население!R46</f>
        <v>0.54814814814814816</v>
      </c>
    </row>
    <row r="47" spans="1:18" x14ac:dyDescent="0.25">
      <c r="A47" s="84">
        <v>46</v>
      </c>
      <c r="B47" s="84" t="s">
        <v>46</v>
      </c>
      <c r="C47" s="84">
        <f>'Ввод в действ жилых домов'!B47/Население!C47</f>
        <v>0.2092485549132948</v>
      </c>
      <c r="D47" s="84">
        <f>'Ввод в действ жилых домов'!C47/Население!D47</f>
        <v>0.24854142357059511</v>
      </c>
      <c r="E47" s="84">
        <f>'Ввод в действ жилых домов'!D47/Население!E47</f>
        <v>0.28655660377358488</v>
      </c>
      <c r="F47" s="84">
        <f>'Ввод в действ жилых домов'!E47/Население!F47</f>
        <v>0.33809523809523812</v>
      </c>
      <c r="G47" s="84">
        <f>'Ввод в действ жилых домов'!F47/Население!G47</f>
        <v>0.33253301320528211</v>
      </c>
      <c r="H47" s="84">
        <f>'Ввод в действ жилых домов'!G47/Население!H47</f>
        <v>0.34652278177458035</v>
      </c>
      <c r="I47" s="84">
        <f>'Ввод в действ жилых домов'!H47/Население!I47</f>
        <v>0.36121212121212121</v>
      </c>
      <c r="J47" s="84">
        <f>'Ввод в действ жилых домов'!I47/Население!J47</f>
        <v>0.3247863247863248</v>
      </c>
      <c r="K47" s="84">
        <f>'Ввод в действ жилых домов'!J47/Население!K47</f>
        <v>0.37561576354679804</v>
      </c>
      <c r="L47" s="84">
        <f>'Ввод в действ жилых домов'!K47/Население!L47</f>
        <v>0.39678615574783682</v>
      </c>
      <c r="M47" s="84">
        <f>'Ввод в действ жилых домов'!L47/Население!M47</f>
        <v>0.40272614622057001</v>
      </c>
      <c r="N47" s="84">
        <f>'Ввод в действ жилых домов'!M47/Население!N47</f>
        <v>0.40717821782178215</v>
      </c>
      <c r="O47" s="84">
        <f>'Ввод в действ жилых домов'!N47/Население!O47</f>
        <v>0.40993788819875776</v>
      </c>
      <c r="P47" s="84">
        <f>'Ввод в действ жилых домов'!O47/Население!P47</f>
        <v>0.42012578616352203</v>
      </c>
      <c r="Q47" s="84">
        <f>'Ввод в действ жилых домов'!P47/Население!Q47</f>
        <v>0.44050632911392407</v>
      </c>
      <c r="R47" s="84">
        <f>'Ввод в действ жилых домов'!Q47/Население!R47</f>
        <v>0.41720154043645702</v>
      </c>
    </row>
    <row r="48" spans="1:18" x14ac:dyDescent="0.25">
      <c r="A48" s="84">
        <v>47</v>
      </c>
      <c r="B48" s="84" t="s">
        <v>47</v>
      </c>
      <c r="C48" s="84">
        <f>'Ввод в действ жилых домов'!B48/Население!C48</f>
        <v>0.43646996278575229</v>
      </c>
      <c r="D48" s="84">
        <f>'Ввод в действ жилых домов'!C48/Население!D48</f>
        <v>0.47262094630515683</v>
      </c>
      <c r="E48" s="84">
        <f>'Ввод в действ жилых домов'!D48/Население!E48</f>
        <v>0.54281914893617023</v>
      </c>
      <c r="F48" s="84">
        <f>'Ввод в действ жилых домов'!E48/Население!F48</f>
        <v>0.59075205952697318</v>
      </c>
      <c r="G48" s="84">
        <f>'Ввод в действ жилых домов'!F48/Население!G48</f>
        <v>0.5332979570177766</v>
      </c>
      <c r="H48" s="84">
        <f>'Ввод в действ жилых домов'!G48/Население!H48</f>
        <v>0.53525217850541329</v>
      </c>
      <c r="I48" s="84">
        <f>'Ввод в действ жилых домов'!H48/Население!I48</f>
        <v>0.6300289245332632</v>
      </c>
      <c r="J48" s="84">
        <f>'Ввод в действ жилых домов'!I48/Население!J48</f>
        <v>0.62794348508634223</v>
      </c>
      <c r="K48" s="84">
        <f>'Ввод в действ жилых домов'!J48/Население!K48</f>
        <v>0.62532569046378317</v>
      </c>
      <c r="L48" s="84">
        <f>'Ввод в действ жилых домов'!K48/Население!L48</f>
        <v>0.62386511024643321</v>
      </c>
      <c r="M48" s="84">
        <f>'Ввод в действ жилых домов'!L48/Население!M48</f>
        <v>0.62186611527526492</v>
      </c>
      <c r="N48" s="84">
        <f>'Ввод в действ жилых домов'!M48/Население!N48</f>
        <v>0.61956241956241953</v>
      </c>
      <c r="O48" s="84">
        <f>'Ввод в действ жилых домов'!N48/Население!O48</f>
        <v>0.61822849807445446</v>
      </c>
      <c r="P48" s="84">
        <f>'Ввод в действ жилых домов'!O48/Население!P48</f>
        <v>0.61810720697614774</v>
      </c>
      <c r="Q48" s="84">
        <f>'Ввод в действ жилых домов'!P48/Население!Q48</f>
        <v>0.68562644119907767</v>
      </c>
      <c r="R48" s="84">
        <f>'Ввод в действ жилых домов'!Q48/Население!R48</f>
        <v>0.68823831535695945</v>
      </c>
    </row>
    <row r="49" spans="1:18" x14ac:dyDescent="0.25">
      <c r="A49" s="84">
        <v>48</v>
      </c>
      <c r="B49" s="84" t="s">
        <v>48</v>
      </c>
      <c r="C49" s="84">
        <f>'Ввод в действ жилых домов'!B49/Население!C49</f>
        <v>0.24062095730918501</v>
      </c>
      <c r="D49" s="84">
        <f>'Ввод в действ жилых домов'!C49/Население!D49</f>
        <v>0.27461139896373055</v>
      </c>
      <c r="E49" s="84">
        <f>'Ввод в действ жилых домов'!D49/Население!E49</f>
        <v>0.31404421326397919</v>
      </c>
      <c r="F49" s="84">
        <f>'Ввод в действ жилых домов'!E49/Население!F49</f>
        <v>0.31702544031311153</v>
      </c>
      <c r="G49" s="84">
        <f>'Ввод в действ жилых домов'!F49/Население!G49</f>
        <v>0.30412034009156313</v>
      </c>
      <c r="H49" s="84">
        <f>'Ввод в действ жилых домов'!G49/Население!H49</f>
        <v>0.31710526315789472</v>
      </c>
      <c r="I49" s="84">
        <f>'Ввод в действ жилых домов'!H49/Население!I49</f>
        <v>0.33267457180500659</v>
      </c>
      <c r="J49" s="84">
        <f>'Ввод в действ жилых домов'!I49/Население!J49</f>
        <v>0.33992094861660077</v>
      </c>
      <c r="K49" s="84">
        <f>'Ввод в действ жилых домов'!J49/Население!K49</f>
        <v>0.35135135135135137</v>
      </c>
      <c r="L49" s="84">
        <f>'Ввод в действ жилых домов'!K49/Население!L49</f>
        <v>0.41699604743083002</v>
      </c>
      <c r="M49" s="84">
        <f>'Ввод в действ жилых домов'!L49/Население!M49</f>
        <v>0.42781806196440342</v>
      </c>
      <c r="N49" s="84">
        <f>'Ввод в действ жилых домов'!M49/Население!N49</f>
        <v>0.42847725774555045</v>
      </c>
      <c r="O49" s="84">
        <f>'Ввод в действ жилых домов'!N49/Население!O49</f>
        <v>0.43555849306014538</v>
      </c>
      <c r="P49" s="84">
        <f>'Ввод в действ жилых домов'!O49/Население!P49</f>
        <v>0.47577969475779697</v>
      </c>
      <c r="Q49" s="84">
        <f>'Ввод в действ жилых домов'!P49/Население!Q49</f>
        <v>0.50632911392405067</v>
      </c>
      <c r="R49" s="84">
        <f>'Ввод в действ жилых домов'!Q49/Население!R49</f>
        <v>0.53784326858673814</v>
      </c>
    </row>
    <row r="50" spans="1:18" x14ac:dyDescent="0.25">
      <c r="A50" s="84">
        <v>49</v>
      </c>
      <c r="B50" s="84" t="s">
        <v>49</v>
      </c>
      <c r="C50" s="84">
        <f>'Ввод в действ жилых домов'!B50/Население!C50</f>
        <v>0.57310398749022673</v>
      </c>
      <c r="D50" s="84">
        <f>'Ввод в действ жилых домов'!C50/Население!D50</f>
        <v>0.66176470588235292</v>
      </c>
      <c r="E50" s="84">
        <f>'Ввод в действ жилых домов'!D50/Население!E50</f>
        <v>0.78149300155520995</v>
      </c>
      <c r="F50" s="84">
        <f>'Ввод в действ жилых домов'!E50/Население!F50</f>
        <v>0.76287051482059287</v>
      </c>
      <c r="G50" s="84">
        <f>'Ввод в действ жилых домов'!F50/Население!G50</f>
        <v>0.66614542611415173</v>
      </c>
      <c r="H50" s="84">
        <f>'Ввод в действ жилых домов'!G50/Население!H50</f>
        <v>0.69944044764188651</v>
      </c>
      <c r="I50" s="84">
        <f>'Ввод в действ жилых домов'!H50/Население!I50</f>
        <v>0.71050521251002408</v>
      </c>
      <c r="J50" s="84">
        <f>'Ввод в действ жилых домов'!I50/Население!J50</f>
        <v>0.65836012861736337</v>
      </c>
      <c r="K50" s="84">
        <f>'Ввод в действ жилых домов'!J50/Население!K50</f>
        <v>0.67500000000000004</v>
      </c>
      <c r="L50" s="84">
        <f>'Ввод в действ жилых домов'!K50/Население!L50</f>
        <v>0.69628432956381259</v>
      </c>
      <c r="M50" s="84">
        <f>'Ввод в действ жилых домов'!L50/Население!M50</f>
        <v>0.67340339531123683</v>
      </c>
      <c r="N50" s="84">
        <f>'Ввод в действ жилых домов'!M50/Население!N50</f>
        <v>0.50970873786407767</v>
      </c>
      <c r="O50" s="84">
        <f>'Ввод в действ жилых домов'!N50/Население!O50</f>
        <v>0.49147034930950445</v>
      </c>
      <c r="P50" s="84">
        <f>'Ввод в действ жилых домов'!O50/Население!P50</f>
        <v>0.48896156991005724</v>
      </c>
      <c r="Q50" s="84">
        <f>'Ввод в действ жилых домов'!P50/Население!Q50</f>
        <v>0.53858784893267653</v>
      </c>
      <c r="R50" s="84">
        <f>'Ввод в действ жилых домов'!Q50/Население!R50</f>
        <v>0.47847682119205298</v>
      </c>
    </row>
    <row r="51" spans="1:18" x14ac:dyDescent="0.25">
      <c r="A51" s="84">
        <v>50</v>
      </c>
      <c r="B51" s="84" t="s">
        <v>50</v>
      </c>
      <c r="C51" s="84">
        <f>'Ввод в действ жилых домов'!B51/Население!C51</f>
        <v>0.23464509010665685</v>
      </c>
      <c r="D51" s="84">
        <f>'Ввод в действ жилых домов'!C51/Население!D51</f>
        <v>0.26128093158660842</v>
      </c>
      <c r="E51" s="84">
        <f>'Ввод в действ жилых домов'!D51/Население!E51</f>
        <v>0.32369095569388501</v>
      </c>
      <c r="F51" s="84">
        <f>'Ввод в действ жилых домов'!E51/Население!F51</f>
        <v>0.30647534952170713</v>
      </c>
      <c r="G51" s="84">
        <f>'Ввод в действ жилых домов'!F51/Население!G51</f>
        <v>0.25664697193500741</v>
      </c>
      <c r="H51" s="84">
        <f>'Ввод в действ жилых домов'!G51/Население!H51</f>
        <v>0.28891419893697801</v>
      </c>
      <c r="I51" s="84">
        <f>'Ввод в действ жилых домов'!H51/Население!I51</f>
        <v>0.28468263017863932</v>
      </c>
      <c r="J51" s="84">
        <f>'Ввод в действ жилых домов'!I51/Население!J51</f>
        <v>0.31359149582384205</v>
      </c>
      <c r="K51" s="84">
        <f>'Ввод в действ жилых домов'!J51/Население!K51</f>
        <v>0.38088012139605465</v>
      </c>
      <c r="L51" s="84">
        <f>'Ввод в действ жилых домов'!K51/Население!L51</f>
        <v>0.42207053469852107</v>
      </c>
      <c r="M51" s="84">
        <f>'Ввод в действ жилых домов'!L51/Население!M51</f>
        <v>0.43811693242217159</v>
      </c>
      <c r="N51" s="84">
        <f>'Ввод в действ жилых домов'!M51/Население!N51</f>
        <v>0.40273556231003038</v>
      </c>
      <c r="O51" s="84">
        <f>'Ввод в действ жилых домов'!N51/Население!O51</f>
        <v>0.41974837971788032</v>
      </c>
      <c r="P51" s="84">
        <f>'Ввод в действ жилых домов'!O51/Население!P51</f>
        <v>0.41401761777096896</v>
      </c>
      <c r="Q51" s="84">
        <f>'Ввод в действ жилых домов'!P51/Население!Q51</f>
        <v>0.45132743362831856</v>
      </c>
      <c r="R51" s="84">
        <f>'Ввод в действ жилых домов'!Q51/Население!R51</f>
        <v>0.47111283443195034</v>
      </c>
    </row>
    <row r="52" spans="1:18" x14ac:dyDescent="0.25">
      <c r="A52" s="84">
        <v>51</v>
      </c>
      <c r="B52" s="84" t="s">
        <v>51</v>
      </c>
      <c r="C52" s="84">
        <f>'Ввод в действ жилых домов'!B52/Население!C52</f>
        <v>0.18111346018322763</v>
      </c>
      <c r="D52" s="84">
        <f>'Ввод в действ жилых домов'!C52/Население!D52</f>
        <v>0.21413721413721415</v>
      </c>
      <c r="E52" s="84">
        <f>'Ввод в действ жилых домов'!D52/Население!E52</f>
        <v>0.26348983882270499</v>
      </c>
      <c r="F52" s="84">
        <f>'Ввод в действ жилых домов'!E52/Население!F52</f>
        <v>0.30148619957537154</v>
      </c>
      <c r="G52" s="84">
        <f>'Ввод в действ жилых домов'!F52/Население!G52</f>
        <v>0.2398286937901499</v>
      </c>
      <c r="H52" s="84">
        <f>'Ввод в действ жилых домов'!G52/Население!H52</f>
        <v>0.28230022404779687</v>
      </c>
      <c r="I52" s="84">
        <f>'Ввод в действ жилых домов'!H52/Население!I52</f>
        <v>0.30496987951807231</v>
      </c>
      <c r="J52" s="84">
        <f>'Ввод в действ жилых домов'!I52/Население!J52</f>
        <v>0.31008339651250949</v>
      </c>
      <c r="K52" s="84">
        <f>'Ввод в действ жилых домов'!J52/Население!K52</f>
        <v>0.37147215865751337</v>
      </c>
      <c r="L52" s="84">
        <f>'Ввод в действ жилых домов'!K52/Население!L52</f>
        <v>0.52530674846625769</v>
      </c>
      <c r="M52" s="84">
        <f>'Ввод в действ жилых домов'!L52/Население!M52</f>
        <v>0.56052428681572863</v>
      </c>
      <c r="N52" s="84">
        <f>'Ввод в действ жилых домов'!M52/Население!N52</f>
        <v>0.5123839009287926</v>
      </c>
      <c r="O52" s="84">
        <f>'Ввод в действ жилых домов'!N52/Население!O52</f>
        <v>0.42556508183943881</v>
      </c>
      <c r="P52" s="84">
        <f>'Ввод в действ жилых домов'!O52/Население!P52</f>
        <v>0.43474842767295596</v>
      </c>
      <c r="Q52" s="84">
        <f>'Ввод в действ жилых домов'!P52/Население!Q52</f>
        <v>0.39904988123515439</v>
      </c>
      <c r="R52" s="84">
        <f>'Ввод в действ жилых домов'!Q52/Население!R52</f>
        <v>0.36799999999999999</v>
      </c>
    </row>
    <row r="53" spans="1:18" x14ac:dyDescent="0.25">
      <c r="A53" s="84">
        <v>52</v>
      </c>
      <c r="B53" s="84" t="s">
        <v>52</v>
      </c>
      <c r="C53" s="84">
        <f>'Ввод в действ жилых домов'!B53/Население!C53</f>
        <v>0.21909783245459871</v>
      </c>
      <c r="D53" s="84">
        <f>'Ввод в действ жилых домов'!C53/Население!D53</f>
        <v>0.24245089416593374</v>
      </c>
      <c r="E53" s="84">
        <f>'Ввод в действ жилых домов'!D53/Население!E53</f>
        <v>0.3170659568175096</v>
      </c>
      <c r="F53" s="84">
        <f>'Ввод в действ жилых домов'!E53/Население!F53</f>
        <v>0.40297619047619049</v>
      </c>
      <c r="G53" s="84">
        <f>'Ввод в действ жилых домов'!F53/Население!G53</f>
        <v>0.42023346303501946</v>
      </c>
      <c r="H53" s="84">
        <f>'Ввод в действ жилых домов'!G53/Население!H53</f>
        <v>0.43923821039903266</v>
      </c>
      <c r="I53" s="84">
        <f>'Ввод в действ жилых домов'!H53/Население!I53</f>
        <v>0.44585987261146498</v>
      </c>
      <c r="J53" s="84">
        <f>'Ввод в действ жилых домов'!I53/Население!J53</f>
        <v>0.45623100303951369</v>
      </c>
      <c r="K53" s="84">
        <f>'Ввод в действ жилых домов'!J53/Население!K53</f>
        <v>0.46632124352331605</v>
      </c>
      <c r="L53" s="84">
        <f>'Ввод в действ жилых домов'!K53/Население!L53</f>
        <v>0.4856269113149847</v>
      </c>
      <c r="M53" s="84">
        <f>'Ввод в действ жилых домов'!L53/Население!M53</f>
        <v>0.3861963190184049</v>
      </c>
      <c r="N53" s="84">
        <f>'Ввод в действ жилых домов'!M53/Население!N53</f>
        <v>0.39224137931034481</v>
      </c>
      <c r="O53" s="84">
        <f>'Ввод в действ жилых домов'!N53/Население!O53</f>
        <v>0.40432766615146831</v>
      </c>
      <c r="P53" s="84">
        <f>'Ввод в действ жилых домов'!O53/Население!P53</f>
        <v>0.42021772939346813</v>
      </c>
      <c r="Q53" s="84">
        <f>'Ввод в действ жилых домов'!P53/Население!Q53</f>
        <v>0.44021230096784264</v>
      </c>
      <c r="R53" s="84">
        <f>'Ввод в действ жилых домов'!Q53/Население!R53</f>
        <v>0.46490399748190114</v>
      </c>
    </row>
    <row r="54" spans="1:18" x14ac:dyDescent="0.25">
      <c r="A54" s="84">
        <v>53</v>
      </c>
      <c r="B54" s="84" t="s">
        <v>53</v>
      </c>
      <c r="C54" s="84">
        <f>'Ввод в действ жилых домов'!B54/Население!C54</f>
        <v>0.27759197324414714</v>
      </c>
      <c r="D54" s="84">
        <f>'Ввод в действ жилых домов'!C54/Население!D54</f>
        <v>0.30542563143124413</v>
      </c>
      <c r="E54" s="84">
        <f>'Ввод в действ жилых домов'!D54/Население!E54</f>
        <v>0.35371589840075257</v>
      </c>
      <c r="F54" s="84">
        <f>'Ввод в действ жилых домов'!E54/Население!F54</f>
        <v>0.36621047663992451</v>
      </c>
      <c r="G54" s="84">
        <f>'Ввод в действ жилых домов'!F54/Население!G54</f>
        <v>0.3503787878787879</v>
      </c>
      <c r="H54" s="84">
        <f>'Ввод в действ жилых домов'!G54/Население!H54</f>
        <v>0.2888779527559055</v>
      </c>
      <c r="I54" s="84">
        <f>'Ввод в действ жилых домов'!H54/Население!I54</f>
        <v>0.36709486166007904</v>
      </c>
      <c r="J54" s="84">
        <f>'Ввод в действ жилых домов'!I54/Население!J54</f>
        <v>0.34920634920634919</v>
      </c>
      <c r="K54" s="84">
        <f>'Ввод в действ жилых домов'!J54/Население!K54</f>
        <v>0.39372822299651566</v>
      </c>
      <c r="L54" s="84">
        <f>'Ввод в действ жилых домов'!K54/Население!L54</f>
        <v>0.57571214392803594</v>
      </c>
      <c r="M54" s="84">
        <f>'Ввод в действ жилых домов'!L54/Население!M54</f>
        <v>0.59649122807017541</v>
      </c>
      <c r="N54" s="84">
        <f>'Ввод в действ жилых домов'!M54/Население!N54</f>
        <v>0.48542713567839196</v>
      </c>
      <c r="O54" s="84">
        <f>'Ввод в действ жилых домов'!N54/Население!O54</f>
        <v>0.45096056622851366</v>
      </c>
      <c r="P54" s="84">
        <f>'Ввод в действ жилых домов'!O54/Население!P54</f>
        <v>0.46459500764136524</v>
      </c>
      <c r="Q54" s="84">
        <f>'Ввод в действ жилых домов'!P54/Население!Q54</f>
        <v>0.50792028615227391</v>
      </c>
      <c r="R54" s="84">
        <f>'Ввод в действ жилых домов'!Q54/Население!R54</f>
        <v>0.49768399382398354</v>
      </c>
    </row>
    <row r="55" spans="1:18" x14ac:dyDescent="0.25">
      <c r="A55" s="84">
        <v>54</v>
      </c>
      <c r="B55" s="84" t="s">
        <v>54</v>
      </c>
      <c r="C55" s="84">
        <f>'Ввод в действ жилых домов'!B55/Население!C55</f>
        <v>0.22253521126760564</v>
      </c>
      <c r="D55" s="84">
        <f>'Ввод в действ жилых домов'!C55/Население!D55</f>
        <v>0.28622159090909088</v>
      </c>
      <c r="E55" s="84">
        <f>'Ввод в действ жилых домов'!D55/Население!E55</f>
        <v>0.3968481375358166</v>
      </c>
      <c r="F55" s="84">
        <f>'Ввод в действ жилых домов'!E55/Население!F55</f>
        <v>0.43587896253602304</v>
      </c>
      <c r="G55" s="84">
        <f>'Ввод в действ жилых домов'!F55/Население!G55</f>
        <v>0.4420289855072464</v>
      </c>
      <c r="H55" s="84">
        <f>'Ввод в действ жилых домов'!G55/Население!H55</f>
        <v>0.45158959537572252</v>
      </c>
      <c r="I55" s="84">
        <f>'Ввод в действ жилых домов'!H55/Население!I55</f>
        <v>0.48729121278140886</v>
      </c>
      <c r="J55" s="84">
        <f>'Ввод в действ жилых домов'!I55/Население!J55</f>
        <v>0.53981008035062095</v>
      </c>
      <c r="K55" s="84">
        <f>'Ввод в действ жилых домов'!J55/Население!K55</f>
        <v>0.6105804555473916</v>
      </c>
      <c r="L55" s="84">
        <f>'Ввод в действ жилых домов'!K55/Население!L55</f>
        <v>0.66592920353982299</v>
      </c>
      <c r="M55" s="84">
        <f>'Ввод в действ жилых домов'!L55/Население!M55</f>
        <v>0.6901408450704225</v>
      </c>
      <c r="N55" s="84">
        <f>'Ввод в действ жилых домов'!M55/Население!N55</f>
        <v>0.66020864381520117</v>
      </c>
      <c r="O55" s="84">
        <f>'Ввод в действ жилых домов'!N55/Население!O55</f>
        <v>0.66591591591591592</v>
      </c>
      <c r="P55" s="84">
        <f>'Ввод в действ жилых домов'!O55/Население!P55</f>
        <v>0.50303490136570561</v>
      </c>
      <c r="Q55" s="84">
        <f>'Ввод в действ жилых домов'!P55/Население!Q55</f>
        <v>0.64088820826952531</v>
      </c>
      <c r="R55" s="84">
        <f>'Ввод в действ жилых домов'!Q55/Население!R55</f>
        <v>0.65995352439969013</v>
      </c>
    </row>
    <row r="56" spans="1:18" x14ac:dyDescent="0.25">
      <c r="A56" s="84">
        <v>55</v>
      </c>
      <c r="B56" s="84" t="s">
        <v>55</v>
      </c>
      <c r="C56" s="84">
        <f>'Ввод в действ жилых домов'!B56/Население!C56</f>
        <v>0.28208307501549906</v>
      </c>
      <c r="D56" s="84">
        <f>'Ввод в действ жилых домов'!C56/Население!D56</f>
        <v>0.23643775478206333</v>
      </c>
      <c r="E56" s="84">
        <f>'Ввод в действ жилых домов'!D56/Население!E56</f>
        <v>0.40497168030207675</v>
      </c>
      <c r="F56" s="84">
        <f>'Ввод в действ жилых домов'!E56/Население!F56</f>
        <v>0.41853135833595967</v>
      </c>
      <c r="G56" s="84">
        <f>'Ввод в действ жилых домов'!F56/Население!G56</f>
        <v>0.32324187953327027</v>
      </c>
      <c r="H56" s="84">
        <f>'Ввод в действ жилых домов'!G56/Население!H56</f>
        <v>0.32379471228615864</v>
      </c>
      <c r="I56" s="84">
        <f>'Ввод в действ жилых домов'!H56/Население!I56</f>
        <v>0.41412570006222776</v>
      </c>
      <c r="J56" s="84">
        <f>'Ввод в действ жилых домов'!I56/Население!J56</f>
        <v>0.46187363834422657</v>
      </c>
      <c r="K56" s="84">
        <f>'Ввод в действ жилых домов'!J56/Население!K56</f>
        <v>0.54157583307380874</v>
      </c>
      <c r="L56" s="84">
        <f>'Ввод в действ жилых домов'!K56/Население!L56</f>
        <v>0.5876128229069405</v>
      </c>
      <c r="M56" s="84">
        <f>'Ввод в действ жилых домов'!L56/Население!M56</f>
        <v>0.68995633187772931</v>
      </c>
      <c r="N56" s="84">
        <f>'Ввод в действ жилых домов'!M56/Население!N56</f>
        <v>0.5853886980955354</v>
      </c>
      <c r="O56" s="84">
        <f>'Ввод в действ жилых домов'!N56/Население!O56</f>
        <v>0.55997494519260882</v>
      </c>
      <c r="P56" s="84">
        <f>'Ввод в действ жилых домов'!O56/Население!P56</f>
        <v>0.55984919886899154</v>
      </c>
      <c r="Q56" s="84">
        <f>'Ввод в действ жилых домов'!P56/Население!Q56</f>
        <v>0.5791129285938974</v>
      </c>
      <c r="R56" s="84">
        <f>'Ввод в действ жилых домов'!Q56/Население!R56</f>
        <v>0.44419784400760937</v>
      </c>
    </row>
    <row r="57" spans="1:18" x14ac:dyDescent="0.25">
      <c r="A57" s="84">
        <v>56</v>
      </c>
      <c r="B57" s="84" t="s">
        <v>56</v>
      </c>
      <c r="C57" s="84">
        <f>'Ввод в действ жилых домов'!B57/Население!C57</f>
        <v>0.26321883442686222</v>
      </c>
      <c r="D57" s="84">
        <f>'Ввод в действ жилых домов'!C57/Население!D57</f>
        <v>0.31058282208588955</v>
      </c>
      <c r="E57" s="84">
        <f>'Ввод в действ жилых домов'!D57/Население!E57</f>
        <v>0.39383429672447012</v>
      </c>
      <c r="F57" s="84">
        <f>'Ввод в действ жилых домов'!E57/Население!F57</f>
        <v>0.43072755417956654</v>
      </c>
      <c r="G57" s="84">
        <f>'Ввод в действ жилых домов'!F57/Население!G57</f>
        <v>0.43917605907500973</v>
      </c>
      <c r="H57" s="84">
        <f>'Ввод в действ жилых домов'!G57/Население!H57</f>
        <v>0.45414847161572053</v>
      </c>
      <c r="I57" s="84">
        <f>'Ввод в действ жилых домов'!H57/Население!I57</f>
        <v>0.46632124352331605</v>
      </c>
      <c r="J57" s="84">
        <f>'Ввод в действ жилых домов'!I57/Население!J57</f>
        <v>0.49380743108270075</v>
      </c>
      <c r="K57" s="84">
        <f>'Ввод в действ жилых домов'!J57/Население!K57</f>
        <v>0.52623147777332802</v>
      </c>
      <c r="L57" s="84">
        <f>'Ввод в действ жилых домов'!K57/Население!L57</f>
        <v>0.61010830324909748</v>
      </c>
      <c r="M57" s="84">
        <f>'Ввод в действ жилых домов'!L57/Население!M57</f>
        <v>0.45819935691318325</v>
      </c>
      <c r="N57" s="84">
        <f>'Ввод в действ жилых домов'!M57/Население!N57</f>
        <v>0.52198467123840253</v>
      </c>
      <c r="O57" s="84">
        <f>'Ввод в действ жилых домов'!N57/Население!O57</f>
        <v>0.49127080795777506</v>
      </c>
      <c r="P57" s="84">
        <f>'Ввод в действ жилых домов'!O57/Население!P57</f>
        <v>0.49815649324047523</v>
      </c>
      <c r="Q57" s="84">
        <f>'Ввод в действ жилых домов'!P57/Население!Q57</f>
        <v>0.4962840627580512</v>
      </c>
      <c r="R57" s="84">
        <f>'Ввод в действ жилых домов'!Q57/Население!R57</f>
        <v>0.4839248434237996</v>
      </c>
    </row>
    <row r="58" spans="1:18" x14ac:dyDescent="0.25">
      <c r="A58" s="84">
        <v>57</v>
      </c>
      <c r="B58" s="84" t="s">
        <v>57</v>
      </c>
      <c r="C58" s="84">
        <f>'Ввод в действ жилых домов'!B58/Население!C58</f>
        <v>0.21865671641791046</v>
      </c>
      <c r="D58" s="84">
        <f>'Ввод в действ жилых домов'!C58/Население!D58</f>
        <v>0.25449101796407186</v>
      </c>
      <c r="E58" s="84">
        <f>'Ввод в действ жилых домов'!D58/Население!E58</f>
        <v>0.32450832072617247</v>
      </c>
      <c r="F58" s="84">
        <f>'Ввод в действ жилых домов'!E58/Население!F58</f>
        <v>0.38795731707317072</v>
      </c>
      <c r="G58" s="84">
        <f>'Ввод в действ жилых домов'!F58/Население!G58</f>
        <v>0.40689655172413791</v>
      </c>
      <c r="H58" s="84">
        <f>'Ввод в действ жилых домов'!G58/Население!H58</f>
        <v>0.36201550387596898</v>
      </c>
      <c r="I58" s="84">
        <f>'Ввод в действ жилых домов'!H58/Население!I58</f>
        <v>0.43213728549141966</v>
      </c>
      <c r="J58" s="84">
        <f>'Ввод в действ жилых домов'!I58/Население!J58</f>
        <v>0.47645211930926218</v>
      </c>
      <c r="K58" s="84">
        <f>'Ввод в действ жилых домов'!J58/Население!K58</f>
        <v>0.5</v>
      </c>
      <c r="L58" s="84">
        <f>'Ввод в действ жилых домов'!K58/Население!L58</f>
        <v>0.56973058637083995</v>
      </c>
      <c r="M58" s="84">
        <f>'Ввод в действ жилых домов'!L58/Население!M58</f>
        <v>0.7432432432432432</v>
      </c>
      <c r="N58" s="84">
        <f>'Ввод в действ жилых домов'!M58/Население!N58</f>
        <v>0.77174780526735831</v>
      </c>
      <c r="O58" s="84">
        <f>'Ввод в действ жилых домов'!N58/Население!O58</f>
        <v>0.78348035284683237</v>
      </c>
      <c r="P58" s="84">
        <f>'Ввод в действ жилых домов'!O58/Население!P58</f>
        <v>0.79240710823909533</v>
      </c>
      <c r="Q58" s="84">
        <f>'Ввод в действ жилых домов'!P58/Население!Q58</f>
        <v>0.82845528455284556</v>
      </c>
      <c r="R58" s="84">
        <f>'Ввод в действ жилых домов'!Q58/Население!R58</f>
        <v>0.84893267651888338</v>
      </c>
    </row>
    <row r="59" spans="1:18" x14ac:dyDescent="0.25">
      <c r="A59" s="84">
        <v>58</v>
      </c>
      <c r="B59" s="84" t="s">
        <v>58</v>
      </c>
      <c r="C59" s="84">
        <f>'Ввод в действ жилых домов'!B59/Население!C59</f>
        <v>0.12889812889812891</v>
      </c>
      <c r="D59" s="84">
        <f>'Ввод в действ жилых домов'!C59/Население!D59</f>
        <v>0.1520408163265306</v>
      </c>
      <c r="E59" s="84">
        <f>'Ввод в действ жилых домов'!D59/Население!E59</f>
        <v>0.20123839009287925</v>
      </c>
      <c r="F59" s="84">
        <f>'Ввод в действ жилых домов'!E59/Население!F59</f>
        <v>0.29270833333333335</v>
      </c>
      <c r="G59" s="84">
        <f>'Ввод в действ жилых домов'!F59/Население!G59</f>
        <v>0.30325288562434416</v>
      </c>
      <c r="H59" s="84">
        <f>'Ввод в действ жилых домов'!G59/Население!H59</f>
        <v>0.17601760176017603</v>
      </c>
      <c r="I59" s="84">
        <f>'Ввод в действ жилых домов'!H59/Население!I59</f>
        <v>0.20424107142857142</v>
      </c>
      <c r="J59" s="84">
        <f>'Ввод в действ жилых домов'!I59/Население!J59</f>
        <v>0.28216704288939054</v>
      </c>
      <c r="K59" s="84">
        <f>'Ввод в действ жилых домов'!J59/Население!K59</f>
        <v>0.31927023945267957</v>
      </c>
      <c r="L59" s="84">
        <f>'Ввод в действ жилых домов'!K59/Население!L59</f>
        <v>0.44712643678160918</v>
      </c>
      <c r="M59" s="84">
        <f>'Ввод в действ жилых домов'!L59/Население!M59</f>
        <v>0.33990719257540603</v>
      </c>
      <c r="N59" s="84">
        <f>'Ввод в действ жилых домов'!M59/Население!N59</f>
        <v>0.34660421545667447</v>
      </c>
      <c r="O59" s="84">
        <f>'Ввод в действ жилых домов'!N59/Население!O59</f>
        <v>0.32151300236406621</v>
      </c>
      <c r="P59" s="84">
        <f>'Ввод в действ жилых домов'!O59/Население!P59</f>
        <v>0.27784431137724552</v>
      </c>
      <c r="Q59" s="84">
        <f>'Ввод в действ жилых домов'!P59/Население!Q59</f>
        <v>0.30350665054413545</v>
      </c>
      <c r="R59" s="84">
        <f>'Ввод в действ жилых домов'!Q59/Население!R59</f>
        <v>0.32600732600732601</v>
      </c>
    </row>
    <row r="60" spans="1:18" x14ac:dyDescent="0.25">
      <c r="A60" s="84">
        <v>59</v>
      </c>
      <c r="B60" s="84" t="s">
        <v>59</v>
      </c>
      <c r="C60" s="84">
        <f>'Ввод в действ жилых домов'!B60/Население!C60</f>
        <v>0.25367309458218551</v>
      </c>
      <c r="D60" s="84">
        <f>'Ввод в действ жилых домов'!C60/Население!D60</f>
        <v>0.29115646258503403</v>
      </c>
      <c r="E60" s="84">
        <f>'Ввод в действ жилых домов'!D60/Население!E60</f>
        <v>0.37704545454545457</v>
      </c>
      <c r="F60" s="84">
        <f>'Ввод в действ жилых домов'!E60/Население!F60</f>
        <v>0.38717015468607824</v>
      </c>
      <c r="G60" s="84">
        <f>'Ввод в действ жилых домов'!F60/Население!G60</f>
        <v>0.3620022753128555</v>
      </c>
      <c r="H60" s="84">
        <f>'Ввод в действ жилых домов'!G60/Население!H60</f>
        <v>0.41191528973702585</v>
      </c>
      <c r="I60" s="84">
        <f>'Ввод в действ жилых домов'!H60/Население!I60</f>
        <v>0.42303227304388208</v>
      </c>
      <c r="J60" s="84">
        <f>'Ввод в действ жилых домов'!I60/Население!J60</f>
        <v>0.43303985171455051</v>
      </c>
      <c r="K60" s="84">
        <f>'Ввод в действ жилых домов'!J60/Население!K60</f>
        <v>0.40615598241147882</v>
      </c>
      <c r="L60" s="84">
        <f>'Ввод в действ жилых домов'!K60/Население!L60</f>
        <v>0.56020337416223709</v>
      </c>
      <c r="M60" s="84">
        <f>'Ввод в действ жилых домов'!L60/Население!M60</f>
        <v>0.57228637413394923</v>
      </c>
      <c r="N60" s="84">
        <f>'Ввод в действ жилых домов'!M60/Население!N60</f>
        <v>0.48671748671748671</v>
      </c>
      <c r="O60" s="84">
        <f>'Ввод в действ жилых домов'!N60/Население!O60</f>
        <v>0.49572254335260113</v>
      </c>
      <c r="P60" s="84">
        <f>'Ввод в действ жилых домов'!O60/Население!P60</f>
        <v>0.48378127896200185</v>
      </c>
      <c r="Q60" s="84">
        <f>'Ввод в действ жилых домов'!P60/Население!Q60</f>
        <v>0.56019485038274186</v>
      </c>
      <c r="R60" s="84">
        <f>'Ввод в действ жилых домов'!Q60/Население!R60</f>
        <v>0.55291375291375289</v>
      </c>
    </row>
    <row r="61" spans="1:18" x14ac:dyDescent="0.25">
      <c r="A61" s="84">
        <v>60</v>
      </c>
      <c r="B61" s="84" t="s">
        <v>60</v>
      </c>
      <c r="C61" s="84">
        <f>'Ввод в действ жилых домов'!B61/Население!C61</f>
        <v>0.40133576199149967</v>
      </c>
      <c r="D61" s="84">
        <f>'Ввод в действ жилых домов'!C61/Население!D61</f>
        <v>0.51489617815227207</v>
      </c>
      <c r="E61" s="84">
        <f>'Ввод в действ жилых домов'!D61/Население!E61</f>
        <v>0.61763826606875938</v>
      </c>
      <c r="F61" s="84">
        <f>'Ввод в действ жилых домов'!E61/Население!F61</f>
        <v>0.65797273266152934</v>
      </c>
      <c r="G61" s="84">
        <f>'Ввод в действ жилых домов'!F61/Население!G61</f>
        <v>0.59017358046484258</v>
      </c>
      <c r="H61" s="84">
        <f>'Ввод в действ жилых домов'!G61/Население!H61</f>
        <v>0.53333333333333333</v>
      </c>
      <c r="I61" s="84">
        <f>'Ввод в действ жилых домов'!H61/Население!I61</f>
        <v>0.62080924855491326</v>
      </c>
      <c r="J61" s="84">
        <f>'Ввод в действ жилых домов'!I61/Население!J61</f>
        <v>0.73056109370549704</v>
      </c>
      <c r="K61" s="84">
        <f>'Ввод в действ жилых домов'!J61/Население!K61</f>
        <v>0.77636773829667227</v>
      </c>
      <c r="L61" s="84">
        <f>'Ввод в действ жилых домов'!K61/Население!L61</f>
        <v>0.88271432560737229</v>
      </c>
      <c r="M61" s="84">
        <f>'Ввод в действ жилых домов'!L61/Население!M61</f>
        <v>0.93941908713692945</v>
      </c>
      <c r="N61" s="84">
        <f>'Ввод в действ жилых домов'!M61/Население!N61</f>
        <v>0.72732240437158469</v>
      </c>
      <c r="O61" s="84">
        <f>'Ввод в действ жилых домов'!N61/Население!O61</f>
        <v>0.66874322860238355</v>
      </c>
      <c r="P61" s="84">
        <f>'Ввод в действ жилых домов'!O61/Население!P61</f>
        <v>0.56943325275315604</v>
      </c>
      <c r="Q61" s="84">
        <f>'Ввод в действ жилых домов'!P61/Население!Q61</f>
        <v>0.68086239020495076</v>
      </c>
      <c r="R61" s="84">
        <f>'Ввод в действ жилых домов'!Q61/Население!R61</f>
        <v>0.72578083642138702</v>
      </c>
    </row>
    <row r="62" spans="1:18" x14ac:dyDescent="0.25">
      <c r="A62" s="84">
        <v>61</v>
      </c>
      <c r="B62" s="84" t="s">
        <v>61</v>
      </c>
      <c r="C62" s="84">
        <f>'Ввод в действ жилых домов'!B62/Население!C62</f>
        <v>0.28973557008814332</v>
      </c>
      <c r="D62" s="84">
        <f>'Ввод в действ жилых домов'!C62/Население!D62</f>
        <v>0.34975927499291987</v>
      </c>
      <c r="E62" s="84">
        <f>'Ввод в действ жилых домов'!D62/Население!E62</f>
        <v>0.4756895081034973</v>
      </c>
      <c r="F62" s="84">
        <f>'Ввод в действ жилых домов'!E62/Население!F62</f>
        <v>0.57647393904870403</v>
      </c>
      <c r="G62" s="84">
        <f>'Ввод в действ жилых домов'!F62/Население!G62</f>
        <v>0.40792474344355756</v>
      </c>
      <c r="H62" s="84">
        <f>'Ввод в действ жилых домов'!G62/Население!H62</f>
        <v>0.30868814729574223</v>
      </c>
      <c r="I62" s="84">
        <f>'Ввод в действ жилых домов'!H62/Население!I62</f>
        <v>0.3775862068965517</v>
      </c>
      <c r="J62" s="84">
        <f>'Ввод в действ жилых домов'!I62/Население!J62</f>
        <v>0.4812051649928264</v>
      </c>
      <c r="K62" s="84">
        <f>'Ввод в действ жилых домов'!J62/Население!K62</f>
        <v>0.51232091690544412</v>
      </c>
      <c r="L62" s="84">
        <f>'Ввод в действ жилых домов'!K62/Население!L62</f>
        <v>0.57232704402515722</v>
      </c>
      <c r="M62" s="84">
        <f>'Ввод в действ жилых домов'!L62/Население!M62</f>
        <v>0.50899742930591263</v>
      </c>
      <c r="N62" s="84">
        <f>'Ввод в действ жилых домов'!M62/Население!N62</f>
        <v>0.37578526556253572</v>
      </c>
      <c r="O62" s="84">
        <f>'Ввод в действ жилых домов'!N62/Население!O62</f>
        <v>0.4056684798167764</v>
      </c>
      <c r="P62" s="84">
        <f>'Ввод в действ жилых домов'!O62/Население!P62</f>
        <v>0.43843498273878023</v>
      </c>
      <c r="Q62" s="84">
        <f>'Ввод в действ жилых домов'!P62/Население!Q62</f>
        <v>0.43479515291402193</v>
      </c>
      <c r="R62" s="84">
        <f>'Ввод в действ жилых домов'!Q62/Население!R62</f>
        <v>0.45657856520476331</v>
      </c>
    </row>
    <row r="63" spans="1:18" x14ac:dyDescent="0.25">
      <c r="A63" s="84">
        <v>62</v>
      </c>
      <c r="B63" s="84" t="s">
        <v>62</v>
      </c>
      <c r="C63" s="84">
        <f>'Ввод в действ жилых домов'!B63/Население!C63</f>
        <v>0.16831683168316833</v>
      </c>
      <c r="D63" s="84">
        <f>'Ввод в действ жилых домов'!C63/Население!D63</f>
        <v>0.23039215686274508</v>
      </c>
      <c r="E63" s="84">
        <f>'Ввод в действ жилых домов'!D63/Население!E63</f>
        <v>0.25365853658536586</v>
      </c>
      <c r="F63" s="84">
        <f>'Ввод в действ жилых домов'!E63/Население!F63</f>
        <v>0.28019323671497587</v>
      </c>
      <c r="G63" s="84">
        <f>'Ввод в действ жилых домов'!F63/Население!G63</f>
        <v>0.291866028708134</v>
      </c>
      <c r="H63" s="84">
        <f>'Ввод в действ жилых домов'!G63/Население!H63</f>
        <v>0.32850241545893721</v>
      </c>
      <c r="I63" s="84">
        <f>'Ввод в действ жилых домов'!H63/Население!I63</f>
        <v>0.36842105263157893</v>
      </c>
      <c r="J63" s="84">
        <f>'Ввод в действ жилых домов'!I63/Население!J63</f>
        <v>0.38571428571428573</v>
      </c>
      <c r="K63" s="84">
        <f>'Ввод в действ жилых домов'!J63/Население!K63</f>
        <v>0.42654028436018959</v>
      </c>
      <c r="L63" s="84">
        <f>'Ввод в действ жилых домов'!K63/Население!L63</f>
        <v>0.46728971962616822</v>
      </c>
      <c r="M63" s="84">
        <f>'Ввод в действ жилых домов'!L63/Население!M63</f>
        <v>0.53023255813953485</v>
      </c>
      <c r="N63" s="84">
        <f>'Ввод в действ жилых домов'!M63/Население!N63</f>
        <v>0.57603686635944695</v>
      </c>
      <c r="O63" s="84">
        <f>'Ввод в действ жилых домов'!N63/Население!O63</f>
        <v>0.6009174311926605</v>
      </c>
      <c r="P63" s="84">
        <f>'Ввод в действ жилых домов'!O63/Население!P63</f>
        <v>0.49315068493150682</v>
      </c>
      <c r="Q63" s="84">
        <f>'Ввод в действ жилых домов'!P63/Население!Q63</f>
        <v>0.45</v>
      </c>
      <c r="R63" s="84">
        <f>'Ввод в действ жилых домов'!Q63/Население!R63</f>
        <v>0.40271493212669685</v>
      </c>
    </row>
    <row r="64" spans="1:18" x14ac:dyDescent="0.25">
      <c r="A64" s="84">
        <v>63</v>
      </c>
      <c r="B64" s="84" t="s">
        <v>63</v>
      </c>
      <c r="C64" s="84">
        <f>'Ввод в действ жилых домов'!B64/Население!C64</f>
        <v>0.2078593588417787</v>
      </c>
      <c r="D64" s="84">
        <f>'Ввод в действ жилых домов'!C64/Население!D64</f>
        <v>0.22510373443983403</v>
      </c>
      <c r="E64" s="84">
        <f>'Ввод в действ жилых домов'!D64/Население!E64</f>
        <v>0.28229166666666666</v>
      </c>
      <c r="F64" s="84">
        <f>'Ввод в действ жилых домов'!E64/Население!F64</f>
        <v>0.31979166666666664</v>
      </c>
      <c r="G64" s="84">
        <f>'Ввод в действ жилых домов'!F64/Население!G64</f>
        <v>0.25806451612903225</v>
      </c>
      <c r="H64" s="84">
        <f>'Ввод в действ жилых домов'!G64/Население!H64</f>
        <v>0.27983539094650206</v>
      </c>
      <c r="I64" s="84">
        <f>'Ввод в действ жилых домов'!H64/Население!I64</f>
        <v>0.31307929969104015</v>
      </c>
      <c r="J64" s="84">
        <f>'Ввод в действ жилых домов'!I64/Население!J64</f>
        <v>0.34876543209876543</v>
      </c>
      <c r="K64" s="84">
        <f>'Ввод в действ жилых домов'!J64/Население!K64</f>
        <v>0.39014373716632444</v>
      </c>
      <c r="L64" s="84">
        <f>'Ввод в действ жилых домов'!K64/Население!L64</f>
        <v>0.41820040899795502</v>
      </c>
      <c r="M64" s="84">
        <f>'Ввод в действ жилых домов'!L64/Население!M64</f>
        <v>0.42260692464358451</v>
      </c>
      <c r="N64" s="84">
        <f>'Ввод в действ жилых домов'!M64/Население!N64</f>
        <v>0.34146341463414637</v>
      </c>
      <c r="O64" s="84">
        <f>'Ввод в действ жилых домов'!N64/Население!O64</f>
        <v>0.27309644670050759</v>
      </c>
      <c r="P64" s="84">
        <f>'Ввод в действ жилых домов'!O64/Население!P64</f>
        <v>0.25228891149542215</v>
      </c>
      <c r="Q64" s="84">
        <f>'Ввод в действ жилых домов'!P64/Население!Q64</f>
        <v>0.27180527383367142</v>
      </c>
      <c r="R64" s="84">
        <f>'Ввод в действ жилых домов'!Q64/Население!R64</f>
        <v>0.28020304568527921</v>
      </c>
    </row>
    <row r="65" spans="1:18" x14ac:dyDescent="0.25">
      <c r="A65" s="84">
        <v>64</v>
      </c>
      <c r="B65" s="84" t="s">
        <v>64</v>
      </c>
      <c r="C65" s="84">
        <f>'Ввод в действ жилых домов'!B65/Население!C65</f>
        <v>5.6105610561056105E-2</v>
      </c>
      <c r="D65" s="84">
        <f>'Ввод в действ жилых домов'!C65/Население!D65</f>
        <v>7.7669902912621352E-2</v>
      </c>
      <c r="E65" s="84">
        <f>'Ввод в действ жилых домов'!D65/Население!E65</f>
        <v>0.10679611650485436</v>
      </c>
      <c r="F65" s="84">
        <f>'Ввод в действ жилых домов'!E65/Население!F65</f>
        <v>0.14423076923076922</v>
      </c>
      <c r="G65" s="84">
        <f>'Ввод в действ жилых домов'!F65/Население!G65</f>
        <v>0.15923566878980891</v>
      </c>
      <c r="H65" s="84">
        <f>'Ввод в действ жилых домов'!G65/Население!H65</f>
        <v>0.16233766233766234</v>
      </c>
      <c r="I65" s="84">
        <f>'Ввод в действ жилых домов'!H65/Население!I65</f>
        <v>0.16828478964401294</v>
      </c>
      <c r="J65" s="84">
        <f>'Ввод в действ жилых домов'!I65/Население!J65</f>
        <v>0.18064516129032257</v>
      </c>
      <c r="K65" s="84">
        <f>'Ввод в действ жилых домов'!J65/Население!K65</f>
        <v>0.25320512820512819</v>
      </c>
      <c r="L65" s="84">
        <f>'Ввод в действ жилых домов'!K65/Население!L65</f>
        <v>0.29617834394904458</v>
      </c>
      <c r="M65" s="84">
        <f>'Ввод в действ жилых домов'!L65/Население!M65</f>
        <v>0.3449367088607595</v>
      </c>
      <c r="N65" s="84">
        <f>'Ввод в действ жилых домов'!M65/Население!N65</f>
        <v>0.33962264150943394</v>
      </c>
      <c r="O65" s="84">
        <f>'Ввод в действ жилых домов'!N65/Население!O65</f>
        <v>0.31366459627329191</v>
      </c>
      <c r="P65" s="84">
        <f>'Ввод в действ жилых домов'!O65/Население!P65</f>
        <v>0.28703703703703703</v>
      </c>
      <c r="Q65" s="84">
        <f>'Ввод в действ жилых домов'!P65/Население!Q65</f>
        <v>0.34250764525993882</v>
      </c>
      <c r="R65" s="84">
        <f>'Ввод в действ жилых домов'!Q65/Население!R65</f>
        <v>0.33636363636363636</v>
      </c>
    </row>
    <row r="66" spans="1:18" x14ac:dyDescent="0.25">
      <c r="A66" s="84">
        <v>65</v>
      </c>
      <c r="B66" s="84" t="s">
        <v>65</v>
      </c>
      <c r="C66" s="84">
        <f>'Ввод в действ жилых домов'!B66/Население!C66</f>
        <v>0.22659176029962547</v>
      </c>
      <c r="D66" s="84">
        <f>'Ввод в действ жилых домов'!C66/Население!D66</f>
        <v>0.25650557620817843</v>
      </c>
      <c r="E66" s="84">
        <f>'Ввод в действ жилых домов'!D66/Население!E66</f>
        <v>0.30353817504655495</v>
      </c>
      <c r="F66" s="84">
        <f>'Ввод в действ жилых домов'!E66/Население!F66</f>
        <v>0.35940409683426444</v>
      </c>
      <c r="G66" s="84">
        <f>'Ввод в действ жилых домов'!F66/Население!G66</f>
        <v>0.34386617100371747</v>
      </c>
      <c r="H66" s="84">
        <f>'Ввод в действ жилых домов'!G66/Население!H66</f>
        <v>0.26503759398496241</v>
      </c>
      <c r="I66" s="84">
        <f>'Ввод в действ жилых домов'!H66/Население!I66</f>
        <v>0.2932330827067669</v>
      </c>
      <c r="J66" s="84">
        <f>'Ввод в действ жилых домов'!I66/Население!J66</f>
        <v>0.32645403377110693</v>
      </c>
      <c r="K66" s="84">
        <f>'Ввод в действ жилых домов'!J66/Население!K66</f>
        <v>0.38014981273408238</v>
      </c>
      <c r="L66" s="84">
        <f>'Ввод в действ жилых домов'!K66/Население!L66</f>
        <v>0.48880597014925375</v>
      </c>
      <c r="M66" s="84">
        <f>'Ввод в действ жилых домов'!L66/Население!M66</f>
        <v>0.56052141527001864</v>
      </c>
      <c r="N66" s="84">
        <f>'Ввод в действ жилых домов'!M66/Население!N66</f>
        <v>0.35754189944134079</v>
      </c>
      <c r="O66" s="84">
        <f>'Ввод в действ жилых домов'!N66/Население!O66</f>
        <v>0.43866171003717475</v>
      </c>
      <c r="P66" s="84">
        <f>'Ввод в действ жилых домов'!O66/Население!P66</f>
        <v>0.3500931098696462</v>
      </c>
      <c r="Q66" s="84">
        <f>'Ввод в действ жилых домов'!P66/Население!Q66</f>
        <v>0.46441947565543074</v>
      </c>
      <c r="R66" s="84">
        <f>'Ввод в действ жилых домов'!Q66/Население!R66</f>
        <v>0.54135338345864659</v>
      </c>
    </row>
    <row r="67" spans="1:18" x14ac:dyDescent="0.25">
      <c r="A67" s="84">
        <v>66</v>
      </c>
      <c r="B67" s="84" t="s">
        <v>66</v>
      </c>
      <c r="C67" s="84">
        <f>'Ввод в действ жилых домов'!B67/Население!C67</f>
        <v>0.15900918897323213</v>
      </c>
      <c r="D67" s="84">
        <f>'Ввод в действ жилых домов'!C67/Население!D67</f>
        <v>0.17341722375147464</v>
      </c>
      <c r="E67" s="84">
        <f>'Ввод в действ жилых домов'!D67/Население!E67</f>
        <v>0.23701942132382084</v>
      </c>
      <c r="F67" s="84">
        <f>'Ввод в действ жилых домов'!E67/Население!F67</f>
        <v>0.25199362041467305</v>
      </c>
      <c r="G67" s="84">
        <f>'Ввод в действ жилых домов'!F67/Население!G67</f>
        <v>0.26191429715658793</v>
      </c>
      <c r="H67" s="84">
        <f>'Ввод в действ жилых домов'!G67/Население!H67</f>
        <v>0.27306578402978898</v>
      </c>
      <c r="I67" s="84">
        <f>'Ввод в действ жилых домов'!H67/Население!I67</f>
        <v>0.26422933111757374</v>
      </c>
      <c r="J67" s="84">
        <f>'Ввод в действ жилых домов'!I67/Население!J67</f>
        <v>0.26927886619424762</v>
      </c>
      <c r="K67" s="84">
        <f>'Ввод в действ жилых домов'!J67/Население!K67</f>
        <v>0.27812630698452528</v>
      </c>
      <c r="L67" s="84">
        <f>'Ввод в действ жилых домов'!K67/Население!L67</f>
        <v>0.31656184486373168</v>
      </c>
      <c r="M67" s="84">
        <f>'Ввод в действ жилых домов'!L67/Население!M67</f>
        <v>0.37442153975599496</v>
      </c>
      <c r="N67" s="84">
        <f>'Ввод в действ жилых домов'!M67/Население!N67</f>
        <v>0.31868131868131866</v>
      </c>
      <c r="O67" s="84">
        <f>'Ввод в действ жилых домов'!N67/Население!O67</f>
        <v>0.26808510638297872</v>
      </c>
      <c r="P67" s="84">
        <f>'Ввод в действ жилых домов'!O67/Население!P67</f>
        <v>0.33690527218174027</v>
      </c>
      <c r="Q67" s="84">
        <f>'Ввод в действ жилых домов'!P67/Население!Q67</f>
        <v>0.32714717306862323</v>
      </c>
      <c r="R67" s="84">
        <f>'Ввод в действ жилых домов'!Q67/Население!R67</f>
        <v>0.3597560975609756</v>
      </c>
    </row>
    <row r="68" spans="1:18" x14ac:dyDescent="0.25">
      <c r="A68" s="84">
        <v>67</v>
      </c>
      <c r="B68" s="84" t="s">
        <v>73</v>
      </c>
      <c r="C68" s="84">
        <f>'Ввод в действ жилых домов'!B68/Население!C68</f>
        <v>0.11654804270462633</v>
      </c>
      <c r="D68" s="84">
        <f>'Ввод в действ жилых домов'!C68/Население!D68</f>
        <v>0.15868794326241134</v>
      </c>
      <c r="E68" s="84">
        <f>'Ввод в действ жилых домов'!D68/Население!E68</f>
        <v>0.20766488413547238</v>
      </c>
      <c r="F68" s="84">
        <f>'Ввод в действ жилых домов'!E68/Население!F68</f>
        <v>0.23145665773011617</v>
      </c>
      <c r="G68" s="84">
        <f>'Ввод в действ жилых домов'!F68/Население!G68</f>
        <v>0.24082363473589974</v>
      </c>
      <c r="H68" s="84">
        <f>'Ввод в действ жилых домов'!G68/Население!H68</f>
        <v>0.24864376130198915</v>
      </c>
      <c r="I68" s="84">
        <f>'Ввод в действ жилых домов'!H68/Население!I68</f>
        <v>0.25181818181818183</v>
      </c>
      <c r="J68" s="84">
        <f>'Ввод в действ жилых домов'!I68/Население!J68</f>
        <v>0.27671232876712326</v>
      </c>
      <c r="K68" s="84">
        <f>'Ввод в действ жилых домов'!J68/Население!K68</f>
        <v>0.27064220183486237</v>
      </c>
      <c r="L68" s="84">
        <f>'Ввод в действ жилых домов'!K68/Население!L68</f>
        <v>0.32474701011959523</v>
      </c>
      <c r="M68" s="84">
        <f>'Ввод в действ жилых домов'!L68/Население!M68</f>
        <v>0.2169898430286242</v>
      </c>
      <c r="N68" s="84">
        <f>'Ввод в действ жилых домов'!M68/Население!N68</f>
        <v>0.27062094531974051</v>
      </c>
      <c r="O68" s="84">
        <f>'Ввод в действ жилых домов'!N68/Население!O68</f>
        <v>0.25256290773532153</v>
      </c>
      <c r="P68" s="84">
        <f>'Ввод в действ жилых домов'!O68/Население!P68</f>
        <v>0.17542213883677299</v>
      </c>
      <c r="Q68" s="84">
        <f>'Ввод в действ жилых домов'!P68/Население!Q68</f>
        <v>0.20471698113207548</v>
      </c>
      <c r="R68" s="84">
        <f>'Ввод в действ жилых домов'!Q68/Население!R68</f>
        <v>0.17094017094017094</v>
      </c>
    </row>
    <row r="69" spans="1:18" x14ac:dyDescent="0.25">
      <c r="A69" s="84">
        <v>68</v>
      </c>
      <c r="B69" s="84" t="s">
        <v>67</v>
      </c>
      <c r="C69" s="84">
        <f>'Ввод в действ жилых домов'!B69/Население!C69</f>
        <v>0.27187173231090972</v>
      </c>
      <c r="D69" s="84">
        <f>'Ввод в действ жилых домов'!C69/Население!D69</f>
        <v>0.30935994494150032</v>
      </c>
      <c r="E69" s="84">
        <f>'Ввод в действ жилых домов'!D69/Население!E69</f>
        <v>0.40048375950241882</v>
      </c>
      <c r="F69" s="84">
        <f>'Ввод в действ жилых домов'!E69/Население!F69</f>
        <v>0.38131487889273358</v>
      </c>
      <c r="G69" s="84">
        <f>'Ввод в действ жилых домов'!F69/Население!G69</f>
        <v>0.29792387543252596</v>
      </c>
      <c r="H69" s="84">
        <f>'Ввод в действ жилых домов'!G69/Население!H69</f>
        <v>0.3492400141392718</v>
      </c>
      <c r="I69" s="84">
        <f>'Ввод в действ жилых домов'!H69/Население!I69</f>
        <v>0.3689217758985201</v>
      </c>
      <c r="J69" s="84">
        <f>'Ввод в действ жилых домов'!I69/Население!J69</f>
        <v>0.37829293993677554</v>
      </c>
      <c r="K69" s="84">
        <f>'Ввод в действ жилых домов'!J69/Население!K69</f>
        <v>0.39747634069400634</v>
      </c>
      <c r="L69" s="84">
        <f>'Ввод в действ жилых домов'!K69/Население!L69</f>
        <v>0.42007694998251138</v>
      </c>
      <c r="M69" s="84">
        <f>'Ввод в действ жилых домов'!L69/Население!M69</f>
        <v>0.45743196092114446</v>
      </c>
      <c r="N69" s="84">
        <f>'Ввод в действ жилых домов'!M69/Население!N69</f>
        <v>0.47791304347826086</v>
      </c>
      <c r="O69" s="84">
        <f>'Ввод в действ жилых домов'!N69/Население!O69</f>
        <v>0.36752433936022255</v>
      </c>
      <c r="P69" s="84">
        <f>'Ввод в действ жилых домов'!O69/Население!P69</f>
        <v>0.39979123173277664</v>
      </c>
      <c r="Q69" s="84">
        <f>'Ввод в действ жилых домов'!P69/Население!Q69</f>
        <v>0.59176552686671324</v>
      </c>
      <c r="R69" s="84">
        <f>'Ввод в действ жилых домов'!Q69/Население!R69</f>
        <v>0.4576330532212885</v>
      </c>
    </row>
    <row r="70" spans="1:18" x14ac:dyDescent="0.25">
      <c r="A70" s="84">
        <v>69</v>
      </c>
      <c r="B70" s="84" t="s">
        <v>68</v>
      </c>
      <c r="C70" s="84">
        <f>'Ввод в действ жилых домов'!B70/Население!C70</f>
        <v>0.12158908507223114</v>
      </c>
      <c r="D70" s="84">
        <f>'Ввод в действ жилых домов'!C70/Население!D70</f>
        <v>0.13098535813217255</v>
      </c>
      <c r="E70" s="84">
        <f>'Ввод в действ жилых домов'!D70/Население!E70</f>
        <v>0.22871917263325378</v>
      </c>
      <c r="F70" s="84">
        <f>'Ввод в действ жилых домов'!E70/Население!F70</f>
        <v>0.23325358851674641</v>
      </c>
      <c r="G70" s="84">
        <f>'Ввод в действ жилых домов'!F70/Население!G70</f>
        <v>0.2403193612774451</v>
      </c>
      <c r="H70" s="84">
        <f>'Ввод в действ жилых домов'!G70/Население!H70</f>
        <v>0.25864909390444812</v>
      </c>
      <c r="I70" s="84">
        <f>'Ввод в действ жилых домов'!H70/Население!I70</f>
        <v>0.31146864686468645</v>
      </c>
      <c r="J70" s="84">
        <f>'Ввод в действ жилых домов'!I70/Население!J70</f>
        <v>0.3596201486374897</v>
      </c>
      <c r="K70" s="84">
        <f>'Ввод в действ жилых домов'!J70/Население!K70</f>
        <v>0.402398676592225</v>
      </c>
      <c r="L70" s="84">
        <f>'Ввод в действ жилых домов'!K70/Население!L70</f>
        <v>0.34616977225672879</v>
      </c>
      <c r="M70" s="84">
        <f>'Ввод в действ жилых домов'!L70/Население!M70</f>
        <v>0.38251139660174055</v>
      </c>
      <c r="N70" s="84">
        <f>'Ввод в действ жилых домов'!M70/Население!N70</f>
        <v>0.37899543378995432</v>
      </c>
      <c r="O70" s="84">
        <f>'Ввод в действ жилых домов'!N70/Население!O70</f>
        <v>0.40515806988352743</v>
      </c>
      <c r="P70" s="84">
        <f>'Ввод в действ жилых домов'!O70/Население!P70</f>
        <v>0.41201000834028356</v>
      </c>
      <c r="Q70" s="84">
        <f>'Ввод в действ жилых домов'!P70/Население!Q70</f>
        <v>0.42827268925135925</v>
      </c>
      <c r="R70" s="84">
        <f>'Ввод в действ жилых домов'!Q70/Население!R70</f>
        <v>0.46568421052631581</v>
      </c>
    </row>
    <row r="71" spans="1:18" x14ac:dyDescent="0.25">
      <c r="A71" s="84">
        <v>70</v>
      </c>
      <c r="B71" s="84" t="s">
        <v>69</v>
      </c>
      <c r="C71" s="84">
        <f>'Ввод в действ жилых домов'!B71/Население!C71</f>
        <v>0.22843905915894511</v>
      </c>
      <c r="D71" s="84">
        <f>'Ввод в действ жилых домов'!C71/Население!D71</f>
        <v>0.28319830926382528</v>
      </c>
      <c r="E71" s="84">
        <f>'Ввод в действ жилых домов'!D71/Население!E71</f>
        <v>0.35739561217268223</v>
      </c>
      <c r="F71" s="84">
        <f>'Ввод в действ жилых домов'!E71/Население!F71</f>
        <v>0.37654976974849452</v>
      </c>
      <c r="G71" s="84">
        <f>'Ввод в действ жилых домов'!F71/Население!G71</f>
        <v>0.37668320340184269</v>
      </c>
      <c r="H71" s="84">
        <f>'Ввод в действ жилых домов'!G71/Население!H71</f>
        <v>0.36327417602318002</v>
      </c>
      <c r="I71" s="84">
        <f>'Ввод в действ жилых домов'!H71/Население!I71</f>
        <v>0.3936750272628135</v>
      </c>
      <c r="J71" s="84">
        <f>'Ввод в действ жилых домов'!I71/Население!J71</f>
        <v>0.39606126914660833</v>
      </c>
      <c r="K71" s="84">
        <f>'Ввод в действ жилых домов'!J71/Население!K71</f>
        <v>0.39904901243599122</v>
      </c>
      <c r="L71" s="84">
        <f>'Ввод в действ жилых домов'!K71/Население!L71</f>
        <v>0.40293577981651374</v>
      </c>
      <c r="M71" s="84">
        <f>'Ввод в действ жилых домов'!L71/Население!M71</f>
        <v>0.36865342163355408</v>
      </c>
      <c r="N71" s="84">
        <f>'Ввод в действ жилых домов'!M71/Население!N71</f>
        <v>0.4019933554817276</v>
      </c>
      <c r="O71" s="84">
        <f>'Ввод в действ жилых домов'!N71/Население!O71</f>
        <v>0.37105751391465674</v>
      </c>
      <c r="P71" s="84">
        <f>'Ввод в действ жилых домов'!O71/Население!P71</f>
        <v>0.23934181002243829</v>
      </c>
      <c r="Q71" s="84">
        <f>'Ввод в действ жилых домов'!P71/Население!Q71</f>
        <v>0.28818660647103084</v>
      </c>
      <c r="R71" s="84">
        <f>'Ввод в действ жилых домов'!Q71/Население!R71</f>
        <v>0.31333080136726166</v>
      </c>
    </row>
    <row r="72" spans="1:18" x14ac:dyDescent="0.25">
      <c r="A72" s="84">
        <v>71</v>
      </c>
      <c r="B72" s="84" t="s">
        <v>70</v>
      </c>
      <c r="C72" s="84">
        <f>'Ввод в действ жилых домов'!B72/Население!C72</f>
        <v>0.26516007532956687</v>
      </c>
      <c r="D72" s="84">
        <f>'Ввод в действ жилых домов'!C72/Население!D72</f>
        <v>0.40490566037735848</v>
      </c>
      <c r="E72" s="84">
        <f>'Ввод в действ жилых домов'!D72/Население!E72</f>
        <v>0.48277167739492616</v>
      </c>
      <c r="F72" s="84">
        <f>'Ввод в действ жилых домов'!E72/Население!F72</f>
        <v>0.5280728376327769</v>
      </c>
      <c r="G72" s="84">
        <f>'Ввод в действ жилых домов'!F72/Население!G72</f>
        <v>0.46060606060606063</v>
      </c>
      <c r="H72" s="84">
        <f>'Ввод в действ жилых домов'!G72/Население!H72</f>
        <v>0.51762940735183793</v>
      </c>
      <c r="I72" s="84">
        <f>'Ввод в действ жилых домов'!H72/Население!I72</f>
        <v>0.56010420543356909</v>
      </c>
      <c r="J72" s="84">
        <f>'Ввод в действ жилых домов'!I72/Население!J72</f>
        <v>0.57970479704797051</v>
      </c>
      <c r="K72" s="84">
        <f>'Ввод в действ жилых домов'!J72/Население!K72</f>
        <v>0.63090443061149759</v>
      </c>
      <c r="L72" s="84">
        <f>'Ввод в действ жилых домов'!K72/Население!L72</f>
        <v>0.83800509646887511</v>
      </c>
      <c r="M72" s="84">
        <f>'Ввод в действ жилых домов'!L72/Население!M72</f>
        <v>0.93700217233888483</v>
      </c>
      <c r="N72" s="84">
        <f>'Ввод в действ жилых домов'!M72/Население!N72</f>
        <v>0.7971223021582734</v>
      </c>
      <c r="O72" s="84">
        <f>'Ввод в действ жилых домов'!N72/Население!O72</f>
        <v>0.61993546073861594</v>
      </c>
      <c r="P72" s="84">
        <f>'Ввод в действ жилых домов'!O72/Население!P72</f>
        <v>0.62226996061582529</v>
      </c>
      <c r="Q72" s="84">
        <f>'Ввод в действ жилых домов'!P72/Население!Q72</f>
        <v>0.62866333095067906</v>
      </c>
      <c r="R72" s="84">
        <f>'Ввод в действ жилых домов'!Q72/Население!R72</f>
        <v>0.69777458722182339</v>
      </c>
    </row>
    <row r="73" spans="1:18" x14ac:dyDescent="0.25">
      <c r="A73" s="84">
        <v>72</v>
      </c>
      <c r="B73" s="84" t="s">
        <v>71</v>
      </c>
      <c r="C73" s="84">
        <f>'Ввод в действ жилых домов'!B73/Население!C73</f>
        <v>0.375</v>
      </c>
      <c r="D73" s="84">
        <f>'Ввод в действ жилых домов'!C73/Население!D73</f>
        <v>0.44520884520884518</v>
      </c>
      <c r="E73" s="84">
        <f>'Ввод в действ жилых домов'!D73/Население!E73</f>
        <v>0.54491609081934844</v>
      </c>
      <c r="F73" s="84">
        <f>'Ввод в действ жилых домов'!E73/Население!F73</f>
        <v>0.50346878097125869</v>
      </c>
      <c r="G73" s="84">
        <f>'Ввод в действ жилых домов'!F73/Население!G73</f>
        <v>0.30039721946375375</v>
      </c>
      <c r="H73" s="84">
        <f>'Ввод в действ жилых домов'!G73/Население!H73</f>
        <v>0.35761254425897826</v>
      </c>
      <c r="I73" s="84">
        <f>'Ввод в действ жилых домов'!H73/Население!I73</f>
        <v>0.42379746835443038</v>
      </c>
      <c r="J73" s="84">
        <f>'Ввод в действ жилых домов'!I73/Население!J73</f>
        <v>0.37436676798378926</v>
      </c>
      <c r="K73" s="84">
        <f>'Ввод в действ жилых домов'!J73/Население!K73</f>
        <v>0.41894630192502536</v>
      </c>
      <c r="L73" s="84">
        <f>'Ввод в действ жилых домов'!K73/Население!L73</f>
        <v>0.42871587462082911</v>
      </c>
      <c r="M73" s="84">
        <f>'Ввод в действ жилых домов'!L73/Население!M73</f>
        <v>0.39686552072800807</v>
      </c>
      <c r="N73" s="84">
        <f>'Ввод в действ жилых домов'!M73/Население!N73</f>
        <v>0.39128231120121643</v>
      </c>
      <c r="O73" s="84">
        <f>'Ввод в действ жилых домов'!N73/Население!O73</f>
        <v>0.2336734693877551</v>
      </c>
      <c r="P73" s="84">
        <f>'Ввод в действ жилых домов'!O73/Население!P73</f>
        <v>0.26851851851851855</v>
      </c>
      <c r="Q73" s="84">
        <f>'Ввод в действ жилых домов'!P73/Население!Q73</f>
        <v>0.27919045147898286</v>
      </c>
      <c r="R73" s="84">
        <f>'Ввод в действ жилых домов'!Q73/Население!R73</f>
        <v>0.28413865546218486</v>
      </c>
    </row>
    <row r="74" spans="1:18" x14ac:dyDescent="0.25">
      <c r="A74" s="84">
        <v>73</v>
      </c>
      <c r="B74" s="84" t="s">
        <v>72</v>
      </c>
      <c r="C74" s="84">
        <f>'Ввод в действ жилых домов'!B74/Население!C74</f>
        <v>0.3134765625</v>
      </c>
      <c r="D74" s="84">
        <f>'Ввод в действ жилых домов'!C74/Население!D74</f>
        <v>0.36266924564796904</v>
      </c>
      <c r="E74" s="84">
        <f>'Ввод в действ жилых домов'!D74/Население!E74</f>
        <v>0.42884801548886736</v>
      </c>
      <c r="F74" s="84">
        <f>'Ввод в действ жилых домов'!E74/Население!F74</f>
        <v>0.50628019323671503</v>
      </c>
      <c r="G74" s="84">
        <f>'Ввод в действ жилых домов'!F74/Население!G74</f>
        <v>0.41811175337186895</v>
      </c>
      <c r="H74" s="84">
        <f>'Ввод в действ жилых домов'!G74/Население!H74</f>
        <v>0.41658722592945663</v>
      </c>
      <c r="I74" s="84">
        <f>'Ввод в действ жилых домов'!H74/Население!I74</f>
        <v>0.43289224952741023</v>
      </c>
      <c r="J74" s="84">
        <f>'Ввод в действ жилых домов'!I74/Население!J74</f>
        <v>0.46052631578947367</v>
      </c>
      <c r="K74" s="84">
        <f>'Ввод в действ жилых домов'!J74/Население!K74</f>
        <v>0.49626168224299066</v>
      </c>
      <c r="L74" s="84">
        <f>'Ввод в действ жилых домов'!K74/Население!L74</f>
        <v>0.57635009310986962</v>
      </c>
      <c r="M74" s="84">
        <f>'Ввод в действ жилых домов'!L74/Население!M74</f>
        <v>0.64902506963788298</v>
      </c>
      <c r="N74" s="84">
        <f>'Ввод в действ жилых домов'!M74/Население!N74</f>
        <v>0.44300278035217794</v>
      </c>
      <c r="O74" s="84">
        <f>'Ввод в действ жилых домов'!N74/Население!O74</f>
        <v>0.44341372912801486</v>
      </c>
      <c r="P74" s="84">
        <f>'Ввод в действ жилых домов'!O74/Население!P74</f>
        <v>0.40575673166202414</v>
      </c>
      <c r="Q74" s="84">
        <f>'Ввод в действ жилых домов'!P74/Население!Q74</f>
        <v>0.4064814814814815</v>
      </c>
      <c r="R74" s="84">
        <f>'Ввод в действ жилых домов'!Q74/Население!R74</f>
        <v>0.42242990654205609</v>
      </c>
    </row>
    <row r="75" spans="1:18" x14ac:dyDescent="0.25">
      <c r="A75" s="84">
        <v>74</v>
      </c>
      <c r="B75" s="84" t="s">
        <v>74</v>
      </c>
      <c r="C75" s="84">
        <f>'Ввод в действ жилых домов'!B75/Население!C75</f>
        <v>0.27358490566037735</v>
      </c>
      <c r="D75" s="84">
        <f>'Ввод в действ жилых домов'!C75/Население!D75</f>
        <v>0.30315789473684213</v>
      </c>
      <c r="E75" s="84">
        <f>'Ввод в действ жилых домов'!D75/Население!E75</f>
        <v>0.33684210526315789</v>
      </c>
      <c r="F75" s="84">
        <f>'Ввод в действ жилых домов'!E75/Население!F75</f>
        <v>0.305993690851735</v>
      </c>
      <c r="G75" s="84">
        <f>'Ввод в действ жилых домов'!F75/Население!G75</f>
        <v>0.30842105263157893</v>
      </c>
      <c r="H75" s="84">
        <f>'Ввод в действ жилых домов'!G75/Население!H75</f>
        <v>0.31628392484342382</v>
      </c>
      <c r="I75" s="84">
        <f>'Ввод в действ жилых домов'!H75/Население!I75</f>
        <v>0.33368200836820083</v>
      </c>
      <c r="J75" s="84">
        <f>'Ввод в действ жилых домов'!I75/Население!J75</f>
        <v>0.3723849372384937</v>
      </c>
      <c r="K75" s="84">
        <f>'Ввод в действ жилых домов'!J75/Население!K75</f>
        <v>0.437696335078534</v>
      </c>
      <c r="L75" s="84">
        <f>'Ввод в действ жилых домов'!K75/Население!L75</f>
        <v>0.4952978056426332</v>
      </c>
      <c r="M75" s="84">
        <f>'Ввод в действ жилых домов'!L75/Население!M75</f>
        <v>0.56874999999999998</v>
      </c>
      <c r="N75" s="84">
        <f>'Ввод в действ жилых домов'!M75/Население!N75</f>
        <v>0.64382139148494288</v>
      </c>
      <c r="O75" s="84">
        <f>'Ввод в действ жилых домов'!N75/Население!O75</f>
        <v>0.65767634854771784</v>
      </c>
      <c r="P75" s="84">
        <f>'Ввод в действ жилых домов'!O75/Население!P75</f>
        <v>0.54808686659772488</v>
      </c>
      <c r="Q75" s="84">
        <f>'Ввод в действ жилых домов'!P75/Население!Q75</f>
        <v>0.57818930041152261</v>
      </c>
      <c r="R75" s="84">
        <f>'Ввод в действ жилых домов'!Q75/Население!R75</f>
        <v>0.53971486761710796</v>
      </c>
    </row>
    <row r="76" spans="1:18" x14ac:dyDescent="0.25">
      <c r="A76" s="84">
        <v>75</v>
      </c>
      <c r="B76" s="84" t="s">
        <v>75</v>
      </c>
      <c r="C76" s="84">
        <f>'Ввод в действ жилых домов'!B76/Население!C76</f>
        <v>3.857566765578635E-2</v>
      </c>
      <c r="D76" s="84">
        <f>'Ввод в действ жилых домов'!C76/Население!D76</f>
        <v>9.1690544412607447E-2</v>
      </c>
      <c r="E76" s="84">
        <f>'Ввод в действ жилых домов'!D76/Население!E76</f>
        <v>6.0518731988472622E-2</v>
      </c>
      <c r="F76" s="84">
        <f>'Ввод в действ жилых домов'!E76/Население!F76</f>
        <v>0.18208092485549132</v>
      </c>
      <c r="G76" s="84">
        <f>'Ввод в действ жилых домов'!F76/Население!G76</f>
        <v>0.18313953488372092</v>
      </c>
      <c r="H76" s="84">
        <f>'Ввод в действ жилых домов'!G76/Население!H76</f>
        <v>0.18012422360248448</v>
      </c>
      <c r="I76" s="84">
        <f>'Ввод в действ жилых домов'!H76/Население!I76</f>
        <v>0.21562500000000001</v>
      </c>
      <c r="J76" s="84">
        <f>'Ввод в действ жилых домов'!I76/Население!J76</f>
        <v>0.22500000000000001</v>
      </c>
      <c r="K76" s="84">
        <f>'Ввод в действ жилых домов'!J76/Население!K76</f>
        <v>0.25937500000000002</v>
      </c>
      <c r="L76" s="84">
        <f>'Ввод в действ жилых домов'!K76/Население!L76</f>
        <v>0.27760252365930599</v>
      </c>
      <c r="M76" s="84">
        <f>'Ввод в действ жилых домов'!L76/Население!M76</f>
        <v>0.22784810126582278</v>
      </c>
      <c r="N76" s="84">
        <f>'Ввод в действ жилых домов'!M76/Население!N76</f>
        <v>0.23809523809523808</v>
      </c>
      <c r="O76" s="84">
        <f>'Ввод в действ жилых домов'!N76/Население!O76</f>
        <v>0.21202531645569619</v>
      </c>
      <c r="P76" s="84">
        <f>'Ввод в действ жилых домов'!O76/Население!P76</f>
        <v>0.11428571428571428</v>
      </c>
      <c r="Q76" s="84">
        <f>'Ввод в действ жилых домов'!P76/Население!Q76</f>
        <v>0.14376996805111822</v>
      </c>
      <c r="R76" s="84">
        <f>'Ввод в действ жилых домов'!Q76/Население!R76</f>
        <v>0.21864951768488747</v>
      </c>
    </row>
    <row r="77" spans="1:18" x14ac:dyDescent="0.25">
      <c r="A77" s="84">
        <v>76</v>
      </c>
      <c r="B77" s="84" t="s">
        <v>76</v>
      </c>
      <c r="C77" s="84">
        <f>'Ввод в действ жилых домов'!B77/Население!C77</f>
        <v>0.12306925759840558</v>
      </c>
      <c r="D77" s="84">
        <f>'Ввод в действ жилых домов'!C77/Население!D77</f>
        <v>0.158494304110946</v>
      </c>
      <c r="E77" s="84">
        <f>'Ввод в действ жилых домов'!D77/Население!E77</f>
        <v>0.18295114656031905</v>
      </c>
      <c r="F77" s="84">
        <f>'Ввод в действ жилых домов'!E77/Население!F77</f>
        <v>0.18787575150300601</v>
      </c>
      <c r="G77" s="84">
        <f>'Ввод в действ жилых домов'!F77/Население!G77</f>
        <v>0.20070422535211269</v>
      </c>
      <c r="H77" s="84">
        <f>'Ввод в действ жилых домов'!G77/Население!H77</f>
        <v>0.27393753200204812</v>
      </c>
      <c r="I77" s="84">
        <f>'Ввод в действ жилых домов'!H77/Население!I77</f>
        <v>0.30343413634033828</v>
      </c>
      <c r="J77" s="84">
        <f>'Ввод в действ жилых домов'!I77/Население!J77</f>
        <v>0.31381612737544939</v>
      </c>
      <c r="K77" s="84">
        <f>'Ввод в действ жилых домов'!J77/Население!K77</f>
        <v>0.3173374613003096</v>
      </c>
      <c r="L77" s="84">
        <f>'Ввод в действ жилых домов'!K77/Население!L77</f>
        <v>0.34764614588722192</v>
      </c>
      <c r="M77" s="84">
        <f>'Ввод в действ жилых домов'!L77/Население!M77</f>
        <v>0.25868325557283567</v>
      </c>
      <c r="N77" s="84">
        <f>'Ввод в действ жилых домов'!M77/Население!N77</f>
        <v>0.25585023400936036</v>
      </c>
      <c r="O77" s="84">
        <f>'Ввод в действ жилых домов'!N77/Население!O77</f>
        <v>0.21536853110297963</v>
      </c>
      <c r="P77" s="84">
        <f>'Ввод в действ жилых домов'!O77/Население!P77</f>
        <v>0.28286014721345953</v>
      </c>
      <c r="Q77" s="84">
        <f>'Ввод в действ жилых домов'!P77/Население!Q77</f>
        <v>0.29483122362869196</v>
      </c>
      <c r="R77" s="84">
        <f>'Ввод в действ жилых домов'!Q77/Население!R77</f>
        <v>0.34611288604898827</v>
      </c>
    </row>
    <row r="78" spans="1:18" x14ac:dyDescent="0.25">
      <c r="A78" s="84">
        <v>77</v>
      </c>
      <c r="B78" s="84" t="s">
        <v>77</v>
      </c>
      <c r="C78" s="84">
        <f>'Ввод в действ жилых домов'!B78/Население!C78</f>
        <v>0.14171511627906977</v>
      </c>
      <c r="D78" s="84">
        <f>'Ввод в действ жилых домов'!C78/Население!D78</f>
        <v>0.14518413597733712</v>
      </c>
      <c r="E78" s="84">
        <f>'Ввод в действ жилых домов'!D78/Население!E78</f>
        <v>0.1893238434163701</v>
      </c>
      <c r="F78" s="84">
        <f>'Ввод в действ жилых домов'!E78/Население!F78</f>
        <v>0.21652421652421652</v>
      </c>
      <c r="G78" s="84">
        <f>'Ввод в действ жилых домов'!F78/Население!G78</f>
        <v>0.27032810271041369</v>
      </c>
      <c r="H78" s="84">
        <f>'Ввод в действ жилых домов'!G78/Население!H78</f>
        <v>0.23454951600893523</v>
      </c>
      <c r="I78" s="84">
        <f>'Ввод в действ жилых домов'!H78/Население!I78</f>
        <v>0.29955290611028318</v>
      </c>
      <c r="J78" s="84">
        <f>'Ввод в действ жилых домов'!I78/Население!J78</f>
        <v>0.25633383010432192</v>
      </c>
      <c r="K78" s="84">
        <f>'Ввод в действ жилых домов'!J78/Население!K78</f>
        <v>0.24253731343283583</v>
      </c>
      <c r="L78" s="84">
        <f>'Ввод в действ жилых домов'!K78/Население!L78</f>
        <v>0.33183856502242154</v>
      </c>
      <c r="M78" s="84">
        <f>'Ввод в действ жилых домов'!L78/Население!M78</f>
        <v>0.33733133433283358</v>
      </c>
      <c r="N78" s="84">
        <f>'Ввод в действ жилых домов'!M78/Население!N78</f>
        <v>0.27456864216054011</v>
      </c>
      <c r="O78" s="84">
        <f>'Ввод в действ жилых домов'!N78/Население!O78</f>
        <v>0.2033132530120482</v>
      </c>
      <c r="P78" s="84">
        <f>'Ввод в действ жилых домов'!O78/Население!P78</f>
        <v>0.20741862225586677</v>
      </c>
      <c r="Q78" s="84">
        <f>'Ввод в действ жилых домов'!P78/Население!Q78</f>
        <v>0.22416413373860183</v>
      </c>
      <c r="R78" s="84">
        <f>'Ввод в действ жилых домов'!Q78/Население!R78</f>
        <v>0.17601844734819369</v>
      </c>
    </row>
    <row r="79" spans="1:18" x14ac:dyDescent="0.25">
      <c r="A79" s="84">
        <v>78</v>
      </c>
      <c r="B79" s="84" t="s">
        <v>78</v>
      </c>
      <c r="C79" s="84">
        <f>'Ввод в действ жилых домов'!B79/Население!C79</f>
        <v>0.14518002322880372</v>
      </c>
      <c r="D79" s="84">
        <f>'Ввод в действ жилых домов'!C79/Население!D79</f>
        <v>0.15777525539160045</v>
      </c>
      <c r="E79" s="84">
        <f>'Ввод в действ жилых домов'!D79/Население!E79</f>
        <v>0.19314285714285714</v>
      </c>
      <c r="F79" s="84">
        <f>'Ввод в действ жилых домов'!E79/Население!F79</f>
        <v>0.21264367816091953</v>
      </c>
      <c r="G79" s="84">
        <f>'Ввод в действ жилых домов'!F79/Население!G79</f>
        <v>0.1736111111111111</v>
      </c>
      <c r="H79" s="84">
        <f>'Ввод в действ жилых домов'!G79/Население!H79</f>
        <v>0.20024125452352232</v>
      </c>
      <c r="I79" s="84">
        <f>'Ввод в действ жилых домов'!H79/Население!I79</f>
        <v>0.29354445797807549</v>
      </c>
      <c r="J79" s="84">
        <f>'Ввод в действ жилых домов'!I79/Население!J79</f>
        <v>0.38800489596083232</v>
      </c>
      <c r="K79" s="84">
        <f>'Ввод в действ жилых домов'!J79/Население!K79</f>
        <v>0.44882860665844637</v>
      </c>
      <c r="L79" s="84">
        <f>'Ввод в действ жилых домов'!K79/Население!L79</f>
        <v>0.42469135802469138</v>
      </c>
      <c r="M79" s="84">
        <f>'Ввод в действ жилых домов'!L79/Население!M79</f>
        <v>0.32382133995037221</v>
      </c>
      <c r="N79" s="84">
        <f>'Ввод в действ жилых домов'!M79/Население!N79</f>
        <v>0.27556109725685785</v>
      </c>
      <c r="O79" s="84">
        <f>'Ввод в действ жилых домов'!N79/Население!O79</f>
        <v>0.22807017543859648</v>
      </c>
      <c r="P79" s="84">
        <f>'Ввод в действ жилых домов'!O79/Население!P79</f>
        <v>0.20025188916876574</v>
      </c>
      <c r="Q79" s="84">
        <f>'Ввод в действ жилых домов'!P79/Население!Q79</f>
        <v>0.25949367088607594</v>
      </c>
      <c r="R79" s="84">
        <f>'Ввод в действ жилых домов'!Q79/Население!R79</f>
        <v>0.19948849104859334</v>
      </c>
    </row>
    <row r="80" spans="1:18" x14ac:dyDescent="0.25">
      <c r="A80" s="84">
        <v>79</v>
      </c>
      <c r="B80" s="84" t="s">
        <v>79</v>
      </c>
      <c r="C80" s="84">
        <f>'Ввод в действ жилых домов'!B80/Население!C80</f>
        <v>5.2941176470588235E-2</v>
      </c>
      <c r="D80" s="84">
        <f>'Ввод в действ жилых домов'!C80/Население!D80</f>
        <v>8.1395348837209308E-2</v>
      </c>
      <c r="E80" s="84">
        <f>'Ввод в действ жилых домов'!D80/Население!E80</f>
        <v>8.8757396449704137E-2</v>
      </c>
      <c r="F80" s="84">
        <f>'Ввод в действ жилых домов'!E80/Население!F80</f>
        <v>9.036144578313253E-2</v>
      </c>
      <c r="G80" s="84">
        <f>'Ввод в действ жилых домов'!F80/Население!G80</f>
        <v>9.815950920245399E-2</v>
      </c>
      <c r="H80" s="84">
        <f>'Ввод в действ жилых домов'!G80/Население!H80</f>
        <v>0.10256410256410256</v>
      </c>
      <c r="I80" s="84">
        <f>'Ввод в действ жилых домов'!H80/Население!I80</f>
        <v>0.11612903225806452</v>
      </c>
      <c r="J80" s="84">
        <f>'Ввод в действ жилых домов'!I80/Население!J80</f>
        <v>0.13157894736842105</v>
      </c>
      <c r="K80" s="84">
        <f>'Ввод в действ жилых домов'!J80/Население!K80</f>
        <v>0.1</v>
      </c>
      <c r="L80" s="84">
        <f>'Ввод в действ жилых домов'!K80/Население!L80</f>
        <v>8.7837837837837843E-2</v>
      </c>
      <c r="M80" s="84">
        <f>'Ввод в действ жилых домов'!L80/Население!M80</f>
        <v>0.14285714285714285</v>
      </c>
      <c r="N80" s="84">
        <f>'Ввод в действ жилых домов'!M80/Население!N80</f>
        <v>3.4246575342465752E-2</v>
      </c>
      <c r="O80" s="84">
        <f>'Ввод в действ жилых домов'!N80/Население!O80</f>
        <v>4.1666666666666664E-2</v>
      </c>
      <c r="P80" s="84">
        <f>'Ввод в действ жилых домов'!O80/Население!P80</f>
        <v>2.8368794326241134E-2</v>
      </c>
      <c r="Q80" s="84">
        <f>'Ввод в действ жилых домов'!P80/Население!Q80</f>
        <v>0.05</v>
      </c>
      <c r="R80" s="84">
        <f>'Ввод в действ жилых домов'!Q80/Население!R80</f>
        <v>6.4748201438848921E-2</v>
      </c>
    </row>
    <row r="81" spans="1:18" x14ac:dyDescent="0.25">
      <c r="A81" s="84">
        <v>80</v>
      </c>
      <c r="B81" s="84" t="s">
        <v>80</v>
      </c>
      <c r="C81" s="84">
        <f>'Ввод в действ жилых домов'!B81/Население!C81</f>
        <v>8.4452975047984644E-2</v>
      </c>
      <c r="D81" s="84">
        <f>'Ввод в действ жилых домов'!C81/Население!D81</f>
        <v>0.12547528517110265</v>
      </c>
      <c r="E81" s="84">
        <f>'Ввод в действ жилых домов'!D81/Население!E81</f>
        <v>0.2034548944337812</v>
      </c>
      <c r="F81" s="84">
        <f>'Ввод в действ жилых домов'!E81/Население!F81</f>
        <v>0.28764478764478763</v>
      </c>
      <c r="G81" s="84">
        <f>'Ввод в действ жилых домов'!F81/Население!G81</f>
        <v>0.321011673151751</v>
      </c>
      <c r="H81" s="84">
        <f>'Ввод в действ жилых домов'!G81/Население!H81</f>
        <v>0.40643863179074446</v>
      </c>
      <c r="I81" s="84">
        <f>'Ввод в действ жилых домов'!H81/Население!I81</f>
        <v>0.48282828282828283</v>
      </c>
      <c r="J81" s="84">
        <f>'Ввод в действ жилых домов'!I81/Население!J81</f>
        <v>0.43522267206477733</v>
      </c>
      <c r="K81" s="84">
        <f>'Ввод в действ жилых домов'!J81/Население!K81</f>
        <v>0.59266802443991851</v>
      </c>
      <c r="L81" s="84">
        <f>'Ввод в действ жилых домов'!K81/Население!L81</f>
        <v>0.625</v>
      </c>
      <c r="M81" s="84">
        <f>'Ввод в действ жилых домов'!L81/Население!M81</f>
        <v>0.64065708418891165</v>
      </c>
      <c r="N81" s="84">
        <f>'Ввод в действ жилых домов'!M81/Население!N81</f>
        <v>0.68583162217659133</v>
      </c>
      <c r="O81" s="84">
        <f>'Ввод в действ жилых домов'!N81/Население!O81</f>
        <v>0.71020408163265303</v>
      </c>
      <c r="P81" s="84">
        <f>'Ввод в действ жилых домов'!O81/Население!P81</f>
        <v>0.54081632653061229</v>
      </c>
      <c r="Q81" s="84">
        <f>'Ввод в действ жилых домов'!P81/Население!Q81</f>
        <v>0.68032786885245899</v>
      </c>
      <c r="R81" s="84">
        <f>'Ввод в действ жилых домов'!Q81/Население!R81</f>
        <v>0.90534979423868311</v>
      </c>
    </row>
    <row r="82" spans="1:18" x14ac:dyDescent="0.25">
      <c r="A82" s="84">
        <v>81</v>
      </c>
      <c r="B82" s="84" t="s">
        <v>81</v>
      </c>
      <c r="C82" s="84">
        <f>'Ввод в действ жилых домов'!B82/Население!C82</f>
        <v>8.7912087912087919E-2</v>
      </c>
      <c r="D82" s="84">
        <f>'Ввод в действ жилых домов'!C82/Население!D82</f>
        <v>0.11229946524064172</v>
      </c>
      <c r="E82" s="84">
        <f>'Ввод в действ жилых домов'!D82/Население!E82</f>
        <v>0.16129032258064516</v>
      </c>
      <c r="F82" s="84">
        <f>'Ввод в действ жилых домов'!E82/Население!F82</f>
        <v>0.20967741935483872</v>
      </c>
      <c r="G82" s="84">
        <f>'Ввод в действ жилых домов'!F82/Население!G82</f>
        <v>0.26486486486486488</v>
      </c>
      <c r="H82" s="84">
        <f>'Ввод в действ жилых домов'!G82/Население!H82</f>
        <v>0.30113636363636365</v>
      </c>
      <c r="I82" s="84">
        <f>'Ввод в действ жилых домов'!H82/Население!I82</f>
        <v>0.30285714285714288</v>
      </c>
      <c r="J82" s="84">
        <f>'Ввод в действ жилых домов'!I82/Население!J82</f>
        <v>0.31213872832369943</v>
      </c>
      <c r="K82" s="84">
        <f>'Ввод в действ жилых домов'!J82/Население!K82</f>
        <v>0.36842105263157893</v>
      </c>
      <c r="L82" s="84">
        <f>'Ввод в действ жилых домов'!K82/Население!L82</f>
        <v>0.61538461538461542</v>
      </c>
      <c r="M82" s="84">
        <f>'Ввод в действ жилых домов'!L82/Население!M82</f>
        <v>0.36144578313253012</v>
      </c>
      <c r="N82" s="84">
        <f>'Ввод в действ жилых домов'!M82/Население!N82</f>
        <v>0.46341463414634149</v>
      </c>
      <c r="O82" s="84">
        <f>'Ввод в действ жилых домов'!N82/Население!O82</f>
        <v>0.30864197530864196</v>
      </c>
      <c r="P82" s="84">
        <f>'Ввод в действ жилых домов'!O82/Население!P82</f>
        <v>0.17499999999999999</v>
      </c>
      <c r="Q82" s="84">
        <f>'Ввод в действ жилых домов'!P82/Население!Q82</f>
        <v>0.14556962025316456</v>
      </c>
      <c r="R82" s="84">
        <f>'Ввод в действ жилых домов'!Q82/Население!R82</f>
        <v>8.9171974522292988E-2</v>
      </c>
    </row>
    <row r="83" spans="1:18" x14ac:dyDescent="0.25">
      <c r="A83" s="84">
        <v>82</v>
      </c>
      <c r="B83" s="84" t="s">
        <v>82</v>
      </c>
      <c r="C83" s="84">
        <f>'Ввод в действ жилых домов'!B83/Население!C83</f>
        <v>0.46153846153846156</v>
      </c>
      <c r="D83" s="84">
        <f>'Ввод в действ жилых домов'!C83/Население!D83</f>
        <v>0.13725490196078433</v>
      </c>
      <c r="E83" s="84">
        <f>'Ввод в действ жилых домов'!D83/Население!E83</f>
        <v>0.14000000000000001</v>
      </c>
      <c r="F83" s="84">
        <f>'Ввод в действ жилых домов'!E83/Население!F83</f>
        <v>0.04</v>
      </c>
      <c r="G83" s="84">
        <f>'Ввод в действ жилых домов'!F83/Население!G83</f>
        <v>0.08</v>
      </c>
      <c r="H83" s="84">
        <f>'Ввод в действ жилых домов'!G83/Население!H83</f>
        <v>5.8823529411764705E-3</v>
      </c>
      <c r="I83" s="84">
        <f>'Ввод в действ жилых домов'!H83/Население!I83</f>
        <v>3.9215686274509803E-2</v>
      </c>
      <c r="J83" s="84">
        <f>'Ввод в действ жилых домов'!I83/Население!J83</f>
        <v>1.9607843137254902E-2</v>
      </c>
      <c r="K83" s="84">
        <f>'Ввод в действ жилых домов'!J83/Население!K83</f>
        <v>7.8431372549019607E-3</v>
      </c>
      <c r="L83" s="84">
        <f>'Ввод в действ жилых домов'!K83/Население!L83</f>
        <v>3.9215686274509803E-2</v>
      </c>
      <c r="M83" s="84">
        <f>'Ввод в действ жилых домов'!L83/Население!M83</f>
        <v>0.04</v>
      </c>
      <c r="N83" s="84">
        <f>'Ввод в действ жилых домов'!M83/Население!N83</f>
        <v>0.06</v>
      </c>
      <c r="O83" s="84">
        <f>'Ввод в действ жилых домов'!N83/Население!O83</f>
        <v>0.08</v>
      </c>
      <c r="P83" s="84">
        <f>'Ввод в действ жилых домов'!O83/Население!P83</f>
        <v>0.04</v>
      </c>
      <c r="Q83" s="84">
        <f>'Ввод в действ жилых домов'!P83/Население!Q83</f>
        <v>0.02</v>
      </c>
      <c r="R83" s="84">
        <f>'Ввод в действ жилых домов'!Q83/Население!R83</f>
        <v>0.04</v>
      </c>
    </row>
    <row r="84" spans="1:18" x14ac:dyDescent="0.25">
      <c r="A84" s="82"/>
    </row>
    <row r="85" spans="1:18" x14ac:dyDescent="0.25">
      <c r="A85" s="82"/>
    </row>
    <row r="86" spans="1:18" x14ac:dyDescent="0.25">
      <c r="A86" s="82"/>
    </row>
    <row r="87" spans="1:18" x14ac:dyDescent="0.25">
      <c r="A87" s="82"/>
    </row>
    <row r="88" spans="1:18" x14ac:dyDescent="0.25">
      <c r="A88" s="82"/>
    </row>
    <row r="89" spans="1:18" x14ac:dyDescent="0.25">
      <c r="A89" s="82"/>
    </row>
    <row r="90" spans="1:18" x14ac:dyDescent="0.25">
      <c r="A90" s="82"/>
    </row>
    <row r="91" spans="1:18" x14ac:dyDescent="0.25">
      <c r="A91" s="82"/>
    </row>
    <row r="92" spans="1:18" x14ac:dyDescent="0.25">
      <c r="A92" s="82"/>
    </row>
    <row r="93" spans="1:18" x14ac:dyDescent="0.25">
      <c r="A93" s="82"/>
    </row>
    <row r="94" spans="1:18" x14ac:dyDescent="0.25">
      <c r="A94" s="82"/>
    </row>
    <row r="95" spans="1:18" ht="16.5" thickBot="1" x14ac:dyDescent="0.3">
      <c r="A95" s="83"/>
    </row>
    <row r="96" spans="1:18" x14ac:dyDescent="0.25">
      <c r="A96" s="82"/>
    </row>
    <row r="97" spans="1:1" x14ac:dyDescent="0.25">
      <c r="A97" s="82"/>
    </row>
    <row r="98" spans="1:1" x14ac:dyDescent="0.25">
      <c r="A98" s="82"/>
    </row>
    <row r="99" spans="1:1" x14ac:dyDescent="0.25">
      <c r="A99" s="82"/>
    </row>
    <row r="100" spans="1:1" x14ac:dyDescent="0.25">
      <c r="A100" s="82"/>
    </row>
    <row r="101" spans="1:1" x14ac:dyDescent="0.25">
      <c r="A101" s="82"/>
    </row>
    <row r="102" spans="1:1" x14ac:dyDescent="0.25">
      <c r="A102" s="82"/>
    </row>
    <row r="103" spans="1:1" x14ac:dyDescent="0.25">
      <c r="A103" s="82"/>
    </row>
    <row r="104" spans="1:1" x14ac:dyDescent="0.25">
      <c r="A104" s="82"/>
    </row>
    <row r="105" spans="1:1" x14ac:dyDescent="0.25">
      <c r="A105" s="82"/>
    </row>
    <row r="106" spans="1:1" x14ac:dyDescent="0.25">
      <c r="A106" s="82"/>
    </row>
    <row r="107" spans="1:1" x14ac:dyDescent="0.25">
      <c r="A107" s="82"/>
    </row>
    <row r="108" spans="1:1" x14ac:dyDescent="0.25">
      <c r="A108" s="82"/>
    </row>
    <row r="109" spans="1:1" ht="16.5" thickBot="1" x14ac:dyDescent="0.3">
      <c r="A109" s="83"/>
    </row>
    <row r="110" spans="1:1" x14ac:dyDescent="0.25">
      <c r="A110" s="81"/>
    </row>
    <row r="111" spans="1:1" x14ac:dyDescent="0.25">
      <c r="A111" s="82"/>
    </row>
    <row r="112" spans="1:1" x14ac:dyDescent="0.25">
      <c r="A112" s="82"/>
    </row>
    <row r="113" spans="1:1" ht="16.5" thickBot="1" x14ac:dyDescent="0.3">
      <c r="A113" s="83"/>
    </row>
    <row r="114" spans="1:1" x14ac:dyDescent="0.25">
      <c r="A114" s="81"/>
    </row>
    <row r="115" spans="1:1" x14ac:dyDescent="0.25">
      <c r="A115" s="82"/>
    </row>
    <row r="116" spans="1:1" x14ac:dyDescent="0.25">
      <c r="A116" s="82"/>
    </row>
    <row r="117" spans="1:1" x14ac:dyDescent="0.25">
      <c r="A117" s="82"/>
    </row>
    <row r="118" spans="1:1" x14ac:dyDescent="0.25">
      <c r="A118" s="82"/>
    </row>
    <row r="119" spans="1:1" x14ac:dyDescent="0.25">
      <c r="A119" s="82"/>
    </row>
    <row r="120" spans="1:1" x14ac:dyDescent="0.25">
      <c r="A120" s="82"/>
    </row>
    <row r="121" spans="1:1" x14ac:dyDescent="0.25">
      <c r="A121" s="82"/>
    </row>
    <row r="122" spans="1:1" x14ac:dyDescent="0.25">
      <c r="A122" s="82"/>
    </row>
    <row r="123" spans="1:1" x14ac:dyDescent="0.25">
      <c r="A123" s="82"/>
    </row>
    <row r="124" spans="1:1" x14ac:dyDescent="0.25">
      <c r="A124" s="82"/>
    </row>
    <row r="125" spans="1:1" ht="16.5" thickBot="1" x14ac:dyDescent="0.3">
      <c r="A125" s="83"/>
    </row>
    <row r="126" spans="1:1" x14ac:dyDescent="0.25">
      <c r="A126" s="81"/>
    </row>
    <row r="127" spans="1:1" x14ac:dyDescent="0.25">
      <c r="A127" s="82"/>
    </row>
    <row r="128" spans="1:1" x14ac:dyDescent="0.25">
      <c r="A128" s="82"/>
    </row>
    <row r="129" spans="1:1" x14ac:dyDescent="0.25">
      <c r="A129" s="82"/>
    </row>
    <row r="130" spans="1:1" x14ac:dyDescent="0.25">
      <c r="A130" s="82"/>
    </row>
    <row r="131" spans="1:1" x14ac:dyDescent="0.25">
      <c r="A131" s="82"/>
    </row>
    <row r="132" spans="1:1" x14ac:dyDescent="0.25">
      <c r="A132" s="82"/>
    </row>
    <row r="133" spans="1:1" x14ac:dyDescent="0.25">
      <c r="A133" s="82"/>
    </row>
    <row r="134" spans="1:1" ht="16.5" thickBot="1" x14ac:dyDescent="0.3">
      <c r="A134" s="8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83"/>
  <sheetViews>
    <sheetView workbookViewId="0">
      <selection activeCell="C1" sqref="C1"/>
    </sheetView>
  </sheetViews>
  <sheetFormatPr defaultRowHeight="15.75" x14ac:dyDescent="0.25"/>
  <cols>
    <col min="1" max="1" width="9.140625" style="80"/>
    <col min="2" max="2" width="35.5703125" style="80" customWidth="1"/>
    <col min="3" max="4" width="8.42578125" style="80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0.55932980149239098</v>
      </c>
      <c r="C2" s="187">
        <v>43831</v>
      </c>
      <c r="D2" s="80">
        <v>46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0.30112671767239407</v>
      </c>
      <c r="C3" s="187">
        <v>43831</v>
      </c>
      <c r="D3" s="80">
        <v>46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0.44897187241980846</v>
      </c>
      <c r="C4" s="187">
        <v>43831</v>
      </c>
      <c r="D4" s="80">
        <v>46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0.56057403406797224</v>
      </c>
      <c r="C5" s="187">
        <v>43831</v>
      </c>
      <c r="D5" s="80">
        <v>46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0.27691642293891039</v>
      </c>
      <c r="C6" s="187">
        <v>43831</v>
      </c>
      <c r="D6" s="80">
        <v>46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0.58890674850123947</v>
      </c>
      <c r="C7" s="187">
        <v>43831</v>
      </c>
      <c r="D7" s="80">
        <v>46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0.34978879601413559</v>
      </c>
      <c r="C8" s="187">
        <v>43831</v>
      </c>
      <c r="D8" s="80">
        <v>46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0.40305637257579224</v>
      </c>
      <c r="C9" s="187">
        <v>43831</v>
      </c>
      <c r="D9" s="80">
        <v>46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0.67257158798125471</v>
      </c>
      <c r="C10" s="187">
        <v>43831</v>
      </c>
      <c r="D10" s="80">
        <v>46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0.69112643672758167</v>
      </c>
      <c r="C11" s="187">
        <v>43831</v>
      </c>
      <c r="D11" s="80">
        <v>46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0.48976801150861488</v>
      </c>
      <c r="C12" s="187">
        <v>43831</v>
      </c>
      <c r="D12" s="80">
        <v>46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0.4794111585968388</v>
      </c>
      <c r="C13" s="187">
        <v>43831</v>
      </c>
      <c r="D13" s="80">
        <v>46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0.40712600958088641</v>
      </c>
      <c r="C14" s="187">
        <v>43831</v>
      </c>
      <c r="D14" s="80">
        <v>46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0.54197091642004036</v>
      </c>
      <c r="C15" s="187">
        <v>43831</v>
      </c>
      <c r="D15" s="80">
        <v>46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0.44137467462857455</v>
      </c>
      <c r="C16" s="187">
        <v>43831</v>
      </c>
      <c r="D16" s="80">
        <v>46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0.39727186490860855</v>
      </c>
      <c r="C17" s="187">
        <v>43831</v>
      </c>
      <c r="D17" s="80">
        <v>46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0.48642463589225571</v>
      </c>
      <c r="C18" s="187">
        <v>43831</v>
      </c>
      <c r="D18" s="80">
        <v>46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0.33250618989960062</v>
      </c>
      <c r="C19" s="187">
        <v>43831</v>
      </c>
      <c r="D19" s="80">
        <v>46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0.40763706531277816</v>
      </c>
      <c r="C20" s="187">
        <v>43831</v>
      </c>
      <c r="D20" s="80">
        <v>46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0.17752910245224557</v>
      </c>
      <c r="C21" s="187">
        <v>43831</v>
      </c>
      <c r="D21" s="80">
        <v>46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0.27105253128416262</v>
      </c>
      <c r="C22" s="187">
        <v>43831</v>
      </c>
      <c r="D22" s="80">
        <v>46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0.36888678194071783</v>
      </c>
      <c r="C23" s="187">
        <v>43831</v>
      </c>
      <c r="D23" s="80">
        <v>46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0.68437384466451667</v>
      </c>
      <c r="C24" s="187">
        <v>43831</v>
      </c>
      <c r="D24" s="80">
        <v>46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0.7352043354783071</v>
      </c>
      <c r="C25" s="187">
        <v>43831</v>
      </c>
      <c r="D25" s="80">
        <v>46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1.4763327588466804E-4</v>
      </c>
      <c r="C26" s="187">
        <v>43831</v>
      </c>
      <c r="D26" s="80">
        <v>46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0.40404265306214004</v>
      </c>
      <c r="C27" s="187">
        <v>43831</v>
      </c>
      <c r="D27" s="80">
        <v>46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0.37386415992921207</v>
      </c>
      <c r="C28" s="187">
        <v>43831</v>
      </c>
      <c r="D28" s="80">
        <v>46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0.50051446863644122</v>
      </c>
      <c r="C29" s="187">
        <v>43831</v>
      </c>
      <c r="D29" s="80">
        <v>46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0.45958113138714513</v>
      </c>
      <c r="C30" s="187">
        <v>43831</v>
      </c>
      <c r="D30" s="80">
        <v>46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0.26469197555592938</v>
      </c>
      <c r="C31" s="187">
        <v>43831</v>
      </c>
      <c r="D31" s="80">
        <v>46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0.36113078757566519</v>
      </c>
      <c r="C32" s="187">
        <v>43831</v>
      </c>
      <c r="D32" s="80">
        <v>46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0.6184350487935526</v>
      </c>
      <c r="C33" s="187">
        <v>43831</v>
      </c>
      <c r="D33" s="80">
        <v>46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0.30589234109903646</v>
      </c>
      <c r="C34" s="187">
        <v>43831</v>
      </c>
      <c r="D34" s="80">
        <v>46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0.24890671255857583</v>
      </c>
      <c r="C35" s="187">
        <v>43831</v>
      </c>
      <c r="D35" s="80">
        <v>46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0.50398091196373818</v>
      </c>
      <c r="C36" s="187">
        <v>43831</v>
      </c>
      <c r="D36" s="80">
        <v>46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0.70882661136690728</v>
      </c>
      <c r="C37" s="187">
        <v>43831</v>
      </c>
      <c r="D37" s="80">
        <v>46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0.24678291653767817</v>
      </c>
      <c r="C38" s="187">
        <v>43831</v>
      </c>
      <c r="D38" s="80">
        <v>46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0.28883817421806829</v>
      </c>
      <c r="C39" s="187">
        <v>43831</v>
      </c>
      <c r="D39" s="80">
        <v>46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0.47098401457012112</v>
      </c>
      <c r="C40" s="187">
        <v>43831</v>
      </c>
      <c r="D40" s="80">
        <v>46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0.20725692149730573</v>
      </c>
      <c r="C41" s="187">
        <v>43831</v>
      </c>
      <c r="D41" s="80">
        <v>46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0.28474876823907497</v>
      </c>
      <c r="C42" s="187">
        <v>43831</v>
      </c>
      <c r="D42" s="80">
        <v>46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0.42383483535901995</v>
      </c>
      <c r="C43" s="187">
        <v>43831</v>
      </c>
      <c r="D43" s="80">
        <v>46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0.37151738729100958</v>
      </c>
      <c r="C44" s="187">
        <v>43831</v>
      </c>
      <c r="D44" s="80">
        <v>46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0.49246937163888665</v>
      </c>
      <c r="C45" s="187">
        <v>43831</v>
      </c>
      <c r="D45" s="80">
        <v>46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0.45369582764290806</v>
      </c>
      <c r="C46" s="187">
        <v>43831</v>
      </c>
      <c r="D46" s="80">
        <v>46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0.35402498278742084</v>
      </c>
      <c r="C47" s="187">
        <v>43831</v>
      </c>
      <c r="D47" s="80">
        <v>46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0.53288064129823476</v>
      </c>
      <c r="C48" s="187">
        <v>43831</v>
      </c>
      <c r="D48" s="80">
        <v>46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0.44687753693477089</v>
      </c>
      <c r="C49" s="187">
        <v>43831</v>
      </c>
      <c r="D49" s="80">
        <v>46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0.40437665766905073</v>
      </c>
      <c r="C50" s="187">
        <v>43831</v>
      </c>
      <c r="D50" s="80">
        <v>46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0.39869403044500179</v>
      </c>
      <c r="C51" s="187">
        <v>43831</v>
      </c>
      <c r="D51" s="80">
        <v>46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0.30813413866265776</v>
      </c>
      <c r="C52" s="187">
        <v>43831</v>
      </c>
      <c r="D52" s="80">
        <v>46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0.39382768166611565</v>
      </c>
      <c r="C53" s="187">
        <v>43831</v>
      </c>
      <c r="D53" s="80">
        <v>46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0.41875636963328566</v>
      </c>
      <c r="C54" s="187">
        <v>43831</v>
      </c>
      <c r="D54" s="80">
        <v>46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0.51869688650772938</v>
      </c>
      <c r="C55" s="187">
        <v>43831</v>
      </c>
      <c r="D55" s="80">
        <v>46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0.37708699681513741</v>
      </c>
      <c r="C56" s="187">
        <v>43831</v>
      </c>
      <c r="D56" s="80">
        <v>46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0.4085195808949495</v>
      </c>
      <c r="C57" s="187">
        <v>43831</v>
      </c>
      <c r="D57" s="80">
        <v>46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0.60031075962033154</v>
      </c>
      <c r="C58" s="187">
        <v>43831</v>
      </c>
      <c r="D58" s="80">
        <v>46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0.26477983670821043</v>
      </c>
      <c r="C59" s="187">
        <v>43831</v>
      </c>
      <c r="D59" s="80">
        <v>46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0.45679690761361119</v>
      </c>
      <c r="C60" s="187">
        <v>43831</v>
      </c>
      <c r="D60" s="80">
        <v>46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0.55051680055943641</v>
      </c>
      <c r="C61" s="187">
        <v>43831</v>
      </c>
      <c r="D61" s="80">
        <v>46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0.38719246265389329</v>
      </c>
      <c r="C62" s="187">
        <v>43831</v>
      </c>
      <c r="D62" s="80">
        <v>46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0.3410449269749391</v>
      </c>
      <c r="C63" s="187">
        <v>43831</v>
      </c>
      <c r="D63" s="80">
        <v>46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0.21308111459767151</v>
      </c>
      <c r="C64" s="187">
        <v>43831</v>
      </c>
      <c r="D64" s="80">
        <v>46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0.27583776437995178</v>
      </c>
      <c r="C65" s="187">
        <v>43831</v>
      </c>
      <c r="D65" s="80">
        <v>46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0.44921752323723491</v>
      </c>
      <c r="C66" s="187">
        <v>43831</v>
      </c>
      <c r="D66" s="80">
        <v>46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0.29993293689265993</v>
      </c>
      <c r="C67" s="187">
        <v>43831</v>
      </c>
      <c r="D67" s="80">
        <v>46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7.9315684824483354E-2</v>
      </c>
      <c r="C68" s="187">
        <v>43831</v>
      </c>
      <c r="D68" s="80">
        <v>46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0.38803991631147611</v>
      </c>
      <c r="C69" s="187">
        <v>43831</v>
      </c>
      <c r="D69" s="80">
        <v>46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0.39444301322470748</v>
      </c>
      <c r="C70" s="187">
        <v>43831</v>
      </c>
      <c r="D70" s="80">
        <v>46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0.25092063611730037</v>
      </c>
      <c r="C71" s="187">
        <v>43831</v>
      </c>
      <c r="D71" s="80">
        <v>46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0.53748457882302991</v>
      </c>
      <c r="C72" s="187">
        <v>43831</v>
      </c>
      <c r="D72" s="80">
        <v>46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0.2176934168856966</v>
      </c>
      <c r="C73" s="187">
        <v>43831</v>
      </c>
      <c r="D73" s="80">
        <v>46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0.35860427740246714</v>
      </c>
      <c r="C74" s="187">
        <v>43831</v>
      </c>
      <c r="D74" s="80">
        <v>46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0.44812748902363209</v>
      </c>
      <c r="C75" s="187">
        <v>43831</v>
      </c>
      <c r="D75" s="80">
        <v>46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0.13788563964525236</v>
      </c>
      <c r="C76" s="187">
        <v>43831</v>
      </c>
      <c r="D76" s="80">
        <v>46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0.28602849191334712</v>
      </c>
      <c r="C77" s="187">
        <v>43831</v>
      </c>
      <c r="D77" s="80">
        <v>46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8.5332303754973873E-2</v>
      </c>
      <c r="C78" s="187">
        <v>43831</v>
      </c>
      <c r="D78" s="80">
        <v>46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0.11399063270744875</v>
      </c>
      <c r="C79" s="187">
        <v>43831</v>
      </c>
      <c r="D79" s="80">
        <v>46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1.2422938848011048E-3</v>
      </c>
      <c r="C80" s="187">
        <v>43831</v>
      </c>
      <c r="D80" s="80">
        <v>46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0.61970739570041888</v>
      </c>
      <c r="C81" s="187">
        <v>43831</v>
      </c>
      <c r="D81" s="80">
        <v>46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7.7642991965018423E-3</v>
      </c>
      <c r="C82" s="187">
        <v>43831</v>
      </c>
      <c r="D82" s="80">
        <v>46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1.9788201212326217E-5</v>
      </c>
      <c r="C83" s="187">
        <v>43831</v>
      </c>
      <c r="D83" s="80">
        <v>46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59999389629810485"/>
  </sheetPr>
  <dimension ref="A1:R89"/>
  <sheetViews>
    <sheetView topLeftCell="A13" workbookViewId="0">
      <selection activeCell="C41" sqref="C41"/>
    </sheetView>
  </sheetViews>
  <sheetFormatPr defaultRowHeight="15.75" x14ac:dyDescent="0.25"/>
  <cols>
    <col min="1" max="1" width="9.140625" style="80"/>
    <col min="2" max="2" width="35.5703125" style="80" customWidth="1"/>
    <col min="3" max="6" width="9.140625" style="80"/>
    <col min="7" max="15" width="0" style="80" hidden="1" customWidth="1"/>
    <col min="16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89">
        <v>23</v>
      </c>
      <c r="D2" s="89">
        <v>23.4</v>
      </c>
      <c r="E2" s="89">
        <v>23.9</v>
      </c>
      <c r="F2" s="89">
        <v>24.5</v>
      </c>
      <c r="G2" s="89">
        <v>25</v>
      </c>
      <c r="H2" s="89">
        <v>25.7</v>
      </c>
      <c r="I2" s="89">
        <v>26.3</v>
      </c>
      <c r="J2" s="89">
        <v>27</v>
      </c>
      <c r="K2" s="89">
        <v>27.4</v>
      </c>
      <c r="L2" s="89">
        <v>28.3</v>
      </c>
      <c r="M2" s="89">
        <v>29.1</v>
      </c>
      <c r="N2" s="89">
        <v>29.9</v>
      </c>
      <c r="O2" s="89">
        <v>30.6</v>
      </c>
      <c r="P2" s="89">
        <v>31.4</v>
      </c>
      <c r="Q2" s="89">
        <v>32.1</v>
      </c>
      <c r="R2" s="89">
        <v>32.9</v>
      </c>
    </row>
    <row r="3" spans="1:18" x14ac:dyDescent="0.25">
      <c r="A3" s="84">
        <v>2</v>
      </c>
      <c r="B3" s="84" t="s">
        <v>2</v>
      </c>
      <c r="C3" s="89">
        <v>23.1</v>
      </c>
      <c r="D3" s="89">
        <v>23.5</v>
      </c>
      <c r="E3" s="89">
        <v>23.9</v>
      </c>
      <c r="F3" s="89">
        <v>24.3</v>
      </c>
      <c r="G3" s="89">
        <v>24.7</v>
      </c>
      <c r="H3" s="89">
        <v>25.2</v>
      </c>
      <c r="I3" s="89">
        <v>25.6</v>
      </c>
      <c r="J3" s="89">
        <v>26.1</v>
      </c>
      <c r="K3" s="89">
        <v>26.6</v>
      </c>
      <c r="L3" s="89">
        <v>27.5</v>
      </c>
      <c r="M3" s="89">
        <v>28.1</v>
      </c>
      <c r="N3" s="89">
        <v>28.7</v>
      </c>
      <c r="O3" s="89">
        <v>29.4</v>
      </c>
      <c r="P3" s="89">
        <v>30</v>
      </c>
      <c r="Q3" s="89">
        <v>30.5</v>
      </c>
      <c r="R3" s="89">
        <v>31.1</v>
      </c>
    </row>
    <row r="4" spans="1:18" x14ac:dyDescent="0.25">
      <c r="A4" s="84">
        <v>3</v>
      </c>
      <c r="B4" s="84" t="s">
        <v>3</v>
      </c>
      <c r="C4" s="89">
        <v>23</v>
      </c>
      <c r="D4" s="89">
        <v>23.4</v>
      </c>
      <c r="E4" s="89">
        <v>23.7</v>
      </c>
      <c r="F4" s="89">
        <v>24.1</v>
      </c>
      <c r="G4" s="89">
        <v>24.6</v>
      </c>
      <c r="H4" s="89">
        <v>25</v>
      </c>
      <c r="I4" s="89">
        <v>25.5</v>
      </c>
      <c r="J4" s="89">
        <v>26.2</v>
      </c>
      <c r="K4" s="89">
        <v>25.6</v>
      </c>
      <c r="L4" s="89">
        <v>26.8</v>
      </c>
      <c r="M4" s="89">
        <v>27.2</v>
      </c>
      <c r="N4" s="89">
        <v>27.8</v>
      </c>
      <c r="O4" s="89">
        <v>28.5</v>
      </c>
      <c r="P4" s="89">
        <v>29.5</v>
      </c>
      <c r="Q4" s="89">
        <v>30</v>
      </c>
      <c r="R4" s="89">
        <v>30.8</v>
      </c>
    </row>
    <row r="5" spans="1:18" x14ac:dyDescent="0.25">
      <c r="A5" s="84">
        <v>4</v>
      </c>
      <c r="B5" s="84" t="s">
        <v>4</v>
      </c>
      <c r="C5" s="89">
        <v>23.4</v>
      </c>
      <c r="D5" s="89">
        <v>23.9</v>
      </c>
      <c r="E5" s="89">
        <v>24.3</v>
      </c>
      <c r="F5" s="89">
        <v>24.9</v>
      </c>
      <c r="G5" s="89">
        <v>25.3</v>
      </c>
      <c r="H5" s="89">
        <v>25.8</v>
      </c>
      <c r="I5" s="89">
        <v>26.2</v>
      </c>
      <c r="J5" s="89">
        <v>26.6</v>
      </c>
      <c r="K5" s="89">
        <v>27.3</v>
      </c>
      <c r="L5" s="89">
        <v>27.7</v>
      </c>
      <c r="M5" s="89">
        <v>28.3</v>
      </c>
      <c r="N5" s="89">
        <v>28.8</v>
      </c>
      <c r="O5" s="89">
        <v>29.4</v>
      </c>
      <c r="P5" s="89">
        <v>30.1</v>
      </c>
      <c r="Q5" s="89">
        <v>30.8</v>
      </c>
      <c r="R5" s="89">
        <v>31.7</v>
      </c>
    </row>
    <row r="6" spans="1:18" x14ac:dyDescent="0.25">
      <c r="A6" s="84">
        <v>5</v>
      </c>
      <c r="B6" s="84" t="s">
        <v>5</v>
      </c>
      <c r="C6" s="89">
        <v>22.4</v>
      </c>
      <c r="D6" s="89">
        <v>22.7</v>
      </c>
      <c r="E6" s="89">
        <v>23</v>
      </c>
      <c r="F6" s="89">
        <v>23.3</v>
      </c>
      <c r="G6" s="89">
        <v>23.6</v>
      </c>
      <c r="H6" s="89">
        <v>23.9</v>
      </c>
      <c r="I6" s="89">
        <v>24.2</v>
      </c>
      <c r="J6" s="89">
        <v>24.5</v>
      </c>
      <c r="K6" s="89">
        <v>24.7</v>
      </c>
      <c r="L6" s="89">
        <v>25</v>
      </c>
      <c r="M6" s="89">
        <v>25.2</v>
      </c>
      <c r="N6" s="89">
        <v>25.7</v>
      </c>
      <c r="O6" s="89">
        <v>26.2</v>
      </c>
      <c r="P6" s="89">
        <v>26.8</v>
      </c>
      <c r="Q6" s="89">
        <v>27.3</v>
      </c>
      <c r="R6" s="89">
        <v>27.9</v>
      </c>
    </row>
    <row r="7" spans="1:18" x14ac:dyDescent="0.25">
      <c r="A7" s="84">
        <v>6</v>
      </c>
      <c r="B7" s="84" t="s">
        <v>6</v>
      </c>
      <c r="C7" s="89">
        <v>22.9</v>
      </c>
      <c r="D7" s="89">
        <v>23</v>
      </c>
      <c r="E7" s="89">
        <v>23.4</v>
      </c>
      <c r="F7" s="89">
        <v>24</v>
      </c>
      <c r="G7" s="89">
        <v>24.6</v>
      </c>
      <c r="H7" s="89">
        <v>25.2</v>
      </c>
      <c r="I7" s="89">
        <v>25.8</v>
      </c>
      <c r="J7" s="89">
        <v>26.3</v>
      </c>
      <c r="K7" s="89">
        <v>26.8</v>
      </c>
      <c r="L7" s="89">
        <v>27.6</v>
      </c>
      <c r="M7" s="89">
        <v>28.3</v>
      </c>
      <c r="N7" s="89">
        <v>28.8</v>
      </c>
      <c r="O7" s="89">
        <v>29.6</v>
      </c>
      <c r="P7" s="89">
        <v>30</v>
      </c>
      <c r="Q7" s="89">
        <v>31</v>
      </c>
      <c r="R7" s="89">
        <v>31.6</v>
      </c>
    </row>
    <row r="8" spans="1:18" x14ac:dyDescent="0.25">
      <c r="A8" s="84">
        <v>7</v>
      </c>
      <c r="B8" s="84" t="s">
        <v>7</v>
      </c>
      <c r="C8" s="89">
        <v>23.8</v>
      </c>
      <c r="D8" s="89">
        <v>24.3</v>
      </c>
      <c r="E8" s="89">
        <v>24.1</v>
      </c>
      <c r="F8" s="89">
        <v>24.1</v>
      </c>
      <c r="G8" s="89">
        <v>24.5</v>
      </c>
      <c r="H8" s="89">
        <v>25.1</v>
      </c>
      <c r="I8" s="89">
        <v>25.4</v>
      </c>
      <c r="J8" s="89">
        <v>25.7</v>
      </c>
      <c r="K8" s="89">
        <v>25.7</v>
      </c>
      <c r="L8" s="89">
        <v>26</v>
      </c>
      <c r="M8" s="89">
        <v>26.6</v>
      </c>
      <c r="N8" s="89">
        <v>26.9</v>
      </c>
      <c r="O8" s="89">
        <v>27.4</v>
      </c>
      <c r="P8" s="89">
        <v>27.9</v>
      </c>
      <c r="Q8" s="89">
        <v>28.4</v>
      </c>
      <c r="R8" s="89">
        <v>29.1</v>
      </c>
    </row>
    <row r="9" spans="1:18" x14ac:dyDescent="0.25">
      <c r="A9" s="84">
        <v>8</v>
      </c>
      <c r="B9" s="84" t="s">
        <v>8</v>
      </c>
      <c r="C9" s="89">
        <v>23.2</v>
      </c>
      <c r="D9" s="89">
        <v>23.8</v>
      </c>
      <c r="E9" s="89">
        <v>24.4</v>
      </c>
      <c r="F9" s="89">
        <v>25.1</v>
      </c>
      <c r="G9" s="89">
        <v>25.7</v>
      </c>
      <c r="H9" s="89">
        <v>26.5</v>
      </c>
      <c r="I9" s="89">
        <v>27</v>
      </c>
      <c r="J9" s="89">
        <v>27.4</v>
      </c>
      <c r="K9" s="89">
        <v>27.8</v>
      </c>
      <c r="L9" s="89">
        <v>28.3</v>
      </c>
      <c r="M9" s="89">
        <v>28.7</v>
      </c>
      <c r="N9" s="89">
        <v>29.3</v>
      </c>
      <c r="O9" s="89">
        <v>30</v>
      </c>
      <c r="P9" s="89">
        <v>30.4</v>
      </c>
      <c r="Q9" s="89">
        <v>31</v>
      </c>
      <c r="R9" s="89">
        <v>31.6</v>
      </c>
    </row>
    <row r="10" spans="1:18" x14ac:dyDescent="0.25">
      <c r="A10" s="84">
        <v>9</v>
      </c>
      <c r="B10" s="84" t="s">
        <v>9</v>
      </c>
      <c r="C10" s="89">
        <v>22.7</v>
      </c>
      <c r="D10" s="89">
        <v>23.3</v>
      </c>
      <c r="E10" s="89">
        <v>24.2</v>
      </c>
      <c r="F10" s="89">
        <v>24.8</v>
      </c>
      <c r="G10" s="89">
        <v>25.3</v>
      </c>
      <c r="H10" s="89">
        <v>25.7</v>
      </c>
      <c r="I10" s="89">
        <v>26.2</v>
      </c>
      <c r="J10" s="89">
        <v>26.6</v>
      </c>
      <c r="K10" s="89">
        <v>27.2</v>
      </c>
      <c r="L10" s="89">
        <v>27.8</v>
      </c>
      <c r="M10" s="89">
        <v>28.4</v>
      </c>
      <c r="N10" s="89">
        <v>29.2</v>
      </c>
      <c r="O10" s="89">
        <v>30.3</v>
      </c>
      <c r="P10" s="89">
        <v>31.1</v>
      </c>
      <c r="Q10" s="89">
        <v>32.200000000000003</v>
      </c>
      <c r="R10" s="89">
        <v>33.6</v>
      </c>
    </row>
    <row r="11" spans="1:18" x14ac:dyDescent="0.25">
      <c r="A11" s="84">
        <v>10</v>
      </c>
      <c r="B11" s="84" t="s">
        <v>10</v>
      </c>
      <c r="C11" s="89">
        <v>24.3</v>
      </c>
      <c r="D11" s="89">
        <v>25.1</v>
      </c>
      <c r="E11" s="89">
        <v>26.3</v>
      </c>
      <c r="F11" s="89">
        <v>27.1</v>
      </c>
      <c r="G11" s="89">
        <v>28.1</v>
      </c>
      <c r="H11" s="89">
        <v>28.8</v>
      </c>
      <c r="I11" s="89">
        <v>29.6</v>
      </c>
      <c r="J11" s="89">
        <v>29.8</v>
      </c>
      <c r="K11" s="89">
        <v>26.7</v>
      </c>
      <c r="L11" s="89">
        <v>29.4</v>
      </c>
      <c r="M11" s="89">
        <v>33.4</v>
      </c>
      <c r="N11" s="89">
        <v>33.700000000000003</v>
      </c>
      <c r="O11" s="89">
        <v>31.8</v>
      </c>
      <c r="P11" s="89">
        <v>32.700000000000003</v>
      </c>
      <c r="Q11" s="89">
        <v>33.5</v>
      </c>
      <c r="R11" s="89">
        <v>34.1</v>
      </c>
    </row>
    <row r="12" spans="1:18" x14ac:dyDescent="0.25">
      <c r="A12" s="84">
        <v>11</v>
      </c>
      <c r="B12" s="84" t="s">
        <v>11</v>
      </c>
      <c r="C12" s="89">
        <v>22.2</v>
      </c>
      <c r="D12" s="89">
        <v>22.5</v>
      </c>
      <c r="E12" s="89">
        <v>23.1</v>
      </c>
      <c r="F12" s="89">
        <v>23.6</v>
      </c>
      <c r="G12" s="89">
        <v>24.1</v>
      </c>
      <c r="H12" s="89">
        <v>24.6</v>
      </c>
      <c r="I12" s="89">
        <v>25.3</v>
      </c>
      <c r="J12" s="89">
        <v>25.8</v>
      </c>
      <c r="K12" s="89">
        <v>25.8</v>
      </c>
      <c r="L12" s="89">
        <v>26.5</v>
      </c>
      <c r="M12" s="89">
        <v>27</v>
      </c>
      <c r="N12" s="89">
        <v>27.6</v>
      </c>
      <c r="O12" s="89">
        <v>28.1</v>
      </c>
      <c r="P12" s="89">
        <v>28.7</v>
      </c>
      <c r="Q12" s="89">
        <v>29.5</v>
      </c>
      <c r="R12" s="89">
        <v>30.3</v>
      </c>
    </row>
    <row r="13" spans="1:18" x14ac:dyDescent="0.25">
      <c r="A13" s="84">
        <v>12</v>
      </c>
      <c r="B13" s="84" t="s">
        <v>12</v>
      </c>
      <c r="C13" s="89">
        <v>23.4</v>
      </c>
      <c r="D13" s="89">
        <v>23.8</v>
      </c>
      <c r="E13" s="89">
        <v>24.5</v>
      </c>
      <c r="F13" s="89">
        <v>25</v>
      </c>
      <c r="G13" s="89">
        <v>25.3</v>
      </c>
      <c r="H13" s="89">
        <v>25.8</v>
      </c>
      <c r="I13" s="89">
        <v>26.3</v>
      </c>
      <c r="J13" s="89">
        <v>26.7</v>
      </c>
      <c r="K13" s="89">
        <v>27.3</v>
      </c>
      <c r="L13" s="89">
        <v>28</v>
      </c>
      <c r="M13" s="89">
        <v>28.8</v>
      </c>
      <c r="N13" s="89">
        <v>29.5</v>
      </c>
      <c r="O13" s="89">
        <v>30.3</v>
      </c>
      <c r="P13" s="89">
        <v>31.2</v>
      </c>
      <c r="Q13" s="89">
        <v>32.700000000000003</v>
      </c>
      <c r="R13" s="89">
        <v>34.200000000000003</v>
      </c>
    </row>
    <row r="14" spans="1:18" x14ac:dyDescent="0.25">
      <c r="A14" s="84">
        <v>13</v>
      </c>
      <c r="B14" s="84" t="s">
        <v>13</v>
      </c>
      <c r="C14" s="89">
        <v>23.3</v>
      </c>
      <c r="D14" s="89">
        <v>23.9</v>
      </c>
      <c r="E14" s="89">
        <v>24.6</v>
      </c>
      <c r="F14" s="89">
        <v>24.7</v>
      </c>
      <c r="G14" s="89">
        <v>25.2</v>
      </c>
      <c r="H14" s="89">
        <v>25.6</v>
      </c>
      <c r="I14" s="89">
        <v>25.8</v>
      </c>
      <c r="J14" s="89">
        <v>26.2</v>
      </c>
      <c r="K14" s="89">
        <v>26.3</v>
      </c>
      <c r="L14" s="89">
        <v>26.8</v>
      </c>
      <c r="M14" s="89">
        <v>27.4</v>
      </c>
      <c r="N14" s="89">
        <v>27.9</v>
      </c>
      <c r="O14" s="89">
        <v>28.4</v>
      </c>
      <c r="P14" s="89">
        <v>28.7</v>
      </c>
      <c r="Q14" s="89">
        <v>29.4</v>
      </c>
      <c r="R14" s="89">
        <v>30.3</v>
      </c>
    </row>
    <row r="15" spans="1:18" x14ac:dyDescent="0.25">
      <c r="A15" s="84">
        <v>14</v>
      </c>
      <c r="B15" s="84" t="s">
        <v>14</v>
      </c>
      <c r="C15" s="89">
        <v>22.3</v>
      </c>
      <c r="D15" s="89">
        <v>22.7</v>
      </c>
      <c r="E15" s="89">
        <v>23</v>
      </c>
      <c r="F15" s="89">
        <v>23.4</v>
      </c>
      <c r="G15" s="89">
        <v>23.7</v>
      </c>
      <c r="H15" s="89">
        <v>24.1</v>
      </c>
      <c r="I15" s="89">
        <v>24.6</v>
      </c>
      <c r="J15" s="89">
        <v>25</v>
      </c>
      <c r="K15" s="89">
        <v>25.5</v>
      </c>
      <c r="L15" s="89">
        <v>26.1</v>
      </c>
      <c r="M15" s="89">
        <v>26.9</v>
      </c>
      <c r="N15" s="89">
        <v>27.7</v>
      </c>
      <c r="O15" s="89">
        <v>28.6</v>
      </c>
      <c r="P15" s="89">
        <v>29.9</v>
      </c>
      <c r="Q15" s="89">
        <v>31</v>
      </c>
      <c r="R15" s="89">
        <v>32.1</v>
      </c>
    </row>
    <row r="16" spans="1:18" x14ac:dyDescent="0.25">
      <c r="A16" s="84">
        <v>15</v>
      </c>
      <c r="B16" s="84" t="s">
        <v>15</v>
      </c>
      <c r="C16" s="89">
        <v>25.4</v>
      </c>
      <c r="D16" s="89">
        <v>25.9</v>
      </c>
      <c r="E16" s="89">
        <v>26.3</v>
      </c>
      <c r="F16" s="89">
        <v>26.7</v>
      </c>
      <c r="G16" s="89">
        <v>27.2</v>
      </c>
      <c r="H16" s="89">
        <v>27.8</v>
      </c>
      <c r="I16" s="89">
        <v>28.2</v>
      </c>
      <c r="J16" s="89">
        <v>28.6</v>
      </c>
      <c r="K16" s="89">
        <v>29</v>
      </c>
      <c r="L16" s="89">
        <v>29.3</v>
      </c>
      <c r="M16" s="89">
        <v>30</v>
      </c>
      <c r="N16" s="89">
        <v>30.8</v>
      </c>
      <c r="O16" s="89">
        <v>31.3</v>
      </c>
      <c r="P16" s="89">
        <v>32</v>
      </c>
      <c r="Q16" s="89">
        <v>32.799999999999997</v>
      </c>
      <c r="R16" s="89">
        <v>33.700000000000003</v>
      </c>
    </row>
    <row r="17" spans="1:18" x14ac:dyDescent="0.25">
      <c r="A17" s="84">
        <v>16</v>
      </c>
      <c r="B17" s="84" t="s">
        <v>16</v>
      </c>
      <c r="C17" s="89">
        <v>23.2</v>
      </c>
      <c r="D17" s="89">
        <v>23.5</v>
      </c>
      <c r="E17" s="89">
        <v>23.9</v>
      </c>
      <c r="F17" s="89">
        <v>24.4</v>
      </c>
      <c r="G17" s="89">
        <v>24.9</v>
      </c>
      <c r="H17" s="89">
        <v>25.3</v>
      </c>
      <c r="I17" s="89">
        <v>25.6</v>
      </c>
      <c r="J17" s="89">
        <v>26</v>
      </c>
      <c r="K17" s="89">
        <v>26.3</v>
      </c>
      <c r="L17" s="89">
        <v>26.8</v>
      </c>
      <c r="M17" s="89">
        <v>27.2</v>
      </c>
      <c r="N17" s="89">
        <v>27.7</v>
      </c>
      <c r="O17" s="89">
        <v>28.1</v>
      </c>
      <c r="P17" s="89">
        <v>28.9</v>
      </c>
      <c r="Q17" s="89">
        <v>29.5</v>
      </c>
      <c r="R17" s="89">
        <v>30.3</v>
      </c>
    </row>
    <row r="18" spans="1:18" x14ac:dyDescent="0.25">
      <c r="A18" s="84">
        <v>17</v>
      </c>
      <c r="B18" s="84" t="s">
        <v>17</v>
      </c>
      <c r="C18" s="89">
        <v>22.5</v>
      </c>
      <c r="D18" s="89">
        <v>22.9</v>
      </c>
      <c r="E18" s="89">
        <v>23.3</v>
      </c>
      <c r="F18" s="89">
        <v>23.7</v>
      </c>
      <c r="G18" s="89">
        <v>24.1</v>
      </c>
      <c r="H18" s="89">
        <v>24.5</v>
      </c>
      <c r="I18" s="89">
        <v>24.6</v>
      </c>
      <c r="J18" s="89">
        <v>24.8</v>
      </c>
      <c r="K18" s="89">
        <v>24.8</v>
      </c>
      <c r="L18" s="89">
        <v>25.4</v>
      </c>
      <c r="M18" s="89">
        <v>26</v>
      </c>
      <c r="N18" s="89">
        <v>26.6</v>
      </c>
      <c r="O18" s="89">
        <v>27.1</v>
      </c>
      <c r="P18" s="89">
        <v>27.8</v>
      </c>
      <c r="Q18" s="89">
        <v>28.5</v>
      </c>
      <c r="R18" s="89">
        <v>29.2</v>
      </c>
    </row>
    <row r="19" spans="1:18" x14ac:dyDescent="0.25">
      <c r="A19" s="84">
        <v>18</v>
      </c>
      <c r="B19" s="84" t="s">
        <v>18</v>
      </c>
      <c r="C19" s="89">
        <v>18.5</v>
      </c>
      <c r="D19" s="89">
        <v>18.5</v>
      </c>
      <c r="E19" s="89">
        <v>18.600000000000001</v>
      </c>
      <c r="F19" s="89">
        <v>18.8</v>
      </c>
      <c r="G19" s="89">
        <v>18.8</v>
      </c>
      <c r="H19" s="89">
        <v>18.7</v>
      </c>
      <c r="I19" s="89">
        <v>18.7</v>
      </c>
      <c r="J19" s="89">
        <v>19.3</v>
      </c>
      <c r="K19" s="89">
        <v>19.2</v>
      </c>
      <c r="L19" s="89">
        <v>19.2</v>
      </c>
      <c r="M19" s="89">
        <v>19.100000000000001</v>
      </c>
      <c r="N19" s="89">
        <v>19.100000000000001</v>
      </c>
      <c r="O19" s="89">
        <v>19.3</v>
      </c>
      <c r="P19" s="89">
        <v>19.3</v>
      </c>
      <c r="Q19" s="89">
        <v>19.399999999999999</v>
      </c>
      <c r="R19" s="89">
        <v>19.600000000000001</v>
      </c>
    </row>
    <row r="20" spans="1:18" x14ac:dyDescent="0.25">
      <c r="A20" s="84">
        <v>19</v>
      </c>
      <c r="B20" s="84" t="s">
        <v>19</v>
      </c>
      <c r="C20" s="89">
        <v>23.1</v>
      </c>
      <c r="D20" s="89">
        <v>23.7</v>
      </c>
      <c r="E20" s="89">
        <v>24.4</v>
      </c>
      <c r="F20" s="89">
        <v>24.9</v>
      </c>
      <c r="G20" s="89">
        <v>25.2</v>
      </c>
      <c r="H20" s="89">
        <v>25.7</v>
      </c>
      <c r="I20" s="89">
        <v>25.4</v>
      </c>
      <c r="J20" s="89">
        <v>25.9</v>
      </c>
      <c r="K20" s="89">
        <v>25.9</v>
      </c>
      <c r="L20" s="89">
        <v>26.4</v>
      </c>
      <c r="M20" s="89">
        <v>25.8</v>
      </c>
      <c r="N20" s="89">
        <v>26</v>
      </c>
      <c r="O20" s="89">
        <v>26.2</v>
      </c>
      <c r="P20" s="89">
        <v>26.9</v>
      </c>
      <c r="Q20" s="89">
        <v>27.3</v>
      </c>
      <c r="R20" s="89">
        <v>27.9</v>
      </c>
    </row>
    <row r="21" spans="1:18" x14ac:dyDescent="0.25">
      <c r="A21" s="84">
        <v>20</v>
      </c>
      <c r="B21" s="84" t="s">
        <v>20</v>
      </c>
      <c r="C21" s="89">
        <v>23.1</v>
      </c>
      <c r="D21" s="89">
        <v>23.7</v>
      </c>
      <c r="E21" s="89">
        <v>24</v>
      </c>
      <c r="F21" s="89">
        <v>24.3</v>
      </c>
      <c r="G21" s="89">
        <v>24.3</v>
      </c>
      <c r="H21" s="89">
        <v>24.7</v>
      </c>
      <c r="I21" s="89">
        <v>25</v>
      </c>
      <c r="J21" s="89">
        <v>25.4</v>
      </c>
      <c r="K21" s="89">
        <v>25.5</v>
      </c>
      <c r="L21" s="89">
        <v>25.9</v>
      </c>
      <c r="M21" s="89">
        <v>26.7</v>
      </c>
      <c r="N21" s="89">
        <v>27.1</v>
      </c>
      <c r="O21" s="89">
        <v>27.9</v>
      </c>
      <c r="P21" s="89">
        <v>28.7</v>
      </c>
      <c r="Q21" s="89">
        <v>28.6</v>
      </c>
      <c r="R21" s="89">
        <v>28.9</v>
      </c>
    </row>
    <row r="22" spans="1:18" x14ac:dyDescent="0.25">
      <c r="A22" s="84">
        <v>21</v>
      </c>
      <c r="B22" s="84" t="s">
        <v>21</v>
      </c>
      <c r="C22" s="89">
        <v>23.5</v>
      </c>
      <c r="D22" s="89">
        <v>23.8</v>
      </c>
      <c r="E22" s="89">
        <v>24.1</v>
      </c>
      <c r="F22" s="89">
        <v>24.6</v>
      </c>
      <c r="G22" s="89">
        <v>24.9</v>
      </c>
      <c r="H22" s="89">
        <v>25.3</v>
      </c>
      <c r="I22" s="89">
        <v>25.4</v>
      </c>
      <c r="J22" s="89">
        <v>25.9</v>
      </c>
      <c r="K22" s="89">
        <v>25.6</v>
      </c>
      <c r="L22" s="89">
        <v>26.1</v>
      </c>
      <c r="M22" s="89">
        <v>26.6</v>
      </c>
      <c r="N22" s="89">
        <v>27</v>
      </c>
      <c r="O22" s="89">
        <v>27.5</v>
      </c>
      <c r="P22" s="89">
        <v>28</v>
      </c>
      <c r="Q22" s="89">
        <v>28.4</v>
      </c>
      <c r="R22" s="89">
        <v>28.9</v>
      </c>
    </row>
    <row r="23" spans="1:18" x14ac:dyDescent="0.25">
      <c r="A23" s="84">
        <v>22</v>
      </c>
      <c r="B23" s="84" t="s">
        <v>22</v>
      </c>
      <c r="C23" s="89">
        <v>23.8</v>
      </c>
      <c r="D23" s="89">
        <v>24.1</v>
      </c>
      <c r="E23" s="89">
        <v>24.7</v>
      </c>
      <c r="F23" s="89">
        <v>25.1</v>
      </c>
      <c r="G23" s="89">
        <v>25.6</v>
      </c>
      <c r="H23" s="89">
        <v>26.1</v>
      </c>
      <c r="I23" s="89">
        <v>26.7</v>
      </c>
      <c r="J23" s="89">
        <v>27</v>
      </c>
      <c r="K23" s="89">
        <v>27.1</v>
      </c>
      <c r="L23" s="89">
        <v>28</v>
      </c>
      <c r="M23" s="89">
        <v>28.5</v>
      </c>
      <c r="N23" s="89">
        <v>29.1</v>
      </c>
      <c r="O23" s="89">
        <v>29.6</v>
      </c>
      <c r="P23" s="89">
        <v>30.2</v>
      </c>
      <c r="Q23" s="89">
        <v>31.1</v>
      </c>
      <c r="R23" s="89">
        <v>31.6</v>
      </c>
    </row>
    <row r="24" spans="1:18" x14ac:dyDescent="0.25">
      <c r="A24" s="84">
        <v>23</v>
      </c>
      <c r="B24" s="84" t="s">
        <v>23</v>
      </c>
      <c r="C24" s="89">
        <v>20</v>
      </c>
      <c r="D24" s="89">
        <v>20.5</v>
      </c>
      <c r="E24" s="89">
        <v>21.3</v>
      </c>
      <c r="F24" s="89">
        <v>22.2</v>
      </c>
      <c r="G24" s="89">
        <v>23</v>
      </c>
      <c r="H24" s="89">
        <v>23.6</v>
      </c>
      <c r="I24" s="89">
        <v>24</v>
      </c>
      <c r="J24" s="89">
        <v>24.3</v>
      </c>
      <c r="K24" s="89">
        <v>24.9</v>
      </c>
      <c r="L24" s="89">
        <v>25.6</v>
      </c>
      <c r="M24" s="89">
        <v>26.7</v>
      </c>
      <c r="N24" s="89">
        <v>27.5</v>
      </c>
      <c r="O24" s="89">
        <v>28.1</v>
      </c>
      <c r="P24" s="89">
        <v>28.2</v>
      </c>
      <c r="Q24" s="89">
        <v>28.9</v>
      </c>
      <c r="R24" s="89">
        <v>31.5</v>
      </c>
    </row>
    <row r="25" spans="1:18" x14ac:dyDescent="0.25">
      <c r="A25" s="84">
        <v>24</v>
      </c>
      <c r="B25" s="84" t="s">
        <v>24</v>
      </c>
      <c r="C25" s="89">
        <v>23.5</v>
      </c>
      <c r="D25" s="89">
        <v>23.8</v>
      </c>
      <c r="E25" s="89">
        <v>24.4</v>
      </c>
      <c r="F25" s="89">
        <v>24.9</v>
      </c>
      <c r="G25" s="89">
        <v>25.4</v>
      </c>
      <c r="H25" s="89">
        <v>25.8</v>
      </c>
      <c r="I25" s="89">
        <v>26.2</v>
      </c>
      <c r="J25" s="89">
        <v>26.6</v>
      </c>
      <c r="K25" s="89">
        <v>22.2</v>
      </c>
      <c r="L25" s="89">
        <v>24.5</v>
      </c>
      <c r="M25" s="89">
        <v>25.7</v>
      </c>
      <c r="N25" s="89">
        <v>27.1</v>
      </c>
      <c r="O25" s="89">
        <v>28.4</v>
      </c>
      <c r="P25" s="89">
        <v>29</v>
      </c>
      <c r="Q25" s="89">
        <v>29.7</v>
      </c>
      <c r="R25" s="89">
        <v>30.6</v>
      </c>
    </row>
    <row r="26" spans="1:18" x14ac:dyDescent="0.25">
      <c r="A26" s="84">
        <v>25</v>
      </c>
      <c r="B26" s="84" t="s">
        <v>25</v>
      </c>
      <c r="C26" s="89">
        <v>23.2</v>
      </c>
      <c r="D26" s="89">
        <v>23.6</v>
      </c>
      <c r="E26" s="89">
        <v>23.8</v>
      </c>
      <c r="F26" s="89">
        <v>24</v>
      </c>
      <c r="G26" s="89">
        <v>24.2</v>
      </c>
      <c r="H26" s="89">
        <v>24.3</v>
      </c>
      <c r="I26" s="89">
        <v>24.5</v>
      </c>
      <c r="J26" s="89">
        <v>24.7</v>
      </c>
      <c r="K26" s="89">
        <v>24.5</v>
      </c>
      <c r="L26" s="89">
        <v>24.7</v>
      </c>
      <c r="M26" s="89">
        <v>25.1</v>
      </c>
      <c r="N26" s="89">
        <v>25.1</v>
      </c>
      <c r="O26" s="89">
        <v>25.3</v>
      </c>
      <c r="P26" s="89">
        <v>25.4</v>
      </c>
      <c r="Q26" s="89">
        <v>25.5</v>
      </c>
      <c r="R26" s="89">
        <v>25.9</v>
      </c>
    </row>
    <row r="27" spans="1:18" x14ac:dyDescent="0.25">
      <c r="A27" s="84">
        <v>26</v>
      </c>
      <c r="B27" s="84" t="s">
        <v>26</v>
      </c>
      <c r="C27" s="89">
        <v>24.7</v>
      </c>
      <c r="D27" s="89">
        <v>25.2</v>
      </c>
      <c r="E27" s="89">
        <v>25.7</v>
      </c>
      <c r="F27" s="89">
        <v>26.3</v>
      </c>
      <c r="G27" s="89">
        <v>27</v>
      </c>
      <c r="H27" s="89">
        <v>27.6</v>
      </c>
      <c r="I27" s="89">
        <v>28</v>
      </c>
      <c r="J27" s="89">
        <v>28.7</v>
      </c>
      <c r="K27" s="89">
        <v>28.7</v>
      </c>
      <c r="L27" s="89">
        <v>29.4</v>
      </c>
      <c r="M27" s="89">
        <v>29.9</v>
      </c>
      <c r="N27" s="89">
        <v>30.6</v>
      </c>
      <c r="O27" s="89">
        <v>31.2</v>
      </c>
      <c r="P27" s="89">
        <v>31.9</v>
      </c>
      <c r="Q27" s="89">
        <v>32.6</v>
      </c>
      <c r="R27" s="89">
        <v>33.299999999999997</v>
      </c>
    </row>
    <row r="28" spans="1:18" x14ac:dyDescent="0.25">
      <c r="A28" s="84">
        <v>27</v>
      </c>
      <c r="B28" s="84" t="s">
        <v>27</v>
      </c>
      <c r="C28" s="89">
        <v>25.6</v>
      </c>
      <c r="D28" s="89">
        <v>26.2</v>
      </c>
      <c r="E28" s="89">
        <v>26.6</v>
      </c>
      <c r="F28" s="89">
        <v>27.5</v>
      </c>
      <c r="G28" s="89">
        <v>27.8</v>
      </c>
      <c r="H28" s="89">
        <v>28.1</v>
      </c>
      <c r="I28" s="89">
        <v>28.2</v>
      </c>
      <c r="J28" s="89">
        <v>28.5</v>
      </c>
      <c r="K28" s="89">
        <v>28.6</v>
      </c>
      <c r="L28" s="89">
        <v>28.7</v>
      </c>
      <c r="M28" s="89">
        <v>29.4</v>
      </c>
      <c r="N28" s="89">
        <v>29.8</v>
      </c>
      <c r="O28" s="89">
        <v>30.4</v>
      </c>
      <c r="P28" s="89">
        <v>31.1</v>
      </c>
      <c r="Q28" s="89">
        <v>31.7</v>
      </c>
      <c r="R28" s="89">
        <v>32.5</v>
      </c>
    </row>
    <row r="29" spans="1:18" x14ac:dyDescent="0.25">
      <c r="A29" s="84">
        <v>28</v>
      </c>
      <c r="B29" s="84" t="s">
        <v>28</v>
      </c>
      <c r="C29" s="89">
        <v>21.3</v>
      </c>
      <c r="D29" s="89">
        <v>21.6</v>
      </c>
      <c r="E29" s="89">
        <v>22.2</v>
      </c>
      <c r="F29" s="89">
        <v>22.5</v>
      </c>
      <c r="G29" s="89">
        <v>22.7</v>
      </c>
      <c r="H29" s="89">
        <v>23</v>
      </c>
      <c r="I29" s="89">
        <v>23.3</v>
      </c>
      <c r="J29" s="89">
        <v>23.8</v>
      </c>
      <c r="K29" s="89">
        <v>23.3</v>
      </c>
      <c r="L29" s="89">
        <v>21.4</v>
      </c>
      <c r="M29" s="89">
        <v>23.6</v>
      </c>
      <c r="N29" s="89">
        <v>24.3</v>
      </c>
      <c r="O29" s="89">
        <v>24.9</v>
      </c>
      <c r="P29" s="89">
        <v>25.4</v>
      </c>
      <c r="Q29" s="89">
        <v>26.2</v>
      </c>
      <c r="R29" s="89">
        <v>27</v>
      </c>
    </row>
    <row r="30" spans="1:18" x14ac:dyDescent="0.25">
      <c r="A30" s="84">
        <v>29</v>
      </c>
      <c r="B30" s="84" t="s">
        <v>29</v>
      </c>
      <c r="C30" s="89">
        <v>23.3</v>
      </c>
      <c r="D30" s="89">
        <v>23.2</v>
      </c>
      <c r="E30" s="89">
        <v>23.4</v>
      </c>
      <c r="F30" s="89">
        <v>24.4</v>
      </c>
      <c r="G30" s="89">
        <v>24.6</v>
      </c>
      <c r="H30" s="89">
        <v>24.3</v>
      </c>
      <c r="I30" s="89">
        <v>24.4</v>
      </c>
      <c r="J30" s="89">
        <v>24.5</v>
      </c>
      <c r="K30" s="89">
        <v>24.4</v>
      </c>
      <c r="L30" s="89">
        <v>25.6</v>
      </c>
      <c r="M30" s="89">
        <v>25.8</v>
      </c>
      <c r="N30" s="89">
        <v>26.6</v>
      </c>
      <c r="O30" s="89">
        <v>26.7</v>
      </c>
      <c r="P30" s="89">
        <v>27</v>
      </c>
      <c r="Q30" s="89">
        <v>26.9</v>
      </c>
      <c r="R30" s="89">
        <v>27.6</v>
      </c>
    </row>
    <row r="31" spans="1:18" x14ac:dyDescent="0.25">
      <c r="A31" s="84">
        <v>30</v>
      </c>
      <c r="B31" s="84" t="s">
        <v>30</v>
      </c>
      <c r="C31" s="89">
        <v>19.899999999999999</v>
      </c>
      <c r="D31" s="89">
        <v>20.100000000000001</v>
      </c>
      <c r="E31" s="89">
        <v>20.5</v>
      </c>
      <c r="F31" s="89">
        <v>20.9</v>
      </c>
      <c r="G31" s="89">
        <v>21.2</v>
      </c>
      <c r="H31" s="89">
        <v>21.5</v>
      </c>
      <c r="I31" s="89">
        <v>22</v>
      </c>
      <c r="J31" s="89">
        <v>22.2</v>
      </c>
      <c r="K31" s="89">
        <v>22.8</v>
      </c>
      <c r="L31" s="89">
        <v>23.3</v>
      </c>
      <c r="M31" s="89">
        <v>24</v>
      </c>
      <c r="N31" s="89">
        <v>24.3</v>
      </c>
      <c r="O31" s="89">
        <v>24.2</v>
      </c>
      <c r="P31" s="89">
        <v>24.7</v>
      </c>
      <c r="Q31" s="89">
        <v>25.2</v>
      </c>
      <c r="R31" s="89">
        <v>25.6</v>
      </c>
    </row>
    <row r="32" spans="1:18" x14ac:dyDescent="0.25">
      <c r="A32" s="84">
        <v>31</v>
      </c>
      <c r="B32" s="84" t="s">
        <v>31</v>
      </c>
      <c r="C32" s="84"/>
      <c r="D32" s="84"/>
      <c r="E32" s="84"/>
      <c r="F32" s="84"/>
      <c r="G32" s="84"/>
      <c r="H32" s="84"/>
      <c r="I32" s="84"/>
      <c r="J32" s="89"/>
      <c r="K32" s="89"/>
      <c r="L32" s="89">
        <v>15.4</v>
      </c>
      <c r="M32" s="89">
        <v>16.3</v>
      </c>
      <c r="N32" s="89">
        <v>17.100000000000001</v>
      </c>
      <c r="O32" s="89">
        <v>17.5</v>
      </c>
      <c r="P32" s="89">
        <v>18.100000000000001</v>
      </c>
      <c r="Q32" s="89">
        <v>18.899999999999999</v>
      </c>
      <c r="R32" s="89">
        <v>19.7</v>
      </c>
    </row>
    <row r="33" spans="1:18" x14ac:dyDescent="0.25">
      <c r="A33" s="84">
        <v>32</v>
      </c>
      <c r="B33" s="84" t="s">
        <v>32</v>
      </c>
      <c r="C33" s="89">
        <v>19.3</v>
      </c>
      <c r="D33" s="89">
        <v>19.7</v>
      </c>
      <c r="E33" s="89">
        <v>20.3</v>
      </c>
      <c r="F33" s="89">
        <v>20.9</v>
      </c>
      <c r="G33" s="89">
        <v>21.6</v>
      </c>
      <c r="H33" s="89">
        <v>22.4</v>
      </c>
      <c r="I33" s="89">
        <v>22.6</v>
      </c>
      <c r="J33" s="89">
        <v>23.1</v>
      </c>
      <c r="K33" s="89">
        <v>23.3</v>
      </c>
      <c r="L33" s="89">
        <v>23.8</v>
      </c>
      <c r="M33" s="89">
        <v>24.4</v>
      </c>
      <c r="N33" s="89">
        <v>25</v>
      </c>
      <c r="O33" s="89">
        <v>25.7</v>
      </c>
      <c r="P33" s="89">
        <v>26.4</v>
      </c>
      <c r="Q33" s="89">
        <v>27.2</v>
      </c>
      <c r="R33" s="89">
        <v>28.2</v>
      </c>
    </row>
    <row r="34" spans="1:18" x14ac:dyDescent="0.25">
      <c r="A34" s="84">
        <v>33</v>
      </c>
      <c r="B34" s="84" t="s">
        <v>33</v>
      </c>
      <c r="C34" s="89">
        <v>19.2</v>
      </c>
      <c r="D34" s="89">
        <v>19.5</v>
      </c>
      <c r="E34" s="89">
        <v>19.7</v>
      </c>
      <c r="F34" s="89">
        <v>20.100000000000001</v>
      </c>
      <c r="G34" s="89">
        <v>20.6</v>
      </c>
      <c r="H34" s="89">
        <v>21</v>
      </c>
      <c r="I34" s="89">
        <v>21.4</v>
      </c>
      <c r="J34" s="89">
        <v>21.8</v>
      </c>
      <c r="K34" s="89">
        <v>21.9</v>
      </c>
      <c r="L34" s="89">
        <v>22.3</v>
      </c>
      <c r="M34" s="89">
        <v>22.8</v>
      </c>
      <c r="N34" s="89">
        <v>23.4</v>
      </c>
      <c r="O34" s="89">
        <v>23.7</v>
      </c>
      <c r="P34" s="89">
        <v>24.1</v>
      </c>
      <c r="Q34" s="89">
        <v>24.5</v>
      </c>
      <c r="R34" s="89">
        <v>25</v>
      </c>
    </row>
    <row r="35" spans="1:18" x14ac:dyDescent="0.25">
      <c r="A35" s="84">
        <v>34</v>
      </c>
      <c r="B35" s="84" t="s">
        <v>34</v>
      </c>
      <c r="C35" s="89">
        <v>20</v>
      </c>
      <c r="D35" s="89">
        <v>20.399999999999999</v>
      </c>
      <c r="E35" s="89">
        <v>20.7</v>
      </c>
      <c r="F35" s="89">
        <v>21.1</v>
      </c>
      <c r="G35" s="89">
        <v>21</v>
      </c>
      <c r="H35" s="89">
        <v>21.3</v>
      </c>
      <c r="I35" s="89">
        <v>21.6</v>
      </c>
      <c r="J35" s="89">
        <v>22</v>
      </c>
      <c r="K35" s="89">
        <v>22.3</v>
      </c>
      <c r="L35" s="89">
        <v>22.8</v>
      </c>
      <c r="M35" s="89">
        <v>23.3</v>
      </c>
      <c r="N35" s="89">
        <v>23.7</v>
      </c>
      <c r="O35" s="89">
        <v>24</v>
      </c>
      <c r="P35" s="89">
        <v>24.4</v>
      </c>
      <c r="Q35" s="89">
        <v>25</v>
      </c>
      <c r="R35" s="89">
        <v>25.3</v>
      </c>
    </row>
    <row r="36" spans="1:18" x14ac:dyDescent="0.25">
      <c r="A36" s="84">
        <v>35</v>
      </c>
      <c r="B36" s="84" t="s">
        <v>35</v>
      </c>
      <c r="C36" s="89">
        <v>19.7</v>
      </c>
      <c r="D36" s="89">
        <v>20</v>
      </c>
      <c r="E36" s="89">
        <v>20.399999999999999</v>
      </c>
      <c r="F36" s="89">
        <v>20.7</v>
      </c>
      <c r="G36" s="89">
        <v>21</v>
      </c>
      <c r="H36" s="89">
        <v>21.6</v>
      </c>
      <c r="I36" s="89">
        <v>21.9</v>
      </c>
      <c r="J36" s="89">
        <v>22.3</v>
      </c>
      <c r="K36" s="89">
        <v>22.8</v>
      </c>
      <c r="L36" s="89">
        <v>23.2</v>
      </c>
      <c r="M36" s="89">
        <v>23.6</v>
      </c>
      <c r="N36" s="89">
        <v>24.1</v>
      </c>
      <c r="O36" s="89">
        <v>24.7</v>
      </c>
      <c r="P36" s="89">
        <v>25.3</v>
      </c>
      <c r="Q36" s="89">
        <v>25.8</v>
      </c>
      <c r="R36" s="89">
        <v>26.5</v>
      </c>
    </row>
    <row r="37" spans="1:18" x14ac:dyDescent="0.25">
      <c r="A37" s="84">
        <v>36</v>
      </c>
      <c r="B37" s="84" t="s">
        <v>36</v>
      </c>
      <c r="C37" s="84"/>
      <c r="D37" s="84"/>
      <c r="E37" s="84"/>
      <c r="F37" s="84"/>
      <c r="G37" s="84"/>
      <c r="H37" s="84"/>
      <c r="I37" s="84"/>
      <c r="J37" s="89"/>
      <c r="K37" s="89"/>
      <c r="L37" s="89">
        <v>21.2</v>
      </c>
      <c r="M37" s="89">
        <v>17.8</v>
      </c>
      <c r="N37" s="89">
        <v>18</v>
      </c>
      <c r="O37" s="89">
        <v>25.5</v>
      </c>
      <c r="P37" s="89">
        <v>28</v>
      </c>
      <c r="Q37" s="89">
        <v>28.8</v>
      </c>
      <c r="R37" s="89">
        <v>26.1</v>
      </c>
    </row>
    <row r="38" spans="1:18" x14ac:dyDescent="0.25">
      <c r="A38" s="84">
        <v>37</v>
      </c>
      <c r="B38" s="84" t="s">
        <v>37</v>
      </c>
      <c r="C38" s="89">
        <v>15.6</v>
      </c>
      <c r="D38" s="89">
        <v>15.7</v>
      </c>
      <c r="E38" s="89">
        <v>15.6</v>
      </c>
      <c r="F38" s="89">
        <v>15.8</v>
      </c>
      <c r="G38" s="89">
        <v>16</v>
      </c>
      <c r="H38" s="89">
        <v>16.2</v>
      </c>
      <c r="I38" s="89">
        <v>16.5</v>
      </c>
      <c r="J38" s="89">
        <v>16.899999999999999</v>
      </c>
      <c r="K38" s="89">
        <v>17.100000000000001</v>
      </c>
      <c r="L38" s="89">
        <v>17.7</v>
      </c>
      <c r="M38" s="89">
        <v>18.2</v>
      </c>
      <c r="N38" s="89">
        <v>18.7</v>
      </c>
      <c r="O38" s="89">
        <v>19.2</v>
      </c>
      <c r="P38" s="89">
        <v>19.399999999999999</v>
      </c>
      <c r="Q38" s="89">
        <v>19.7</v>
      </c>
      <c r="R38" s="89">
        <v>20</v>
      </c>
    </row>
    <row r="39" spans="1:18" x14ac:dyDescent="0.25">
      <c r="A39" s="84">
        <v>38</v>
      </c>
      <c r="B39" s="84" t="s">
        <v>38</v>
      </c>
      <c r="C39" s="89">
        <v>12.4</v>
      </c>
      <c r="D39" s="89">
        <v>12.9</v>
      </c>
      <c r="E39" s="89">
        <v>13.5</v>
      </c>
      <c r="F39" s="89">
        <v>13.6</v>
      </c>
      <c r="G39" s="89">
        <v>13.7</v>
      </c>
      <c r="H39" s="89">
        <v>13.9</v>
      </c>
      <c r="I39" s="89">
        <v>13.5</v>
      </c>
      <c r="J39" s="89">
        <v>13.3</v>
      </c>
      <c r="K39" s="89">
        <v>13.5</v>
      </c>
      <c r="L39" s="89">
        <v>13.7</v>
      </c>
      <c r="M39" s="89">
        <v>14.1</v>
      </c>
      <c r="N39" s="89">
        <v>14.8</v>
      </c>
      <c r="O39" s="89">
        <v>15</v>
      </c>
      <c r="P39" s="89">
        <v>15.3</v>
      </c>
      <c r="Q39" s="89">
        <v>15.5</v>
      </c>
      <c r="R39" s="89">
        <v>15.7</v>
      </c>
    </row>
    <row r="40" spans="1:18" x14ac:dyDescent="0.25">
      <c r="A40" s="84">
        <v>39</v>
      </c>
      <c r="B40" s="84" t="s">
        <v>42</v>
      </c>
      <c r="C40" s="89">
        <v>1E-4</v>
      </c>
      <c r="D40" s="89">
        <v>4.2</v>
      </c>
      <c r="E40" s="89">
        <v>5</v>
      </c>
      <c r="F40" s="89">
        <v>6.3</v>
      </c>
      <c r="G40" s="89">
        <v>10.7</v>
      </c>
      <c r="H40" s="89">
        <v>12</v>
      </c>
      <c r="I40" s="89">
        <v>13.8</v>
      </c>
      <c r="J40" s="89">
        <v>18.399999999999999</v>
      </c>
      <c r="K40" s="89">
        <v>18.7</v>
      </c>
      <c r="L40" s="89">
        <v>18.8</v>
      </c>
      <c r="M40" s="89">
        <v>18.899999999999999</v>
      </c>
      <c r="N40" s="89">
        <v>19.100000000000001</v>
      </c>
      <c r="O40" s="89">
        <v>19.399999999999999</v>
      </c>
      <c r="P40" s="89">
        <v>20.5</v>
      </c>
      <c r="Q40" s="89">
        <v>20.8</v>
      </c>
      <c r="R40" s="89">
        <v>21.3</v>
      </c>
    </row>
    <row r="41" spans="1:18" x14ac:dyDescent="0.25">
      <c r="A41" s="84">
        <v>40</v>
      </c>
      <c r="B41" s="84" t="s">
        <v>39</v>
      </c>
      <c r="C41" s="89">
        <v>16.8</v>
      </c>
      <c r="D41" s="89">
        <v>17.100000000000001</v>
      </c>
      <c r="E41" s="89">
        <v>17.3</v>
      </c>
      <c r="F41" s="89">
        <v>17.600000000000001</v>
      </c>
      <c r="G41" s="89">
        <v>17.8</v>
      </c>
      <c r="H41" s="89">
        <v>18</v>
      </c>
      <c r="I41" s="89">
        <v>18.2</v>
      </c>
      <c r="J41" s="89">
        <v>20</v>
      </c>
      <c r="K41" s="89">
        <v>20.100000000000001</v>
      </c>
      <c r="L41" s="89">
        <v>20.399999999999999</v>
      </c>
      <c r="M41" s="89">
        <v>20.6</v>
      </c>
      <c r="N41" s="89">
        <v>20.7</v>
      </c>
      <c r="O41" s="89">
        <v>20.9</v>
      </c>
      <c r="P41" s="89">
        <v>21.1</v>
      </c>
      <c r="Q41" s="89">
        <v>21.6</v>
      </c>
      <c r="R41" s="89">
        <v>21.8</v>
      </c>
    </row>
    <row r="42" spans="1:18" x14ac:dyDescent="0.25">
      <c r="A42" s="84">
        <v>41</v>
      </c>
      <c r="B42" s="84" t="s">
        <v>43</v>
      </c>
      <c r="C42" s="89">
        <v>17.899999999999999</v>
      </c>
      <c r="D42" s="89">
        <v>17.8</v>
      </c>
      <c r="E42" s="89">
        <v>18</v>
      </c>
      <c r="F42" s="89">
        <v>18.3</v>
      </c>
      <c r="G42" s="89">
        <v>18.5</v>
      </c>
      <c r="H42" s="89">
        <v>18.8</v>
      </c>
      <c r="I42" s="89">
        <v>19.399999999999999</v>
      </c>
      <c r="J42" s="89">
        <v>26.5</v>
      </c>
      <c r="K42" s="89">
        <v>26.9</v>
      </c>
      <c r="L42" s="89">
        <v>27.1</v>
      </c>
      <c r="M42" s="89">
        <v>27.6</v>
      </c>
      <c r="N42" s="89">
        <v>28</v>
      </c>
      <c r="O42" s="89">
        <v>28.4</v>
      </c>
      <c r="P42" s="89">
        <v>28.7</v>
      </c>
      <c r="Q42" s="89">
        <v>29.2</v>
      </c>
      <c r="R42" s="89">
        <v>29.6</v>
      </c>
    </row>
    <row r="43" spans="1:18" x14ac:dyDescent="0.25">
      <c r="A43" s="84">
        <v>42</v>
      </c>
      <c r="B43" s="84" t="s">
        <v>40</v>
      </c>
      <c r="C43" s="89">
        <v>25.3</v>
      </c>
      <c r="D43" s="89">
        <v>25.4</v>
      </c>
      <c r="E43" s="89">
        <v>25.5</v>
      </c>
      <c r="F43" s="89">
        <v>25.7</v>
      </c>
      <c r="G43" s="89">
        <v>25.8</v>
      </c>
      <c r="H43" s="89">
        <v>26.1</v>
      </c>
      <c r="I43" s="89">
        <v>26.3</v>
      </c>
      <c r="J43" s="89">
        <v>16.100000000000001</v>
      </c>
      <c r="K43" s="89">
        <v>18.100000000000001</v>
      </c>
      <c r="L43" s="89">
        <v>18</v>
      </c>
      <c r="M43" s="89">
        <v>17.5</v>
      </c>
      <c r="N43" s="89">
        <v>17.600000000000001</v>
      </c>
      <c r="O43" s="89">
        <v>18.100000000000001</v>
      </c>
      <c r="P43" s="89">
        <v>19</v>
      </c>
      <c r="Q43" s="89">
        <v>20.100000000000001</v>
      </c>
      <c r="R43" s="89">
        <v>20.3</v>
      </c>
    </row>
    <row r="44" spans="1:18" x14ac:dyDescent="0.25">
      <c r="A44" s="84">
        <v>43</v>
      </c>
      <c r="B44" s="84" t="s">
        <v>41</v>
      </c>
      <c r="C44" s="89">
        <v>19.600000000000001</v>
      </c>
      <c r="D44" s="89">
        <v>19.899999999999999</v>
      </c>
      <c r="E44" s="89">
        <v>20.100000000000001</v>
      </c>
      <c r="F44" s="89">
        <v>20.7</v>
      </c>
      <c r="G44" s="89">
        <v>20.9</v>
      </c>
      <c r="H44" s="89">
        <v>21.3</v>
      </c>
      <c r="I44" s="89">
        <v>21.8</v>
      </c>
      <c r="J44" s="89">
        <v>22.1</v>
      </c>
      <c r="K44" s="89">
        <v>22.5</v>
      </c>
      <c r="L44" s="89">
        <v>23.1</v>
      </c>
      <c r="M44" s="89">
        <v>23.7</v>
      </c>
      <c r="N44" s="89">
        <v>23.9</v>
      </c>
      <c r="O44" s="89">
        <v>24.3</v>
      </c>
      <c r="P44" s="89">
        <v>24.7</v>
      </c>
      <c r="Q44" s="89">
        <v>24.7</v>
      </c>
      <c r="R44" s="89">
        <v>25.4</v>
      </c>
    </row>
    <row r="45" spans="1:18" x14ac:dyDescent="0.25">
      <c r="A45" s="84">
        <v>44</v>
      </c>
      <c r="B45" s="84" t="s">
        <v>44</v>
      </c>
      <c r="C45" s="89">
        <v>19.100000000000001</v>
      </c>
      <c r="D45" s="89">
        <v>19.600000000000001</v>
      </c>
      <c r="E45" s="89">
        <v>19.899999999999999</v>
      </c>
      <c r="F45" s="89">
        <v>20.5</v>
      </c>
      <c r="G45" s="89">
        <v>21.1</v>
      </c>
      <c r="H45" s="89">
        <v>21.5</v>
      </c>
      <c r="I45" s="89">
        <v>22</v>
      </c>
      <c r="J45" s="89">
        <v>22.6</v>
      </c>
      <c r="K45" s="89">
        <v>23.1</v>
      </c>
      <c r="L45" s="89">
        <v>23.7</v>
      </c>
      <c r="M45" s="89">
        <v>24.2</v>
      </c>
      <c r="N45" s="89">
        <v>24.8</v>
      </c>
      <c r="O45" s="89">
        <v>25.4</v>
      </c>
      <c r="P45" s="89">
        <v>26</v>
      </c>
      <c r="Q45" s="89">
        <v>26.6</v>
      </c>
      <c r="R45" s="89">
        <v>27.3</v>
      </c>
    </row>
    <row r="46" spans="1:18" x14ac:dyDescent="0.25">
      <c r="A46" s="84">
        <v>45</v>
      </c>
      <c r="B46" s="84" t="s">
        <v>45</v>
      </c>
      <c r="C46" s="89">
        <v>20.7</v>
      </c>
      <c r="D46" s="89">
        <v>20.8</v>
      </c>
      <c r="E46" s="89">
        <v>21.1</v>
      </c>
      <c r="F46" s="89">
        <v>21.5</v>
      </c>
      <c r="G46" s="89">
        <v>22</v>
      </c>
      <c r="H46" s="89">
        <v>22.4</v>
      </c>
      <c r="I46" s="89">
        <v>22.7</v>
      </c>
      <c r="J46" s="89">
        <v>23.2</v>
      </c>
      <c r="K46" s="89">
        <v>23.5</v>
      </c>
      <c r="L46" s="89">
        <v>24</v>
      </c>
      <c r="M46" s="89">
        <v>24.7</v>
      </c>
      <c r="N46" s="89">
        <v>25.6</v>
      </c>
      <c r="O46" s="89">
        <v>26.4</v>
      </c>
      <c r="P46" s="89">
        <v>26.9</v>
      </c>
      <c r="Q46" s="89">
        <v>27.7</v>
      </c>
      <c r="R46" s="89">
        <v>28.4</v>
      </c>
    </row>
    <row r="47" spans="1:18" x14ac:dyDescent="0.25">
      <c r="A47" s="84">
        <v>46</v>
      </c>
      <c r="B47" s="84" t="s">
        <v>46</v>
      </c>
      <c r="C47" s="89">
        <v>21.8</v>
      </c>
      <c r="D47" s="89">
        <v>22.2</v>
      </c>
      <c r="E47" s="89">
        <v>22.6</v>
      </c>
      <c r="F47" s="89">
        <v>23</v>
      </c>
      <c r="G47" s="89">
        <v>23.5</v>
      </c>
      <c r="H47" s="89">
        <v>24</v>
      </c>
      <c r="I47" s="89">
        <v>24.5</v>
      </c>
      <c r="J47" s="89">
        <v>25</v>
      </c>
      <c r="K47" s="89">
        <v>25.5</v>
      </c>
      <c r="L47" s="89">
        <v>26</v>
      </c>
      <c r="M47" s="89">
        <v>26.4</v>
      </c>
      <c r="N47" s="89">
        <v>26.7</v>
      </c>
      <c r="O47" s="89">
        <v>27.2</v>
      </c>
      <c r="P47" s="89">
        <v>27.9</v>
      </c>
      <c r="Q47" s="89">
        <v>28.5</v>
      </c>
      <c r="R47" s="89">
        <v>29.2</v>
      </c>
    </row>
    <row r="48" spans="1:18" x14ac:dyDescent="0.25">
      <c r="A48" s="84">
        <v>47</v>
      </c>
      <c r="B48" s="84" t="s">
        <v>47</v>
      </c>
      <c r="C48" s="89">
        <v>20.5</v>
      </c>
      <c r="D48" s="89">
        <v>20.8</v>
      </c>
      <c r="E48" s="89">
        <v>21.3</v>
      </c>
      <c r="F48" s="89">
        <v>21.8</v>
      </c>
      <c r="G48" s="89">
        <v>22.1</v>
      </c>
      <c r="H48" s="89">
        <v>22.8</v>
      </c>
      <c r="I48" s="89">
        <v>23.3</v>
      </c>
      <c r="J48" s="89">
        <v>23.7</v>
      </c>
      <c r="K48" s="89">
        <v>24.2</v>
      </c>
      <c r="L48" s="89">
        <v>24.7</v>
      </c>
      <c r="M48" s="89">
        <v>25.2</v>
      </c>
      <c r="N48" s="89">
        <v>25.7</v>
      </c>
      <c r="O48" s="89">
        <v>26.2</v>
      </c>
      <c r="P48" s="89">
        <v>26.7</v>
      </c>
      <c r="Q48" s="89">
        <v>27.3</v>
      </c>
      <c r="R48" s="89">
        <v>28</v>
      </c>
    </row>
    <row r="49" spans="1:18" x14ac:dyDescent="0.25">
      <c r="A49" s="84">
        <v>48</v>
      </c>
      <c r="B49" s="84" t="s">
        <v>48</v>
      </c>
      <c r="C49" s="89">
        <v>18.399999999999999</v>
      </c>
      <c r="D49" s="89">
        <v>18.899999999999999</v>
      </c>
      <c r="E49" s="89">
        <v>19.399999999999999</v>
      </c>
      <c r="F49" s="89">
        <v>19.5</v>
      </c>
      <c r="G49" s="89">
        <v>19.600000000000001</v>
      </c>
      <c r="H49" s="89">
        <v>20</v>
      </c>
      <c r="I49" s="89">
        <v>20.3</v>
      </c>
      <c r="J49" s="89">
        <v>20.6</v>
      </c>
      <c r="K49" s="89">
        <v>20.9</v>
      </c>
      <c r="L49" s="89">
        <v>21.2</v>
      </c>
      <c r="M49" s="89">
        <v>21.6</v>
      </c>
      <c r="N49" s="89">
        <v>21.7</v>
      </c>
      <c r="O49" s="89">
        <v>22.1</v>
      </c>
      <c r="P49" s="89">
        <v>22.5</v>
      </c>
      <c r="Q49" s="89">
        <v>23.1</v>
      </c>
      <c r="R49" s="89">
        <v>23.7</v>
      </c>
    </row>
    <row r="50" spans="1:18" x14ac:dyDescent="0.25">
      <c r="A50" s="84">
        <v>49</v>
      </c>
      <c r="B50" s="84" t="s">
        <v>49</v>
      </c>
      <c r="C50" s="89">
        <v>20.8</v>
      </c>
      <c r="D50" s="89">
        <v>21.3</v>
      </c>
      <c r="E50" s="89">
        <v>21.9</v>
      </c>
      <c r="F50" s="89">
        <v>22.3</v>
      </c>
      <c r="G50" s="89">
        <v>22.7</v>
      </c>
      <c r="H50" s="89">
        <v>23.3</v>
      </c>
      <c r="I50" s="89">
        <v>23.8</v>
      </c>
      <c r="J50" s="89">
        <v>24.3</v>
      </c>
      <c r="K50" s="89">
        <v>24.8</v>
      </c>
      <c r="L50" s="89">
        <v>25.4</v>
      </c>
      <c r="M50" s="89">
        <v>26</v>
      </c>
      <c r="N50" s="89">
        <v>26.4</v>
      </c>
      <c r="O50" s="89">
        <v>26.9</v>
      </c>
      <c r="P50" s="89">
        <v>27.5</v>
      </c>
      <c r="Q50" s="89">
        <v>28.1</v>
      </c>
      <c r="R50" s="89">
        <v>28.8</v>
      </c>
    </row>
    <row r="51" spans="1:18" x14ac:dyDescent="0.25">
      <c r="A51" s="84">
        <v>50</v>
      </c>
      <c r="B51" s="84" t="s">
        <v>50</v>
      </c>
      <c r="C51" s="89">
        <v>19.8</v>
      </c>
      <c r="D51" s="89">
        <v>20.3</v>
      </c>
      <c r="E51" s="89">
        <v>20.7</v>
      </c>
      <c r="F51" s="89">
        <v>20.9</v>
      </c>
      <c r="G51" s="89">
        <v>21.2</v>
      </c>
      <c r="H51" s="89">
        <v>21.5</v>
      </c>
      <c r="I51" s="89">
        <v>21.8</v>
      </c>
      <c r="J51" s="89">
        <v>22.1</v>
      </c>
      <c r="K51" s="89">
        <v>22.4</v>
      </c>
      <c r="L51" s="89">
        <v>22.1</v>
      </c>
      <c r="M51" s="89">
        <v>23</v>
      </c>
      <c r="N51" s="89">
        <v>23.2</v>
      </c>
      <c r="O51" s="89">
        <v>23.6</v>
      </c>
      <c r="P51" s="89">
        <v>24.1</v>
      </c>
      <c r="Q51" s="89">
        <v>24.6</v>
      </c>
      <c r="R51" s="89">
        <v>25.3</v>
      </c>
    </row>
    <row r="52" spans="1:18" x14ac:dyDescent="0.25">
      <c r="A52" s="84">
        <v>51</v>
      </c>
      <c r="B52" s="84" t="s">
        <v>51</v>
      </c>
      <c r="C52" s="89">
        <v>21.2</v>
      </c>
      <c r="D52" s="89">
        <v>21.6</v>
      </c>
      <c r="E52" s="89">
        <v>21.9</v>
      </c>
      <c r="F52" s="89">
        <v>22.1</v>
      </c>
      <c r="G52" s="89">
        <v>22.5</v>
      </c>
      <c r="H52" s="89">
        <v>22.8</v>
      </c>
      <c r="I52" s="89">
        <v>23.2</v>
      </c>
      <c r="J52" s="89">
        <v>23.6</v>
      </c>
      <c r="K52" s="89">
        <v>24</v>
      </c>
      <c r="L52" s="89">
        <v>24.5</v>
      </c>
      <c r="M52" s="89">
        <v>25</v>
      </c>
      <c r="N52" s="89">
        <v>25.6</v>
      </c>
      <c r="O52" s="89">
        <v>26.1</v>
      </c>
      <c r="P52" s="89">
        <v>26.7</v>
      </c>
      <c r="Q52" s="89">
        <v>27.3</v>
      </c>
      <c r="R52" s="89">
        <v>27.9</v>
      </c>
    </row>
    <row r="53" spans="1:18" x14ac:dyDescent="0.25">
      <c r="A53" s="84">
        <v>52</v>
      </c>
      <c r="B53" s="84" t="s">
        <v>52</v>
      </c>
      <c r="C53" s="89">
        <v>22.1</v>
      </c>
      <c r="D53" s="89">
        <v>22.3</v>
      </c>
      <c r="E53" s="89">
        <v>22.7</v>
      </c>
      <c r="F53" s="89">
        <v>23.1</v>
      </c>
      <c r="G53" s="89">
        <v>23.6</v>
      </c>
      <c r="H53" s="89">
        <v>24</v>
      </c>
      <c r="I53" s="89">
        <v>24.4</v>
      </c>
      <c r="J53" s="89">
        <v>24.8</v>
      </c>
      <c r="K53" s="89">
        <v>25.1</v>
      </c>
      <c r="L53" s="89">
        <v>25.5</v>
      </c>
      <c r="M53" s="89">
        <v>26.1</v>
      </c>
      <c r="N53" s="89">
        <v>26.3</v>
      </c>
      <c r="O53" s="89">
        <v>26.7</v>
      </c>
      <c r="P53" s="89">
        <v>27.3</v>
      </c>
      <c r="Q53" s="89">
        <v>27.8</v>
      </c>
      <c r="R53" s="89">
        <v>28.4</v>
      </c>
    </row>
    <row r="54" spans="1:18" x14ac:dyDescent="0.25">
      <c r="A54" s="84">
        <v>53</v>
      </c>
      <c r="B54" s="84" t="s">
        <v>53</v>
      </c>
      <c r="C54" s="89">
        <v>20.3</v>
      </c>
      <c r="D54" s="89">
        <v>20.7</v>
      </c>
      <c r="E54" s="89">
        <v>20.9</v>
      </c>
      <c r="F54" s="89">
        <v>21.6</v>
      </c>
      <c r="G54" s="89">
        <v>22</v>
      </c>
      <c r="H54" s="89">
        <v>22.3</v>
      </c>
      <c r="I54" s="89">
        <v>22.7</v>
      </c>
      <c r="J54" s="89">
        <v>23.1</v>
      </c>
      <c r="K54" s="89">
        <v>23.4</v>
      </c>
      <c r="L54" s="89">
        <v>24</v>
      </c>
      <c r="M54" s="89">
        <v>24.7</v>
      </c>
      <c r="N54" s="89">
        <v>25.3</v>
      </c>
      <c r="O54" s="89">
        <v>25.7</v>
      </c>
      <c r="P54" s="89">
        <v>26.4</v>
      </c>
      <c r="Q54" s="89">
        <v>27</v>
      </c>
      <c r="R54" s="89">
        <v>27.7</v>
      </c>
    </row>
    <row r="55" spans="1:18" x14ac:dyDescent="0.25">
      <c r="A55" s="84">
        <v>54</v>
      </c>
      <c r="B55" s="84" t="s">
        <v>54</v>
      </c>
      <c r="C55" s="89">
        <v>21.8</v>
      </c>
      <c r="D55" s="89">
        <v>22.2</v>
      </c>
      <c r="E55" s="89">
        <v>22.6</v>
      </c>
      <c r="F55" s="89">
        <v>23.1</v>
      </c>
      <c r="G55" s="89">
        <v>23.6</v>
      </c>
      <c r="H55" s="89">
        <v>24.1</v>
      </c>
      <c r="I55" s="89">
        <v>24.8</v>
      </c>
      <c r="J55" s="89">
        <v>25.4</v>
      </c>
      <c r="K55" s="89">
        <v>25.8</v>
      </c>
      <c r="L55" s="89">
        <v>26.5</v>
      </c>
      <c r="M55" s="89">
        <v>27.3</v>
      </c>
      <c r="N55" s="89">
        <v>28.1</v>
      </c>
      <c r="O55" s="89">
        <v>28.9</v>
      </c>
      <c r="P55" s="89">
        <v>29.7</v>
      </c>
      <c r="Q55" s="89">
        <v>30.5</v>
      </c>
      <c r="R55" s="89">
        <v>31.4</v>
      </c>
    </row>
    <row r="56" spans="1:18" x14ac:dyDescent="0.25">
      <c r="A56" s="84">
        <v>55</v>
      </c>
      <c r="B56" s="84" t="s">
        <v>55</v>
      </c>
      <c r="C56" s="89">
        <v>20.5</v>
      </c>
      <c r="D56" s="89">
        <v>20.8</v>
      </c>
      <c r="E56" s="89">
        <v>21.1</v>
      </c>
      <c r="F56" s="89">
        <v>21.5</v>
      </c>
      <c r="G56" s="89">
        <v>21.9</v>
      </c>
      <c r="H56" s="89">
        <v>22.3</v>
      </c>
      <c r="I56" s="89">
        <v>22.6</v>
      </c>
      <c r="J56" s="89">
        <v>22.9</v>
      </c>
      <c r="K56" s="89">
        <v>23.4</v>
      </c>
      <c r="L56" s="89">
        <v>24.3</v>
      </c>
      <c r="M56" s="89">
        <v>25</v>
      </c>
      <c r="N56" s="89">
        <v>25.6</v>
      </c>
      <c r="O56" s="89">
        <v>26.2</v>
      </c>
      <c r="P56" s="89">
        <v>26.8</v>
      </c>
      <c r="Q56" s="89">
        <v>27.4</v>
      </c>
      <c r="R56" s="89">
        <v>28.1</v>
      </c>
    </row>
    <row r="57" spans="1:18" x14ac:dyDescent="0.25">
      <c r="A57" s="84">
        <v>56</v>
      </c>
      <c r="B57" s="84" t="s">
        <v>56</v>
      </c>
      <c r="C57" s="89">
        <v>22.7</v>
      </c>
      <c r="D57" s="89">
        <v>23</v>
      </c>
      <c r="E57" s="89">
        <v>24</v>
      </c>
      <c r="F57" s="89">
        <v>24.1</v>
      </c>
      <c r="G57" s="89">
        <v>24.7</v>
      </c>
      <c r="H57" s="89">
        <v>25.3</v>
      </c>
      <c r="I57" s="89">
        <v>25.7</v>
      </c>
      <c r="J57" s="89">
        <v>26.1</v>
      </c>
      <c r="K57" s="89">
        <v>26.5</v>
      </c>
      <c r="L57" s="89">
        <v>27.1</v>
      </c>
      <c r="M57" s="89">
        <v>27.8</v>
      </c>
      <c r="N57" s="89">
        <v>28.3</v>
      </c>
      <c r="O57" s="89">
        <v>28.8</v>
      </c>
      <c r="P57" s="89">
        <v>29.4</v>
      </c>
      <c r="Q57" s="89">
        <v>29.9</v>
      </c>
      <c r="R57" s="89">
        <v>30.6</v>
      </c>
    </row>
    <row r="58" spans="1:18" x14ac:dyDescent="0.25">
      <c r="A58" s="84">
        <v>57</v>
      </c>
      <c r="B58" s="84" t="s">
        <v>57</v>
      </c>
      <c r="C58" s="89">
        <v>21.3</v>
      </c>
      <c r="D58" s="89">
        <v>21.6</v>
      </c>
      <c r="E58" s="89">
        <v>22</v>
      </c>
      <c r="F58" s="89">
        <v>22.4</v>
      </c>
      <c r="G58" s="89">
        <v>22.8</v>
      </c>
      <c r="H58" s="89">
        <v>23.2</v>
      </c>
      <c r="I58" s="89">
        <v>23.6</v>
      </c>
      <c r="J58" s="89">
        <v>24.1</v>
      </c>
      <c r="K58" s="89">
        <v>24.7</v>
      </c>
      <c r="L58" s="89">
        <v>25.3</v>
      </c>
      <c r="M58" s="89">
        <v>26.1</v>
      </c>
      <c r="N58" s="89">
        <v>26.8</v>
      </c>
      <c r="O58" s="89">
        <v>27.5</v>
      </c>
      <c r="P58" s="89">
        <v>28.2</v>
      </c>
      <c r="Q58" s="89">
        <v>29.1</v>
      </c>
      <c r="R58" s="89">
        <v>30</v>
      </c>
    </row>
    <row r="59" spans="1:18" x14ac:dyDescent="0.25">
      <c r="A59" s="84">
        <v>58</v>
      </c>
      <c r="B59" s="84" t="s">
        <v>58</v>
      </c>
      <c r="C59" s="89">
        <v>19.7</v>
      </c>
      <c r="D59" s="89">
        <v>20.100000000000001</v>
      </c>
      <c r="E59" s="89">
        <v>20.7</v>
      </c>
      <c r="F59" s="89">
        <v>21</v>
      </c>
      <c r="G59" s="89">
        <v>21.2</v>
      </c>
      <c r="H59" s="89">
        <v>21.5</v>
      </c>
      <c r="I59" s="89">
        <v>22.1</v>
      </c>
      <c r="J59" s="89">
        <v>22.5</v>
      </c>
      <c r="K59" s="89">
        <v>23</v>
      </c>
      <c r="L59" s="89">
        <v>23.5</v>
      </c>
      <c r="M59" s="89">
        <v>24</v>
      </c>
      <c r="N59" s="89">
        <v>24.5</v>
      </c>
      <c r="O59" s="89">
        <v>25</v>
      </c>
      <c r="P59" s="89">
        <v>25.6</v>
      </c>
      <c r="Q59" s="89">
        <v>26.1</v>
      </c>
      <c r="R59" s="89">
        <v>26.6</v>
      </c>
    </row>
    <row r="60" spans="1:18" x14ac:dyDescent="0.25">
      <c r="A60" s="84">
        <v>59</v>
      </c>
      <c r="B60" s="84" t="s">
        <v>59</v>
      </c>
      <c r="C60" s="89">
        <v>21.1</v>
      </c>
      <c r="D60" s="89">
        <v>21.5</v>
      </c>
      <c r="E60" s="89">
        <v>21.9</v>
      </c>
      <c r="F60" s="89">
        <v>22.3</v>
      </c>
      <c r="G60" s="89">
        <v>22.7</v>
      </c>
      <c r="H60" s="89">
        <v>23.1</v>
      </c>
      <c r="I60" s="89">
        <v>23.4</v>
      </c>
      <c r="J60" s="89">
        <v>23.7</v>
      </c>
      <c r="K60" s="89">
        <v>24</v>
      </c>
      <c r="L60" s="89">
        <v>24.4</v>
      </c>
      <c r="M60" s="89">
        <v>24.9</v>
      </c>
      <c r="N60" s="89">
        <v>25.2</v>
      </c>
      <c r="O60" s="89">
        <v>25.7</v>
      </c>
      <c r="P60" s="89">
        <v>26.1</v>
      </c>
      <c r="Q60" s="89">
        <v>26.6</v>
      </c>
      <c r="R60" s="89">
        <v>27.3</v>
      </c>
    </row>
    <row r="61" spans="1:18" x14ac:dyDescent="0.25">
      <c r="A61" s="84">
        <v>60</v>
      </c>
      <c r="B61" s="84" t="s">
        <v>60</v>
      </c>
      <c r="C61" s="89">
        <v>18.899999999999999</v>
      </c>
      <c r="D61" s="89">
        <v>19.2</v>
      </c>
      <c r="E61" s="89">
        <v>19.600000000000001</v>
      </c>
      <c r="F61" s="89">
        <v>20</v>
      </c>
      <c r="G61" s="89">
        <v>20.399999999999999</v>
      </c>
      <c r="H61" s="89">
        <v>20.8</v>
      </c>
      <c r="I61" s="89">
        <v>21</v>
      </c>
      <c r="J61" s="89">
        <v>21.2</v>
      </c>
      <c r="K61" s="89">
        <v>21.5</v>
      </c>
      <c r="L61" s="89">
        <v>22.1</v>
      </c>
      <c r="M61" s="89">
        <v>22.9</v>
      </c>
      <c r="N61" s="89">
        <v>23.1</v>
      </c>
      <c r="O61" s="89">
        <v>23.5</v>
      </c>
      <c r="P61" s="89">
        <v>23.7</v>
      </c>
      <c r="Q61" s="89">
        <v>24.2</v>
      </c>
      <c r="R61" s="89">
        <v>24.6</v>
      </c>
    </row>
    <row r="62" spans="1:18" x14ac:dyDescent="0.25">
      <c r="A62" s="84">
        <v>61</v>
      </c>
      <c r="B62" s="84" t="s">
        <v>61</v>
      </c>
      <c r="C62" s="89">
        <v>20.7</v>
      </c>
      <c r="D62" s="89">
        <v>21.1</v>
      </c>
      <c r="E62" s="89">
        <v>21.6</v>
      </c>
      <c r="F62" s="89">
        <v>22.2</v>
      </c>
      <c r="G62" s="89">
        <v>22.8</v>
      </c>
      <c r="H62" s="89">
        <v>23</v>
      </c>
      <c r="I62" s="89">
        <v>23.4</v>
      </c>
      <c r="J62" s="89">
        <v>23.7</v>
      </c>
      <c r="K62" s="89">
        <v>24.2</v>
      </c>
      <c r="L62" s="89">
        <v>24.6</v>
      </c>
      <c r="M62" s="89">
        <v>25</v>
      </c>
      <c r="N62" s="89">
        <v>25.4</v>
      </c>
      <c r="O62" s="89">
        <v>25.8</v>
      </c>
      <c r="P62" s="89">
        <v>26.4</v>
      </c>
      <c r="Q62" s="89">
        <v>26.9</v>
      </c>
      <c r="R62" s="89">
        <v>27.5</v>
      </c>
    </row>
    <row r="63" spans="1:18" x14ac:dyDescent="0.25">
      <c r="A63" s="84">
        <v>62</v>
      </c>
      <c r="B63" s="84" t="s">
        <v>62</v>
      </c>
      <c r="C63" s="89">
        <v>16</v>
      </c>
      <c r="D63" s="89">
        <v>17.7</v>
      </c>
      <c r="E63" s="89">
        <v>17.8</v>
      </c>
      <c r="F63" s="89">
        <v>18.100000000000001</v>
      </c>
      <c r="G63" s="89">
        <v>18.3</v>
      </c>
      <c r="H63" s="89">
        <v>18.5</v>
      </c>
      <c r="I63" s="89">
        <v>18.7</v>
      </c>
      <c r="J63" s="89">
        <v>18.899999999999999</v>
      </c>
      <c r="K63" s="89">
        <v>19.100000000000001</v>
      </c>
      <c r="L63" s="89">
        <v>19.399999999999999</v>
      </c>
      <c r="M63" s="89">
        <v>19.8</v>
      </c>
      <c r="N63" s="89">
        <v>20.2</v>
      </c>
      <c r="O63" s="89">
        <v>20.7</v>
      </c>
      <c r="P63" s="89">
        <v>21.1</v>
      </c>
      <c r="Q63" s="89">
        <v>21.4</v>
      </c>
      <c r="R63" s="89">
        <v>21.8</v>
      </c>
    </row>
    <row r="64" spans="1:18" x14ac:dyDescent="0.25">
      <c r="A64" s="84">
        <v>63</v>
      </c>
      <c r="B64" s="84" t="s">
        <v>63</v>
      </c>
      <c r="C64" s="89">
        <v>17.899999999999999</v>
      </c>
      <c r="D64" s="89">
        <v>18.100000000000001</v>
      </c>
      <c r="E64" s="89">
        <v>18.3</v>
      </c>
      <c r="F64" s="89">
        <v>18.399999999999999</v>
      </c>
      <c r="G64" s="89">
        <v>18.899999999999999</v>
      </c>
      <c r="H64" s="89">
        <v>19.2</v>
      </c>
      <c r="I64" s="89">
        <v>19.899999999999999</v>
      </c>
      <c r="J64" s="89">
        <v>20.2</v>
      </c>
      <c r="K64" s="89">
        <v>20.6</v>
      </c>
      <c r="L64" s="89">
        <v>21</v>
      </c>
      <c r="M64" s="89">
        <v>21.4</v>
      </c>
      <c r="N64" s="89">
        <v>21.7</v>
      </c>
      <c r="O64" s="89">
        <v>21.8</v>
      </c>
      <c r="P64" s="89">
        <v>21.7</v>
      </c>
      <c r="Q64" s="89">
        <v>21.8</v>
      </c>
      <c r="R64" s="89">
        <v>22</v>
      </c>
    </row>
    <row r="65" spans="1:18" x14ac:dyDescent="0.25">
      <c r="A65" s="84">
        <v>64</v>
      </c>
      <c r="B65" s="84" t="s">
        <v>64</v>
      </c>
      <c r="C65" s="89">
        <v>12.7</v>
      </c>
      <c r="D65" s="89">
        <v>12.7</v>
      </c>
      <c r="E65" s="89">
        <v>12.7</v>
      </c>
      <c r="F65" s="89">
        <v>12.6</v>
      </c>
      <c r="G65" s="89">
        <v>12.9</v>
      </c>
      <c r="H65" s="89">
        <v>13</v>
      </c>
      <c r="I65" s="89">
        <v>13.1</v>
      </c>
      <c r="J65" s="89">
        <v>13.2</v>
      </c>
      <c r="K65" s="89">
        <v>12.9</v>
      </c>
      <c r="L65" s="89">
        <v>13.1</v>
      </c>
      <c r="M65" s="89">
        <v>13.5</v>
      </c>
      <c r="N65" s="89">
        <v>13.8</v>
      </c>
      <c r="O65" s="89">
        <v>13.9</v>
      </c>
      <c r="P65" s="89">
        <v>14.1</v>
      </c>
      <c r="Q65" s="89">
        <v>14.2</v>
      </c>
      <c r="R65" s="89">
        <v>14.3</v>
      </c>
    </row>
    <row r="66" spans="1:18" x14ac:dyDescent="0.25">
      <c r="A66" s="84">
        <v>65</v>
      </c>
      <c r="B66" s="84" t="s">
        <v>65</v>
      </c>
      <c r="C66" s="89">
        <v>19.600000000000001</v>
      </c>
      <c r="D66" s="89">
        <v>19.899999999999999</v>
      </c>
      <c r="E66" s="89">
        <v>20.2</v>
      </c>
      <c r="F66" s="89">
        <v>20.5</v>
      </c>
      <c r="G66" s="89">
        <v>20.8</v>
      </c>
      <c r="H66" s="89">
        <v>21</v>
      </c>
      <c r="I66" s="89">
        <v>21.3</v>
      </c>
      <c r="J66" s="89">
        <v>21.6</v>
      </c>
      <c r="K66" s="89">
        <v>21.9</v>
      </c>
      <c r="L66" s="89">
        <v>22.3</v>
      </c>
      <c r="M66" s="89">
        <v>22.7</v>
      </c>
      <c r="N66" s="89">
        <v>23</v>
      </c>
      <c r="O66" s="89">
        <v>23.4</v>
      </c>
      <c r="P66" s="89">
        <v>23.8</v>
      </c>
      <c r="Q66" s="89">
        <v>25.5</v>
      </c>
      <c r="R66" s="89">
        <v>26.3</v>
      </c>
    </row>
    <row r="67" spans="1:18" x14ac:dyDescent="0.25">
      <c r="A67" s="84">
        <v>66</v>
      </c>
      <c r="B67" s="84" t="s">
        <v>66</v>
      </c>
      <c r="C67" s="89">
        <v>20.100000000000001</v>
      </c>
      <c r="D67" s="89">
        <v>20.5</v>
      </c>
      <c r="E67" s="89">
        <v>20.8</v>
      </c>
      <c r="F67" s="89">
        <v>21.2</v>
      </c>
      <c r="G67" s="89">
        <v>21.5</v>
      </c>
      <c r="H67" s="89">
        <v>21.8</v>
      </c>
      <c r="I67" s="89">
        <v>22.1</v>
      </c>
      <c r="J67" s="89">
        <v>22.4</v>
      </c>
      <c r="K67" s="89">
        <v>22.4</v>
      </c>
      <c r="L67" s="89">
        <v>22.7</v>
      </c>
      <c r="M67" s="89">
        <v>23.1</v>
      </c>
      <c r="N67" s="89">
        <v>23.5</v>
      </c>
      <c r="O67" s="89">
        <v>23.8</v>
      </c>
      <c r="P67" s="89">
        <v>24.3</v>
      </c>
      <c r="Q67" s="89">
        <v>24.7</v>
      </c>
      <c r="R67" s="89">
        <v>25.3</v>
      </c>
    </row>
    <row r="68" spans="1:18" x14ac:dyDescent="0.25">
      <c r="A68" s="84">
        <v>67</v>
      </c>
      <c r="B68" s="84" t="s">
        <v>73</v>
      </c>
      <c r="C68" s="89">
        <v>18.600000000000001</v>
      </c>
      <c r="D68" s="89">
        <v>19</v>
      </c>
      <c r="E68" s="89">
        <v>19.100000000000001</v>
      </c>
      <c r="F68" s="89">
        <v>19.3</v>
      </c>
      <c r="G68" s="89">
        <v>19.399999999999999</v>
      </c>
      <c r="H68" s="89">
        <v>19.5</v>
      </c>
      <c r="I68" s="89">
        <v>19.7</v>
      </c>
      <c r="J68" s="89">
        <v>20</v>
      </c>
      <c r="K68" s="89">
        <v>20</v>
      </c>
      <c r="L68" s="89">
        <v>20.100000000000001</v>
      </c>
      <c r="M68" s="89">
        <v>20.399999999999999</v>
      </c>
      <c r="N68" s="89">
        <v>20.7</v>
      </c>
      <c r="O68" s="89">
        <v>21</v>
      </c>
      <c r="P68" s="89">
        <v>21.3</v>
      </c>
      <c r="Q68" s="89">
        <v>21.5</v>
      </c>
      <c r="R68" s="89">
        <v>21.8</v>
      </c>
    </row>
    <row r="69" spans="1:18" x14ac:dyDescent="0.25">
      <c r="A69" s="84">
        <v>68</v>
      </c>
      <c r="B69" s="84" t="s">
        <v>67</v>
      </c>
      <c r="C69" s="89">
        <v>21</v>
      </c>
      <c r="D69" s="89">
        <v>21.4</v>
      </c>
      <c r="E69" s="89">
        <v>21.8</v>
      </c>
      <c r="F69" s="89">
        <v>22</v>
      </c>
      <c r="G69" s="89">
        <v>22.1</v>
      </c>
      <c r="H69" s="89">
        <v>22.5</v>
      </c>
      <c r="I69" s="89">
        <v>22.7</v>
      </c>
      <c r="J69" s="89">
        <v>22.9</v>
      </c>
      <c r="K69" s="89">
        <v>23</v>
      </c>
      <c r="L69" s="89">
        <v>23.3</v>
      </c>
      <c r="M69" s="89">
        <v>23.9</v>
      </c>
      <c r="N69" s="89">
        <v>24.3</v>
      </c>
      <c r="O69" s="89">
        <v>24.6</v>
      </c>
      <c r="P69" s="89">
        <v>25</v>
      </c>
      <c r="Q69" s="89">
        <v>25.4</v>
      </c>
      <c r="R69" s="89">
        <v>25.9</v>
      </c>
    </row>
    <row r="70" spans="1:18" x14ac:dyDescent="0.25">
      <c r="A70" s="84">
        <v>69</v>
      </c>
      <c r="B70" s="84" t="s">
        <v>68</v>
      </c>
      <c r="C70" s="89">
        <v>20</v>
      </c>
      <c r="D70" s="89">
        <v>20.3</v>
      </c>
      <c r="E70" s="89">
        <v>20.6</v>
      </c>
      <c r="F70" s="89">
        <v>20.8</v>
      </c>
      <c r="G70" s="89">
        <v>21.1</v>
      </c>
      <c r="H70" s="89">
        <v>21.4</v>
      </c>
      <c r="I70" s="89">
        <v>21.7</v>
      </c>
      <c r="J70" s="89">
        <v>22.1</v>
      </c>
      <c r="K70" s="89">
        <v>22.3</v>
      </c>
      <c r="L70" s="89">
        <v>22.7</v>
      </c>
      <c r="M70" s="89">
        <v>23.1</v>
      </c>
      <c r="N70" s="89">
        <v>24.2</v>
      </c>
      <c r="O70" s="89">
        <v>24.6</v>
      </c>
      <c r="P70" s="89">
        <v>25.2</v>
      </c>
      <c r="Q70" s="89">
        <v>25.2</v>
      </c>
      <c r="R70" s="89">
        <v>25.8</v>
      </c>
    </row>
    <row r="71" spans="1:18" x14ac:dyDescent="0.25">
      <c r="A71" s="84">
        <v>70</v>
      </c>
      <c r="B71" s="84" t="s">
        <v>69</v>
      </c>
      <c r="C71" s="89">
        <v>20.399999999999999</v>
      </c>
      <c r="D71" s="89">
        <v>20.8</v>
      </c>
      <c r="E71" s="89">
        <v>21.1</v>
      </c>
      <c r="F71" s="89">
        <v>21.4</v>
      </c>
      <c r="G71" s="89">
        <v>21.6</v>
      </c>
      <c r="H71" s="89">
        <v>22</v>
      </c>
      <c r="I71" s="89">
        <v>22.4</v>
      </c>
      <c r="J71" s="89">
        <v>22.7</v>
      </c>
      <c r="K71" s="89">
        <v>23.1</v>
      </c>
      <c r="L71" s="89">
        <v>23.4</v>
      </c>
      <c r="M71" s="89">
        <v>23.7</v>
      </c>
      <c r="N71" s="89">
        <v>24.3</v>
      </c>
      <c r="O71" s="89">
        <v>24.6</v>
      </c>
      <c r="P71" s="89">
        <v>25</v>
      </c>
      <c r="Q71" s="89">
        <v>25.4</v>
      </c>
      <c r="R71" s="89">
        <v>25.8</v>
      </c>
    </row>
    <row r="72" spans="1:18" x14ac:dyDescent="0.25">
      <c r="A72" s="84">
        <v>71</v>
      </c>
      <c r="B72" s="84" t="s">
        <v>70</v>
      </c>
      <c r="C72" s="89">
        <v>19.2</v>
      </c>
      <c r="D72" s="89">
        <v>19.5</v>
      </c>
      <c r="E72" s="89">
        <v>20</v>
      </c>
      <c r="F72" s="89">
        <v>20.6</v>
      </c>
      <c r="G72" s="89">
        <v>21.1</v>
      </c>
      <c r="H72" s="89">
        <v>21.5</v>
      </c>
      <c r="I72" s="89">
        <v>21.9</v>
      </c>
      <c r="J72" s="89">
        <v>22.2</v>
      </c>
      <c r="K72" s="89">
        <v>22.5</v>
      </c>
      <c r="L72" s="89">
        <v>23</v>
      </c>
      <c r="M72" s="89">
        <v>23.7</v>
      </c>
      <c r="N72" s="89">
        <v>24.3</v>
      </c>
      <c r="O72" s="89">
        <v>24.7</v>
      </c>
      <c r="P72" s="89">
        <v>25.2</v>
      </c>
      <c r="Q72" s="89">
        <v>25.8</v>
      </c>
      <c r="R72" s="89">
        <v>26.5</v>
      </c>
    </row>
    <row r="73" spans="1:18" x14ac:dyDescent="0.25">
      <c r="A73" s="84">
        <v>72</v>
      </c>
      <c r="B73" s="84" t="s">
        <v>71</v>
      </c>
      <c r="C73" s="89">
        <v>20.399999999999999</v>
      </c>
      <c r="D73" s="89">
        <v>20.9</v>
      </c>
      <c r="E73" s="89">
        <v>21.3</v>
      </c>
      <c r="F73" s="89">
        <v>21.5</v>
      </c>
      <c r="G73" s="89">
        <v>22.1</v>
      </c>
      <c r="H73" s="89">
        <v>22.5</v>
      </c>
      <c r="I73" s="89">
        <v>22.8</v>
      </c>
      <c r="J73" s="89">
        <v>23.2</v>
      </c>
      <c r="K73" s="89">
        <v>22.9</v>
      </c>
      <c r="L73" s="89">
        <v>23.3</v>
      </c>
      <c r="M73" s="89">
        <v>23.6</v>
      </c>
      <c r="N73" s="89">
        <v>24.1</v>
      </c>
      <c r="O73" s="89">
        <v>24.5</v>
      </c>
      <c r="P73" s="89">
        <v>24.9</v>
      </c>
      <c r="Q73" s="89">
        <v>25.4</v>
      </c>
      <c r="R73" s="89">
        <v>25.9</v>
      </c>
    </row>
    <row r="74" spans="1:18" x14ac:dyDescent="0.25">
      <c r="A74" s="84">
        <v>73</v>
      </c>
      <c r="B74" s="84" t="s">
        <v>72</v>
      </c>
      <c r="C74" s="89">
        <v>19.8</v>
      </c>
      <c r="D74" s="89">
        <v>20.100000000000001</v>
      </c>
      <c r="E74" s="89">
        <v>20.399999999999999</v>
      </c>
      <c r="F74" s="89">
        <v>20.8</v>
      </c>
      <c r="G74" s="89">
        <v>21.1</v>
      </c>
      <c r="H74" s="89">
        <v>21.3</v>
      </c>
      <c r="I74" s="89">
        <v>21.7</v>
      </c>
      <c r="J74" s="89">
        <v>22.2</v>
      </c>
      <c r="K74" s="89">
        <v>22.4</v>
      </c>
      <c r="L74" s="89">
        <v>22.8</v>
      </c>
      <c r="M74" s="89">
        <v>23.4</v>
      </c>
      <c r="N74" s="89">
        <v>23.7</v>
      </c>
      <c r="O74" s="89">
        <v>24.1</v>
      </c>
      <c r="P74" s="89">
        <v>24.5</v>
      </c>
      <c r="Q74" s="89">
        <v>24.9</v>
      </c>
      <c r="R74" s="89">
        <v>25.6</v>
      </c>
    </row>
    <row r="75" spans="1:18" x14ac:dyDescent="0.25">
      <c r="A75" s="84">
        <v>74</v>
      </c>
      <c r="B75" s="84" t="s">
        <v>74</v>
      </c>
      <c r="C75" s="89">
        <v>19.399999999999999</v>
      </c>
      <c r="D75" s="89">
        <v>19.399999999999999</v>
      </c>
      <c r="E75" s="89">
        <v>19.600000000000001</v>
      </c>
      <c r="F75" s="89">
        <v>19.7</v>
      </c>
      <c r="G75" s="89">
        <v>20</v>
      </c>
      <c r="H75" s="89">
        <v>20.2</v>
      </c>
      <c r="I75" s="89">
        <v>20.399999999999999</v>
      </c>
      <c r="J75" s="89">
        <v>20.7</v>
      </c>
      <c r="K75" s="89">
        <v>20.6</v>
      </c>
      <c r="L75" s="89">
        <v>21.1</v>
      </c>
      <c r="M75" s="89">
        <v>21.5</v>
      </c>
      <c r="N75" s="89">
        <v>21.7</v>
      </c>
      <c r="O75" s="89">
        <v>22.1</v>
      </c>
      <c r="P75" s="89">
        <v>22.5</v>
      </c>
      <c r="Q75" s="89">
        <v>23.2</v>
      </c>
      <c r="R75" s="89">
        <v>23.5</v>
      </c>
    </row>
    <row r="76" spans="1:18" x14ac:dyDescent="0.25">
      <c r="A76" s="84">
        <v>75</v>
      </c>
      <c r="B76" s="84" t="s">
        <v>75</v>
      </c>
      <c r="C76" s="89">
        <v>22.4</v>
      </c>
      <c r="D76" s="89">
        <v>22.6</v>
      </c>
      <c r="E76" s="89">
        <v>23</v>
      </c>
      <c r="F76" s="89">
        <v>23.4</v>
      </c>
      <c r="G76" s="89">
        <v>23.5</v>
      </c>
      <c r="H76" s="89">
        <v>24.2</v>
      </c>
      <c r="I76" s="89">
        <v>24.4</v>
      </c>
      <c r="J76" s="89">
        <v>24.7</v>
      </c>
      <c r="K76" s="89">
        <v>24.6</v>
      </c>
      <c r="L76" s="89">
        <v>25</v>
      </c>
      <c r="M76" s="89">
        <v>25.2</v>
      </c>
      <c r="N76" s="89">
        <v>25.5</v>
      </c>
      <c r="O76" s="89">
        <v>25.5</v>
      </c>
      <c r="P76" s="89">
        <v>25.7</v>
      </c>
      <c r="Q76" s="89">
        <v>25.9</v>
      </c>
      <c r="R76" s="89">
        <v>26.3</v>
      </c>
    </row>
    <row r="77" spans="1:18" x14ac:dyDescent="0.25">
      <c r="A77" s="84">
        <v>76</v>
      </c>
      <c r="B77" s="84" t="s">
        <v>76</v>
      </c>
      <c r="C77" s="89">
        <v>19.399999999999999</v>
      </c>
      <c r="D77" s="89">
        <v>19.8</v>
      </c>
      <c r="E77" s="89">
        <v>20.100000000000001</v>
      </c>
      <c r="F77" s="89">
        <v>20.2</v>
      </c>
      <c r="G77" s="89">
        <v>20.399999999999999</v>
      </c>
      <c r="H77" s="89">
        <v>20.8</v>
      </c>
      <c r="I77" s="89">
        <v>21.1</v>
      </c>
      <c r="J77" s="89">
        <v>21.4</v>
      </c>
      <c r="K77" s="89">
        <v>21.7</v>
      </c>
      <c r="L77" s="89">
        <v>22.1</v>
      </c>
      <c r="M77" s="89">
        <v>22.4</v>
      </c>
      <c r="N77" s="89">
        <v>22.6</v>
      </c>
      <c r="O77" s="89">
        <v>22.9</v>
      </c>
      <c r="P77" s="89">
        <v>23.1</v>
      </c>
      <c r="Q77" s="89">
        <v>23.5</v>
      </c>
      <c r="R77" s="89">
        <v>24</v>
      </c>
    </row>
    <row r="78" spans="1:18" x14ac:dyDescent="0.25">
      <c r="A78" s="84">
        <v>77</v>
      </c>
      <c r="B78" s="84" t="s">
        <v>77</v>
      </c>
      <c r="C78" s="89">
        <v>20.399999999999999</v>
      </c>
      <c r="D78" s="89">
        <v>20.7</v>
      </c>
      <c r="E78" s="89">
        <v>20.9</v>
      </c>
      <c r="F78" s="89">
        <v>21.2</v>
      </c>
      <c r="G78" s="89">
        <v>21.5</v>
      </c>
      <c r="H78" s="89">
        <v>21.8</v>
      </c>
      <c r="I78" s="89">
        <v>22.1</v>
      </c>
      <c r="J78" s="89">
        <v>22.3</v>
      </c>
      <c r="K78" s="89">
        <v>22.4</v>
      </c>
      <c r="L78" s="89">
        <v>22.8</v>
      </c>
      <c r="M78" s="89">
        <v>23.1</v>
      </c>
      <c r="N78" s="89">
        <v>23.3</v>
      </c>
      <c r="O78" s="89">
        <v>23.5</v>
      </c>
      <c r="P78" s="89">
        <v>23.8</v>
      </c>
      <c r="Q78" s="89">
        <v>24.1</v>
      </c>
      <c r="R78" s="89">
        <v>24.7</v>
      </c>
    </row>
    <row r="79" spans="1:18" x14ac:dyDescent="0.25">
      <c r="A79" s="84">
        <v>78</v>
      </c>
      <c r="B79" s="84" t="s">
        <v>78</v>
      </c>
      <c r="C79" s="89">
        <v>20.6</v>
      </c>
      <c r="D79" s="89">
        <v>21</v>
      </c>
      <c r="E79" s="89">
        <v>21.3</v>
      </c>
      <c r="F79" s="89">
        <v>21.6</v>
      </c>
      <c r="G79" s="89">
        <v>21.9</v>
      </c>
      <c r="H79" s="89">
        <v>22.2</v>
      </c>
      <c r="I79" s="89">
        <v>22.5</v>
      </c>
      <c r="J79" s="89">
        <v>23</v>
      </c>
      <c r="K79" s="89">
        <v>23.2</v>
      </c>
      <c r="L79" s="89">
        <v>23.8</v>
      </c>
      <c r="M79" s="89">
        <v>24.3</v>
      </c>
      <c r="N79" s="89">
        <v>24.6</v>
      </c>
      <c r="O79" s="89">
        <v>24.9</v>
      </c>
      <c r="P79" s="89">
        <v>25.3</v>
      </c>
      <c r="Q79" s="89">
        <v>25.6</v>
      </c>
      <c r="R79" s="89">
        <v>26</v>
      </c>
    </row>
    <row r="80" spans="1:18" x14ac:dyDescent="0.25">
      <c r="A80" s="84">
        <v>79</v>
      </c>
      <c r="B80" s="84" t="s">
        <v>79</v>
      </c>
      <c r="C80" s="89">
        <v>26.6</v>
      </c>
      <c r="D80" s="89">
        <v>27.2</v>
      </c>
      <c r="E80" s="89">
        <v>27.6</v>
      </c>
      <c r="F80" s="89">
        <v>27.8</v>
      </c>
      <c r="G80" s="89">
        <v>27.9</v>
      </c>
      <c r="H80" s="89">
        <v>28.4</v>
      </c>
      <c r="I80" s="89">
        <v>28.6</v>
      </c>
      <c r="J80" s="89">
        <v>29</v>
      </c>
      <c r="K80" s="89">
        <v>29</v>
      </c>
      <c r="L80" s="89">
        <v>29.3</v>
      </c>
      <c r="M80" s="89">
        <v>29.7</v>
      </c>
      <c r="N80" s="89">
        <v>29.8</v>
      </c>
      <c r="O80" s="89">
        <v>30.1</v>
      </c>
      <c r="P80" s="89">
        <v>29.5</v>
      </c>
      <c r="Q80" s="89">
        <v>29.2</v>
      </c>
      <c r="R80" s="89">
        <v>29.4</v>
      </c>
    </row>
    <row r="81" spans="1:18" x14ac:dyDescent="0.25">
      <c r="A81" s="84">
        <v>80</v>
      </c>
      <c r="B81" s="84" t="s">
        <v>80</v>
      </c>
      <c r="C81" s="89">
        <v>21.6</v>
      </c>
      <c r="D81" s="89">
        <v>21.9</v>
      </c>
      <c r="E81" s="89">
        <v>22.1</v>
      </c>
      <c r="F81" s="89">
        <v>22.5</v>
      </c>
      <c r="G81" s="89">
        <v>23</v>
      </c>
      <c r="H81" s="89">
        <v>23.6</v>
      </c>
      <c r="I81" s="89">
        <v>24.2</v>
      </c>
      <c r="J81" s="89">
        <v>24.7</v>
      </c>
      <c r="K81" s="89">
        <v>24.1</v>
      </c>
      <c r="L81" s="89">
        <v>25.3</v>
      </c>
      <c r="M81" s="89">
        <v>25.2</v>
      </c>
      <c r="N81" s="89">
        <v>25.8</v>
      </c>
      <c r="O81" s="89">
        <v>26.1</v>
      </c>
      <c r="P81" s="89">
        <v>26.5</v>
      </c>
      <c r="Q81" s="89">
        <v>27.1</v>
      </c>
      <c r="R81" s="89">
        <v>28</v>
      </c>
    </row>
    <row r="82" spans="1:18" x14ac:dyDescent="0.25">
      <c r="A82" s="84">
        <v>81</v>
      </c>
      <c r="B82" s="84" t="s">
        <v>81</v>
      </c>
      <c r="C82" s="89">
        <v>20.8</v>
      </c>
      <c r="D82" s="89">
        <v>21.1</v>
      </c>
      <c r="E82" s="89">
        <v>21.3</v>
      </c>
      <c r="F82" s="89">
        <v>21.5</v>
      </c>
      <c r="G82" s="89">
        <v>21.8</v>
      </c>
      <c r="H82" s="89">
        <v>22.1</v>
      </c>
      <c r="I82" s="89">
        <v>22.6</v>
      </c>
      <c r="J82" s="89">
        <v>23</v>
      </c>
      <c r="K82" s="89">
        <v>21.2</v>
      </c>
      <c r="L82" s="89">
        <v>21.6</v>
      </c>
      <c r="M82" s="89">
        <v>22</v>
      </c>
      <c r="N82" s="89">
        <v>22.4</v>
      </c>
      <c r="O82" s="89">
        <v>23</v>
      </c>
      <c r="P82" s="89">
        <v>23.5</v>
      </c>
      <c r="Q82" s="89">
        <v>23.8</v>
      </c>
      <c r="R82" s="89">
        <v>24.3</v>
      </c>
    </row>
    <row r="83" spans="1:18" x14ac:dyDescent="0.25">
      <c r="A83" s="84">
        <v>82</v>
      </c>
      <c r="B83" s="84" t="s">
        <v>82</v>
      </c>
      <c r="C83" s="89">
        <v>27.9</v>
      </c>
      <c r="D83" s="89">
        <v>27.6</v>
      </c>
      <c r="E83" s="89">
        <v>28</v>
      </c>
      <c r="F83" s="89">
        <v>29.3</v>
      </c>
      <c r="G83" s="89">
        <v>29.9</v>
      </c>
      <c r="H83" s="89">
        <v>30.4</v>
      </c>
      <c r="I83" s="89">
        <v>30</v>
      </c>
      <c r="J83" s="89">
        <v>29.7</v>
      </c>
      <c r="K83" s="89">
        <v>25.9</v>
      </c>
      <c r="L83" s="89">
        <v>25.4</v>
      </c>
      <c r="M83" s="89">
        <v>25.5</v>
      </c>
      <c r="N83" s="89">
        <v>25.6</v>
      </c>
      <c r="O83" s="89">
        <v>24.1</v>
      </c>
      <c r="P83" s="89">
        <v>24.1</v>
      </c>
      <c r="Q83" s="89">
        <v>23.7</v>
      </c>
      <c r="R83" s="89">
        <v>24.1</v>
      </c>
    </row>
    <row r="84" spans="1:18" x14ac:dyDescent="0.25">
      <c r="A84" s="82"/>
    </row>
    <row r="85" spans="1:18" x14ac:dyDescent="0.25">
      <c r="A85" s="82"/>
    </row>
    <row r="86" spans="1:18" x14ac:dyDescent="0.25">
      <c r="A86" s="82"/>
    </row>
    <row r="87" spans="1:18" x14ac:dyDescent="0.25">
      <c r="A87" s="82"/>
    </row>
    <row r="88" spans="1:18" x14ac:dyDescent="0.25">
      <c r="A88" s="82"/>
    </row>
    <row r="89" spans="1:18" ht="16.5" thickBot="1" x14ac:dyDescent="0.3">
      <c r="A89" s="8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83"/>
  <sheetViews>
    <sheetView workbookViewId="0">
      <selection activeCell="C1" sqref="C1"/>
    </sheetView>
  </sheetViews>
  <sheetFormatPr defaultRowHeight="15.75" x14ac:dyDescent="0.25"/>
  <cols>
    <col min="1" max="1" width="9.140625" style="80"/>
    <col min="2" max="2" width="35.5703125" style="80" customWidth="1"/>
    <col min="3" max="4" width="8.42578125" style="80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0.59054609583498407</v>
      </c>
      <c r="C2" s="187">
        <v>43831</v>
      </c>
      <c r="D2" s="80">
        <v>47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0.57281511983096001</v>
      </c>
      <c r="C3" s="187">
        <v>43831</v>
      </c>
      <c r="D3" s="80">
        <v>47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0.56971475983954567</v>
      </c>
      <c r="C4" s="187">
        <v>43831</v>
      </c>
      <c r="D4" s="80">
        <v>47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0.57888812482545859</v>
      </c>
      <c r="C5" s="187">
        <v>43831</v>
      </c>
      <c r="D5" s="80">
        <v>47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0.53735322601046143</v>
      </c>
      <c r="C6" s="187">
        <v>43831</v>
      </c>
      <c r="D6" s="80">
        <v>47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0.57788757624927778</v>
      </c>
      <c r="C7" s="187">
        <v>43831</v>
      </c>
      <c r="D7" s="80">
        <v>47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0.55129387225969406</v>
      </c>
      <c r="C8" s="187">
        <v>43831</v>
      </c>
      <c r="D8" s="80">
        <v>47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0.57788757624927778</v>
      </c>
      <c r="C9" s="187">
        <v>43831</v>
      </c>
      <c r="D9" s="80">
        <v>47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0.59706188598524856</v>
      </c>
      <c r="C10" s="187">
        <v>43831</v>
      </c>
      <c r="D10" s="80">
        <v>47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0.60159403611678186</v>
      </c>
      <c r="C11" s="187">
        <v>43831</v>
      </c>
      <c r="D11" s="80">
        <v>47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0.56444992038500696</v>
      </c>
      <c r="C12" s="187">
        <v>43831</v>
      </c>
      <c r="D12" s="80">
        <v>47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0.60248859967533352</v>
      </c>
      <c r="C13" s="187">
        <v>43831</v>
      </c>
      <c r="D13" s="80">
        <v>47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0.56444992038500696</v>
      </c>
      <c r="C14" s="187">
        <v>43831</v>
      </c>
      <c r="D14" s="80">
        <v>47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0.58284484928624003</v>
      </c>
      <c r="C15" s="187">
        <v>43831</v>
      </c>
      <c r="D15" s="80">
        <v>47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0.5979763107890691</v>
      </c>
      <c r="C16" s="187">
        <v>43831</v>
      </c>
      <c r="D16" s="80">
        <v>47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0.56444992038500696</v>
      </c>
      <c r="C17" s="187">
        <v>43831</v>
      </c>
      <c r="D17" s="80">
        <v>47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0.55241929505327203</v>
      </c>
      <c r="C18" s="187">
        <v>43831</v>
      </c>
      <c r="D18" s="80">
        <v>47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0.41307904927446953</v>
      </c>
      <c r="C19" s="187">
        <v>43831</v>
      </c>
      <c r="D19" s="80">
        <v>47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0.53735322601046143</v>
      </c>
      <c r="C20" s="187">
        <v>43831</v>
      </c>
      <c r="D20" s="80">
        <v>47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0.5490266544822846</v>
      </c>
      <c r="C21" s="187">
        <v>43831</v>
      </c>
      <c r="D21" s="80">
        <v>47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0.5490266544822846</v>
      </c>
      <c r="C22" s="187">
        <v>43831</v>
      </c>
      <c r="D22" s="80">
        <v>47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0.57788757624927778</v>
      </c>
      <c r="C23" s="187">
        <v>43831</v>
      </c>
      <c r="D23" s="80">
        <v>47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0.57688242082743946</v>
      </c>
      <c r="C24" s="187">
        <v>43831</v>
      </c>
      <c r="D24" s="80">
        <v>47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0.56762362261435517</v>
      </c>
      <c r="C25" s="187">
        <v>43831</v>
      </c>
      <c r="D25" s="80">
        <v>47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0.51218930543723784</v>
      </c>
      <c r="C26" s="187">
        <v>43831</v>
      </c>
      <c r="D26" s="80">
        <v>47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0.59429421774074243</v>
      </c>
      <c r="C27" s="187">
        <v>43831</v>
      </c>
      <c r="D27" s="80">
        <v>47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0.58673023000231317</v>
      </c>
      <c r="C28" s="187">
        <v>43831</v>
      </c>
      <c r="D28" s="80">
        <v>47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0.52634260131947785</v>
      </c>
      <c r="C29" s="187">
        <v>43831</v>
      </c>
      <c r="D29" s="80">
        <v>47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0.53373772784636819</v>
      </c>
      <c r="C30" s="187">
        <v>43831</v>
      </c>
      <c r="D30" s="80">
        <v>47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0.50818915745547655</v>
      </c>
      <c r="C31" s="187">
        <v>43831</v>
      </c>
      <c r="D31" s="80">
        <v>47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0.41493707293697635</v>
      </c>
      <c r="C32" s="187">
        <v>43831</v>
      </c>
      <c r="D32" s="80">
        <v>47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0.54091551256225567</v>
      </c>
      <c r="C33" s="187">
        <v>43831</v>
      </c>
      <c r="D33" s="80">
        <v>47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0.5</v>
      </c>
      <c r="C34" s="187">
        <v>43831</v>
      </c>
      <c r="D34" s="80">
        <v>47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0.504126503180508</v>
      </c>
      <c r="C35" s="187">
        <v>43831</v>
      </c>
      <c r="D35" s="80">
        <v>47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0.52000729716759797</v>
      </c>
      <c r="C36" s="187">
        <v>43831</v>
      </c>
      <c r="D36" s="80">
        <v>47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0.51482199389134364</v>
      </c>
      <c r="C37" s="187">
        <v>43831</v>
      </c>
      <c r="D37" s="80">
        <v>47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0.42044820762685731</v>
      </c>
      <c r="C38" s="187">
        <v>43831</v>
      </c>
      <c r="D38" s="80">
        <v>47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0.33162928391362206</v>
      </c>
      <c r="C39" s="187">
        <v>43831</v>
      </c>
      <c r="D39" s="80">
        <v>47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0.44328027731464326</v>
      </c>
      <c r="C40" s="187">
        <v>43831</v>
      </c>
      <c r="D40" s="80">
        <v>47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0.45162930573483778</v>
      </c>
      <c r="C41" s="187">
        <v>43831</v>
      </c>
      <c r="D41" s="80">
        <v>47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0.55686726995909264</v>
      </c>
      <c r="C42" s="187">
        <v>43831</v>
      </c>
      <c r="D42" s="80">
        <v>47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0.42586642734676661</v>
      </c>
      <c r="C43" s="187">
        <v>43831</v>
      </c>
      <c r="D43" s="80">
        <v>47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0.50548774864448942</v>
      </c>
      <c r="C44" s="187">
        <v>43831</v>
      </c>
      <c r="D44" s="80">
        <v>47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0.53006790110587176</v>
      </c>
      <c r="C45" s="187">
        <v>43831</v>
      </c>
      <c r="D45" s="80">
        <v>47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0.54326134764725098</v>
      </c>
      <c r="C46" s="187">
        <v>43831</v>
      </c>
      <c r="D46" s="80">
        <v>47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0.55241929505327203</v>
      </c>
      <c r="C47" s="187">
        <v>43831</v>
      </c>
      <c r="D47" s="80">
        <v>47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0.53854651288448685</v>
      </c>
      <c r="C48" s="187">
        <v>43831</v>
      </c>
      <c r="D48" s="80">
        <v>47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0.48134649134438057</v>
      </c>
      <c r="C49" s="187">
        <v>43831</v>
      </c>
      <c r="D49" s="80">
        <v>47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0.54788478477351454</v>
      </c>
      <c r="C50" s="187">
        <v>43831</v>
      </c>
      <c r="D50" s="80">
        <v>47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0.504126503180508</v>
      </c>
      <c r="C51" s="187">
        <v>43831</v>
      </c>
      <c r="D51" s="80">
        <v>47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0.53735322601046143</v>
      </c>
      <c r="C52" s="187">
        <v>43831</v>
      </c>
      <c r="D52" s="80">
        <v>47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0.54326134764725098</v>
      </c>
      <c r="C53" s="187">
        <v>43831</v>
      </c>
      <c r="D53" s="80">
        <v>47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0.53494887469065155</v>
      </c>
      <c r="C54" s="187">
        <v>43831</v>
      </c>
      <c r="D54" s="80">
        <v>47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0.57587262820316609</v>
      </c>
      <c r="C55" s="187">
        <v>43831</v>
      </c>
      <c r="D55" s="80">
        <v>47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0.5397339282783703</v>
      </c>
      <c r="C56" s="187">
        <v>43831</v>
      </c>
      <c r="D56" s="80">
        <v>47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0.56762362261435517</v>
      </c>
      <c r="C57" s="187">
        <v>43831</v>
      </c>
      <c r="D57" s="80">
        <v>47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0.56123102415468651</v>
      </c>
      <c r="C58" s="187">
        <v>43831</v>
      </c>
      <c r="D58" s="80">
        <v>47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0.52128721274105672</v>
      </c>
      <c r="C59" s="187">
        <v>43831</v>
      </c>
      <c r="D59" s="80">
        <v>47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0.53006790110587176</v>
      </c>
      <c r="C60" s="187">
        <v>43831</v>
      </c>
      <c r="D60" s="80">
        <v>47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0.49439629518592559</v>
      </c>
      <c r="C61" s="187">
        <v>43831</v>
      </c>
      <c r="D61" s="80">
        <v>47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0.53252054471998134</v>
      </c>
      <c r="C62" s="187">
        <v>43831</v>
      </c>
      <c r="D62" s="80">
        <v>47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0.45162930573483778</v>
      </c>
      <c r="C63" s="187">
        <v>43831</v>
      </c>
      <c r="D63" s="80">
        <v>47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0.45490473724858332</v>
      </c>
      <c r="C64" s="187">
        <v>43831</v>
      </c>
      <c r="D64" s="80">
        <v>47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0.29766226616309388</v>
      </c>
      <c r="C65" s="187">
        <v>43831</v>
      </c>
      <c r="D65" s="80">
        <v>47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0.51742786615868108</v>
      </c>
      <c r="C66" s="187">
        <v>43831</v>
      </c>
      <c r="D66" s="80">
        <v>47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0.504126503180508</v>
      </c>
      <c r="C67" s="187">
        <v>43831</v>
      </c>
      <c r="D67" s="80">
        <v>47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0.45162930573483778</v>
      </c>
      <c r="C68" s="187">
        <v>43831</v>
      </c>
      <c r="D68" s="80">
        <v>47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0.51218930543723784</v>
      </c>
      <c r="C69" s="187">
        <v>43831</v>
      </c>
      <c r="D69" s="80">
        <v>47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0.51086278633504734</v>
      </c>
      <c r="C70" s="187">
        <v>43831</v>
      </c>
      <c r="D70" s="80">
        <v>47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0.51086278633504734</v>
      </c>
      <c r="C71" s="187">
        <v>43831</v>
      </c>
      <c r="D71" s="80">
        <v>47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0.52000729716759797</v>
      </c>
      <c r="C72" s="187">
        <v>43831</v>
      </c>
      <c r="D72" s="80">
        <v>47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0.51218930543723784</v>
      </c>
      <c r="C73" s="187">
        <v>43831</v>
      </c>
      <c r="D73" s="80">
        <v>47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0.50818915745547655</v>
      </c>
      <c r="C74" s="187">
        <v>43831</v>
      </c>
      <c r="D74" s="80">
        <v>47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0.47836051388547446</v>
      </c>
      <c r="C75" s="187">
        <v>43831</v>
      </c>
      <c r="D75" s="80">
        <v>47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0.51742786615868108</v>
      </c>
      <c r="C76" s="187">
        <v>43831</v>
      </c>
      <c r="D76" s="80">
        <v>47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0.48576597057680293</v>
      </c>
      <c r="C77" s="187">
        <v>43831</v>
      </c>
      <c r="D77" s="80">
        <v>47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0.49580827356017332</v>
      </c>
      <c r="C78" s="187">
        <v>43831</v>
      </c>
      <c r="D78" s="80">
        <v>47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0.51350902535438625</v>
      </c>
      <c r="C79" s="187">
        <v>43831</v>
      </c>
      <c r="D79" s="80">
        <v>47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0.55465395299042941</v>
      </c>
      <c r="C80" s="187">
        <v>43831</v>
      </c>
      <c r="D80" s="80">
        <v>47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0.53854651288448685</v>
      </c>
      <c r="C81" s="187">
        <v>43831</v>
      </c>
      <c r="D81" s="80">
        <v>47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0.49011541083617383</v>
      </c>
      <c r="C82" s="187">
        <v>43831</v>
      </c>
      <c r="D82" s="80">
        <v>47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0.4872234921846178</v>
      </c>
      <c r="C83" s="187">
        <v>43831</v>
      </c>
      <c r="D83" s="80">
        <v>47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59999389629810485"/>
  </sheetPr>
  <dimension ref="A1:R83"/>
  <sheetViews>
    <sheetView topLeftCell="A13" workbookViewId="0">
      <selection activeCell="R2" sqref="R2:R83"/>
    </sheetView>
  </sheetViews>
  <sheetFormatPr defaultRowHeight="15.75" x14ac:dyDescent="0.25"/>
  <cols>
    <col min="1" max="1" width="9.140625" style="80"/>
    <col min="2" max="2" width="36" style="80" customWidth="1"/>
    <col min="3" max="6" width="9.140625" style="79"/>
    <col min="7" max="16" width="0" style="79" hidden="1" customWidth="1"/>
    <col min="17" max="17" width="9.140625" style="79"/>
    <col min="18" max="18" width="10.5703125" style="79" bestFit="1" customWidth="1"/>
    <col min="19" max="16384" width="9.140625" style="80"/>
  </cols>
  <sheetData>
    <row r="1" spans="1:18" x14ac:dyDescent="0.25">
      <c r="A1" s="84" t="s">
        <v>0</v>
      </c>
      <c r="B1" s="84" t="s">
        <v>83</v>
      </c>
      <c r="C1" s="85">
        <v>2005</v>
      </c>
      <c r="D1" s="85">
        <v>2006</v>
      </c>
      <c r="E1" s="85">
        <v>2007</v>
      </c>
      <c r="F1" s="85">
        <v>2008</v>
      </c>
      <c r="G1" s="85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88">
        <v>9.9</v>
      </c>
      <c r="D2" s="88">
        <v>8.6999999999999993</v>
      </c>
      <c r="E2" s="88">
        <v>9.1</v>
      </c>
      <c r="F2" s="88">
        <v>8.6999999999999993</v>
      </c>
      <c r="G2" s="88">
        <v>10.7</v>
      </c>
      <c r="H2" s="88">
        <v>9.6</v>
      </c>
      <c r="I2" s="88">
        <v>9</v>
      </c>
      <c r="J2" s="88">
        <v>7.5</v>
      </c>
      <c r="K2" s="88">
        <v>8</v>
      </c>
      <c r="L2" s="88">
        <v>7.8</v>
      </c>
      <c r="M2" s="88">
        <v>8.6</v>
      </c>
      <c r="N2" s="88">
        <v>8.8000000000000007</v>
      </c>
      <c r="O2" s="88">
        <v>8.1999999999999993</v>
      </c>
      <c r="P2" s="88">
        <v>8.8000000000000007</v>
      </c>
      <c r="Q2" s="88">
        <v>8.6</v>
      </c>
      <c r="R2" s="88">
        <v>8.1999999999999993</v>
      </c>
    </row>
    <row r="3" spans="1:18" x14ac:dyDescent="0.25">
      <c r="A3" s="84">
        <v>2</v>
      </c>
      <c r="B3" s="84" t="s">
        <v>2</v>
      </c>
      <c r="C3" s="88">
        <v>9.6</v>
      </c>
      <c r="D3" s="88">
        <v>10.5</v>
      </c>
      <c r="E3" s="88">
        <v>7.7</v>
      </c>
      <c r="F3" s="88">
        <v>8</v>
      </c>
      <c r="G3" s="88">
        <v>8.9</v>
      </c>
      <c r="H3" s="88">
        <v>10.6</v>
      </c>
      <c r="I3" s="88">
        <v>10.6</v>
      </c>
      <c r="J3" s="88">
        <v>9.3000000000000007</v>
      </c>
      <c r="K3" s="88">
        <v>10.199999999999999</v>
      </c>
      <c r="L3" s="88">
        <v>9.6999999999999993</v>
      </c>
      <c r="M3" s="88">
        <v>10.5</v>
      </c>
      <c r="N3" s="88">
        <v>9.3000000000000007</v>
      </c>
      <c r="O3" s="88">
        <v>9.3000000000000007</v>
      </c>
      <c r="P3" s="88">
        <v>9.3000000000000007</v>
      </c>
      <c r="Q3" s="88">
        <v>9</v>
      </c>
      <c r="R3" s="88">
        <v>8.5</v>
      </c>
    </row>
    <row r="4" spans="1:18" x14ac:dyDescent="0.25">
      <c r="A4" s="84">
        <v>3</v>
      </c>
      <c r="B4" s="84" t="s">
        <v>3</v>
      </c>
      <c r="C4" s="88">
        <v>12.2</v>
      </c>
      <c r="D4" s="88">
        <v>13.3</v>
      </c>
      <c r="E4" s="88">
        <v>10.8</v>
      </c>
      <c r="F4" s="88">
        <v>8.9</v>
      </c>
      <c r="G4" s="88">
        <v>11.5</v>
      </c>
      <c r="H4" s="88">
        <v>11.6</v>
      </c>
      <c r="I4" s="88">
        <v>11.2</v>
      </c>
      <c r="J4" s="88">
        <v>11.2</v>
      </c>
      <c r="K4" s="88">
        <v>11.7</v>
      </c>
      <c r="L4" s="88">
        <v>12</v>
      </c>
      <c r="M4" s="88">
        <v>11.7</v>
      </c>
      <c r="N4" s="88">
        <v>11.8</v>
      </c>
      <c r="O4" s="88">
        <v>11</v>
      </c>
      <c r="P4" s="88">
        <v>11.4</v>
      </c>
      <c r="Q4" s="88">
        <v>10.4</v>
      </c>
      <c r="R4" s="88">
        <v>11</v>
      </c>
    </row>
    <row r="5" spans="1:18" x14ac:dyDescent="0.25">
      <c r="A5" s="84">
        <v>4</v>
      </c>
      <c r="B5" s="84" t="s">
        <v>4</v>
      </c>
      <c r="C5" s="88">
        <v>6.7</v>
      </c>
      <c r="D5" s="88">
        <v>6.3</v>
      </c>
      <c r="E5" s="88">
        <v>4.8</v>
      </c>
      <c r="F5" s="88">
        <v>4.8</v>
      </c>
      <c r="G5" s="88">
        <v>8.1</v>
      </c>
      <c r="H5" s="88">
        <v>8.6999999999999993</v>
      </c>
      <c r="I5" s="88">
        <v>8.1999999999999993</v>
      </c>
      <c r="J5" s="88">
        <v>8.3000000000000007</v>
      </c>
      <c r="K5" s="88">
        <v>7.3</v>
      </c>
      <c r="L5" s="88">
        <v>8</v>
      </c>
      <c r="M5" s="88">
        <v>9</v>
      </c>
      <c r="N5" s="88">
        <v>9.1</v>
      </c>
      <c r="O5" s="88">
        <v>9.3000000000000007</v>
      </c>
      <c r="P5" s="88">
        <v>9.3000000000000007</v>
      </c>
      <c r="Q5" s="88">
        <v>10</v>
      </c>
      <c r="R5" s="88">
        <v>10.8</v>
      </c>
    </row>
    <row r="6" spans="1:18" x14ac:dyDescent="0.25">
      <c r="A6" s="84">
        <v>5</v>
      </c>
      <c r="B6" s="84" t="s">
        <v>5</v>
      </c>
      <c r="C6" s="88">
        <v>16.2</v>
      </c>
      <c r="D6" s="88">
        <v>14</v>
      </c>
      <c r="E6" s="88">
        <v>12.1</v>
      </c>
      <c r="F6" s="88">
        <v>11.1</v>
      </c>
      <c r="G6" s="88">
        <v>14.7</v>
      </c>
      <c r="H6" s="88">
        <v>15.3</v>
      </c>
      <c r="I6" s="88">
        <v>14</v>
      </c>
      <c r="J6" s="88">
        <v>10.9</v>
      </c>
      <c r="K6" s="88">
        <v>10</v>
      </c>
      <c r="L6" s="88">
        <v>8.9</v>
      </c>
      <c r="M6" s="88">
        <v>10.3</v>
      </c>
      <c r="N6" s="88">
        <v>10.9</v>
      </c>
      <c r="O6" s="88">
        <v>10.5</v>
      </c>
      <c r="P6" s="88">
        <v>10.4</v>
      </c>
      <c r="Q6" s="88">
        <v>10.199999999999999</v>
      </c>
      <c r="R6" s="88">
        <v>10.6</v>
      </c>
    </row>
    <row r="7" spans="1:18" x14ac:dyDescent="0.25">
      <c r="A7" s="84">
        <v>6</v>
      </c>
      <c r="B7" s="84" t="s">
        <v>6</v>
      </c>
      <c r="C7" s="88">
        <v>7.3</v>
      </c>
      <c r="D7" s="88">
        <v>7.4</v>
      </c>
      <c r="E7" s="88">
        <v>7.2</v>
      </c>
      <c r="F7" s="88">
        <v>6</v>
      </c>
      <c r="G7" s="88">
        <v>8.3000000000000007</v>
      </c>
      <c r="H7" s="88">
        <v>7.4</v>
      </c>
      <c r="I7" s="88">
        <v>8</v>
      </c>
      <c r="J7" s="88">
        <v>7.4</v>
      </c>
      <c r="K7" s="88">
        <v>7.9</v>
      </c>
      <c r="L7" s="88">
        <v>7.4</v>
      </c>
      <c r="M7" s="88">
        <v>8.6</v>
      </c>
      <c r="N7" s="88">
        <v>8.6999999999999993</v>
      </c>
      <c r="O7" s="88">
        <v>8.1999999999999993</v>
      </c>
      <c r="P7" s="88">
        <v>8.1</v>
      </c>
      <c r="Q7" s="88">
        <v>8.8000000000000007</v>
      </c>
      <c r="R7" s="88">
        <v>8.6999999999999993</v>
      </c>
    </row>
    <row r="8" spans="1:18" x14ac:dyDescent="0.25">
      <c r="A8" s="84">
        <v>7</v>
      </c>
      <c r="B8" s="84" t="s">
        <v>7</v>
      </c>
      <c r="C8" s="88">
        <v>10.8</v>
      </c>
      <c r="D8" s="88">
        <v>11.3</v>
      </c>
      <c r="E8" s="88">
        <v>10.4</v>
      </c>
      <c r="F8" s="88">
        <v>9.1</v>
      </c>
      <c r="G8" s="88">
        <v>11.4</v>
      </c>
      <c r="H8" s="88">
        <v>9.8000000000000007</v>
      </c>
      <c r="I8" s="88">
        <v>9</v>
      </c>
      <c r="J8" s="88">
        <v>8</v>
      </c>
      <c r="K8" s="88">
        <v>8.3000000000000007</v>
      </c>
      <c r="L8" s="88">
        <v>8.6999999999999993</v>
      </c>
      <c r="M8" s="88">
        <v>7.7</v>
      </c>
      <c r="N8" s="88">
        <v>7.4</v>
      </c>
      <c r="O8" s="88">
        <v>8</v>
      </c>
      <c r="P8" s="88">
        <v>8</v>
      </c>
      <c r="Q8" s="88">
        <v>8.9</v>
      </c>
      <c r="R8" s="88">
        <v>8.5</v>
      </c>
    </row>
    <row r="9" spans="1:18" x14ac:dyDescent="0.25">
      <c r="A9" s="84">
        <v>8</v>
      </c>
      <c r="B9" s="84" t="s">
        <v>8</v>
      </c>
      <c r="C9" s="88">
        <v>10.3</v>
      </c>
      <c r="D9" s="88">
        <v>9.6</v>
      </c>
      <c r="E9" s="88">
        <v>7.9</v>
      </c>
      <c r="F9" s="88">
        <v>6.5</v>
      </c>
      <c r="G9" s="88">
        <v>7.6</v>
      </c>
      <c r="H9" s="88">
        <v>9.1</v>
      </c>
      <c r="I9" s="88">
        <v>9.4</v>
      </c>
      <c r="J9" s="88">
        <v>8.9</v>
      </c>
      <c r="K9" s="88">
        <v>10.4</v>
      </c>
      <c r="L9" s="88">
        <v>8.4</v>
      </c>
      <c r="M9" s="88">
        <v>8.1</v>
      </c>
      <c r="N9" s="88">
        <v>8.6</v>
      </c>
      <c r="O9" s="88">
        <v>7.9</v>
      </c>
      <c r="P9" s="88">
        <v>8.4</v>
      </c>
      <c r="Q9" s="88">
        <v>7.2</v>
      </c>
      <c r="R9" s="88">
        <v>7.7</v>
      </c>
    </row>
    <row r="10" spans="1:18" x14ac:dyDescent="0.25">
      <c r="A10" s="84">
        <v>9</v>
      </c>
      <c r="B10" s="84" t="s">
        <v>9</v>
      </c>
      <c r="C10" s="88">
        <v>6.6</v>
      </c>
      <c r="D10" s="88">
        <v>8</v>
      </c>
      <c r="E10" s="88">
        <v>7.1</v>
      </c>
      <c r="F10" s="88">
        <v>6.5</v>
      </c>
      <c r="G10" s="88">
        <v>8.1</v>
      </c>
      <c r="H10" s="88">
        <v>10.8</v>
      </c>
      <c r="I10" s="88">
        <v>10.4</v>
      </c>
      <c r="J10" s="88">
        <v>9.9</v>
      </c>
      <c r="K10" s="88">
        <v>9</v>
      </c>
      <c r="L10" s="88">
        <v>9.3000000000000007</v>
      </c>
      <c r="M10" s="88">
        <v>9.8000000000000007</v>
      </c>
      <c r="N10" s="88">
        <v>10.4</v>
      </c>
      <c r="O10" s="88">
        <v>9.6999999999999993</v>
      </c>
      <c r="P10" s="88">
        <v>9.1</v>
      </c>
      <c r="Q10" s="88">
        <v>8.6</v>
      </c>
      <c r="R10" s="88">
        <v>9.3000000000000007</v>
      </c>
    </row>
    <row r="11" spans="1:18" x14ac:dyDescent="0.25">
      <c r="A11" s="84">
        <v>10</v>
      </c>
      <c r="B11" s="84" t="s">
        <v>10</v>
      </c>
      <c r="C11" s="88">
        <v>11.9</v>
      </c>
      <c r="D11" s="88">
        <v>11.9</v>
      </c>
      <c r="E11" s="88">
        <v>11.7</v>
      </c>
      <c r="F11" s="88">
        <v>10.5</v>
      </c>
      <c r="G11" s="88">
        <v>11.6</v>
      </c>
      <c r="H11" s="88">
        <v>14.1</v>
      </c>
      <c r="I11" s="88">
        <v>12.6</v>
      </c>
      <c r="J11" s="88">
        <v>12.1</v>
      </c>
      <c r="K11" s="88">
        <v>12.6</v>
      </c>
      <c r="L11" s="88">
        <v>16</v>
      </c>
      <c r="M11" s="88">
        <v>14.3</v>
      </c>
      <c r="N11" s="88">
        <v>16.5</v>
      </c>
      <c r="O11" s="88">
        <v>10.7</v>
      </c>
      <c r="P11" s="88">
        <v>9.6999999999999993</v>
      </c>
      <c r="Q11" s="88">
        <v>10.1</v>
      </c>
      <c r="R11" s="88">
        <v>9.9</v>
      </c>
    </row>
    <row r="12" spans="1:18" x14ac:dyDescent="0.25">
      <c r="A12" s="84">
        <v>11</v>
      </c>
      <c r="B12" s="84" t="s">
        <v>11</v>
      </c>
      <c r="C12" s="88">
        <v>7.9</v>
      </c>
      <c r="D12" s="88">
        <v>7.8</v>
      </c>
      <c r="E12" s="88">
        <v>7.9</v>
      </c>
      <c r="F12" s="88">
        <v>7.6</v>
      </c>
      <c r="G12" s="88">
        <v>9.1</v>
      </c>
      <c r="H12" s="88">
        <v>10.1</v>
      </c>
      <c r="I12" s="88">
        <v>10</v>
      </c>
      <c r="J12" s="88">
        <v>8.9</v>
      </c>
      <c r="K12" s="88">
        <v>9.6999999999999993</v>
      </c>
      <c r="L12" s="88">
        <v>10.3</v>
      </c>
      <c r="M12" s="88">
        <v>9.8000000000000007</v>
      </c>
      <c r="N12" s="88">
        <v>9.6999999999999993</v>
      </c>
      <c r="O12" s="88">
        <v>9.9</v>
      </c>
      <c r="P12" s="88">
        <v>10.3</v>
      </c>
      <c r="Q12" s="88">
        <v>10.9</v>
      </c>
      <c r="R12" s="88">
        <v>9.3000000000000007</v>
      </c>
    </row>
    <row r="13" spans="1:18" x14ac:dyDescent="0.25">
      <c r="A13" s="84">
        <v>12</v>
      </c>
      <c r="B13" s="84" t="s">
        <v>12</v>
      </c>
      <c r="C13" s="88">
        <v>8.3000000000000007</v>
      </c>
      <c r="D13" s="88">
        <v>8.1</v>
      </c>
      <c r="E13" s="88">
        <v>7.3</v>
      </c>
      <c r="F13" s="88">
        <v>6.9</v>
      </c>
      <c r="G13" s="88">
        <v>8.5</v>
      </c>
      <c r="H13" s="88">
        <v>10.6</v>
      </c>
      <c r="I13" s="88">
        <v>10.9</v>
      </c>
      <c r="J13" s="88">
        <v>12.3</v>
      </c>
      <c r="K13" s="88">
        <v>11.8</v>
      </c>
      <c r="L13" s="88">
        <v>11.5</v>
      </c>
      <c r="M13" s="88">
        <v>13.6</v>
      </c>
      <c r="N13" s="88">
        <v>12.4</v>
      </c>
      <c r="O13" s="88">
        <v>11</v>
      </c>
      <c r="P13" s="88">
        <v>12.8</v>
      </c>
      <c r="Q13" s="88">
        <v>10.9</v>
      </c>
      <c r="R13" s="88">
        <v>11.3</v>
      </c>
    </row>
    <row r="14" spans="1:18" x14ac:dyDescent="0.25">
      <c r="A14" s="84">
        <v>13</v>
      </c>
      <c r="B14" s="84" t="s">
        <v>13</v>
      </c>
      <c r="C14" s="88">
        <v>10.3</v>
      </c>
      <c r="D14" s="88">
        <v>10.3</v>
      </c>
      <c r="E14" s="88">
        <v>11.1</v>
      </c>
      <c r="F14" s="88">
        <v>8.9</v>
      </c>
      <c r="G14" s="88">
        <v>11.8</v>
      </c>
      <c r="H14" s="88">
        <v>10.3</v>
      </c>
      <c r="I14" s="88">
        <v>11.6</v>
      </c>
      <c r="J14" s="88">
        <v>12.2</v>
      </c>
      <c r="K14" s="88">
        <v>10.5</v>
      </c>
      <c r="L14" s="88">
        <v>11.1</v>
      </c>
      <c r="M14" s="88">
        <v>13.5</v>
      </c>
      <c r="N14" s="88">
        <v>14.5</v>
      </c>
      <c r="O14" s="88">
        <v>12.4</v>
      </c>
      <c r="P14" s="88">
        <v>12.3</v>
      </c>
      <c r="Q14" s="88">
        <v>10.3</v>
      </c>
      <c r="R14" s="88">
        <v>11</v>
      </c>
    </row>
    <row r="15" spans="1:18" x14ac:dyDescent="0.25">
      <c r="A15" s="84">
        <v>14</v>
      </c>
      <c r="B15" s="84" t="s">
        <v>14</v>
      </c>
      <c r="C15" s="88">
        <v>7.7</v>
      </c>
      <c r="D15" s="88">
        <v>8.9</v>
      </c>
      <c r="E15" s="88">
        <v>8.6999999999999993</v>
      </c>
      <c r="F15" s="88">
        <v>9</v>
      </c>
      <c r="G15" s="88">
        <v>9.8000000000000007</v>
      </c>
      <c r="H15" s="88">
        <v>9.6999999999999993</v>
      </c>
      <c r="I15" s="88">
        <v>9.3000000000000007</v>
      </c>
      <c r="J15" s="88">
        <v>8.5</v>
      </c>
      <c r="K15" s="88">
        <v>8.3000000000000007</v>
      </c>
      <c r="L15" s="88">
        <v>9.5</v>
      </c>
      <c r="M15" s="88">
        <v>10</v>
      </c>
      <c r="N15" s="88">
        <v>9.6999999999999993</v>
      </c>
      <c r="O15" s="88">
        <v>9.6999999999999993</v>
      </c>
      <c r="P15" s="88">
        <v>10.199999999999999</v>
      </c>
      <c r="Q15" s="88">
        <v>10</v>
      </c>
      <c r="R15" s="88">
        <v>9.8000000000000007</v>
      </c>
    </row>
    <row r="16" spans="1:18" x14ac:dyDescent="0.25">
      <c r="A16" s="84">
        <v>15</v>
      </c>
      <c r="B16" s="84" t="s">
        <v>15</v>
      </c>
      <c r="C16" s="88">
        <v>10.1</v>
      </c>
      <c r="D16" s="88">
        <v>10.199999999999999</v>
      </c>
      <c r="E16" s="88">
        <v>9.9</v>
      </c>
      <c r="F16" s="88">
        <v>8.1</v>
      </c>
      <c r="G16" s="88">
        <v>10.3</v>
      </c>
      <c r="H16" s="88">
        <v>9.8000000000000007</v>
      </c>
      <c r="I16" s="88">
        <v>9.6999999999999993</v>
      </c>
      <c r="J16" s="88">
        <v>10.4</v>
      </c>
      <c r="K16" s="88">
        <v>10.4</v>
      </c>
      <c r="L16" s="88">
        <v>10.3</v>
      </c>
      <c r="M16" s="88">
        <v>10.5</v>
      </c>
      <c r="N16" s="88">
        <v>10.6</v>
      </c>
      <c r="O16" s="88">
        <v>11.5</v>
      </c>
      <c r="P16" s="88">
        <v>11.7</v>
      </c>
      <c r="Q16" s="88">
        <v>11.5</v>
      </c>
      <c r="R16" s="88">
        <v>11.7</v>
      </c>
    </row>
    <row r="17" spans="1:18" x14ac:dyDescent="0.25">
      <c r="A17" s="84">
        <v>16</v>
      </c>
      <c r="B17" s="84" t="s">
        <v>16</v>
      </c>
      <c r="C17" s="88">
        <v>11.8</v>
      </c>
      <c r="D17" s="88">
        <v>12.4</v>
      </c>
      <c r="E17" s="88">
        <v>11.1</v>
      </c>
      <c r="F17" s="88">
        <v>10.3</v>
      </c>
      <c r="G17" s="88">
        <v>9.9</v>
      </c>
      <c r="H17" s="88">
        <v>11.4</v>
      </c>
      <c r="I17" s="88">
        <v>10.4</v>
      </c>
      <c r="J17" s="88">
        <v>10.199999999999999</v>
      </c>
      <c r="K17" s="88">
        <v>10.6</v>
      </c>
      <c r="L17" s="88">
        <v>9.8000000000000007</v>
      </c>
      <c r="M17" s="88">
        <v>10.199999999999999</v>
      </c>
      <c r="N17" s="88">
        <v>10.3</v>
      </c>
      <c r="O17" s="88">
        <v>11</v>
      </c>
      <c r="P17" s="88">
        <v>11.6</v>
      </c>
      <c r="Q17" s="88">
        <v>11.4</v>
      </c>
      <c r="R17" s="88">
        <v>11.7</v>
      </c>
    </row>
    <row r="18" spans="1:18" x14ac:dyDescent="0.25">
      <c r="A18" s="84">
        <v>17</v>
      </c>
      <c r="B18" s="84" t="s">
        <v>17</v>
      </c>
      <c r="C18" s="88">
        <v>8.5</v>
      </c>
      <c r="D18" s="88">
        <v>9.1999999999999993</v>
      </c>
      <c r="E18" s="88">
        <v>9.6</v>
      </c>
      <c r="F18" s="88">
        <v>7.8</v>
      </c>
      <c r="G18" s="88">
        <v>10.3</v>
      </c>
      <c r="H18" s="88">
        <v>11.9</v>
      </c>
      <c r="I18" s="88">
        <v>10.5</v>
      </c>
      <c r="J18" s="88">
        <v>10.199999999999999</v>
      </c>
      <c r="K18" s="88">
        <v>10.7</v>
      </c>
      <c r="L18" s="88">
        <v>10.4</v>
      </c>
      <c r="M18" s="88">
        <v>10.4</v>
      </c>
      <c r="N18" s="88">
        <v>12.3</v>
      </c>
      <c r="O18" s="88">
        <v>12</v>
      </c>
      <c r="P18" s="88">
        <v>12.1</v>
      </c>
      <c r="Q18" s="88">
        <v>11.3</v>
      </c>
      <c r="R18" s="88">
        <v>13.2</v>
      </c>
    </row>
    <row r="19" spans="1:18" x14ac:dyDescent="0.25">
      <c r="A19" s="84">
        <v>18</v>
      </c>
      <c r="B19" s="84" t="s">
        <v>18</v>
      </c>
      <c r="C19" s="88">
        <v>6.2</v>
      </c>
      <c r="D19" s="88">
        <v>7</v>
      </c>
      <c r="E19" s="88">
        <v>7.5</v>
      </c>
      <c r="F19" s="88">
        <v>5.8</v>
      </c>
      <c r="G19" s="88">
        <v>5.6</v>
      </c>
      <c r="H19" s="88">
        <v>5.7</v>
      </c>
      <c r="I19" s="88">
        <v>8.3000000000000007</v>
      </c>
      <c r="J19" s="88">
        <v>6.7</v>
      </c>
      <c r="K19" s="88">
        <v>6.6</v>
      </c>
      <c r="L19" s="88">
        <v>6.7</v>
      </c>
      <c r="M19" s="88">
        <v>8.3000000000000007</v>
      </c>
      <c r="N19" s="88">
        <v>8.1</v>
      </c>
      <c r="O19" s="88">
        <v>8.5</v>
      </c>
      <c r="P19" s="88">
        <v>8</v>
      </c>
      <c r="Q19" s="88">
        <v>7.5</v>
      </c>
      <c r="R19" s="88">
        <v>12.5</v>
      </c>
    </row>
    <row r="20" spans="1:18" x14ac:dyDescent="0.25">
      <c r="A20" s="84">
        <v>19</v>
      </c>
      <c r="B20" s="84" t="s">
        <v>19</v>
      </c>
      <c r="C20" s="88">
        <v>8.4</v>
      </c>
      <c r="D20" s="88">
        <v>8</v>
      </c>
      <c r="E20" s="88">
        <v>9</v>
      </c>
      <c r="F20" s="88">
        <v>7.8</v>
      </c>
      <c r="G20" s="88">
        <v>8.9</v>
      </c>
      <c r="H20" s="88">
        <v>10.8</v>
      </c>
      <c r="I20" s="88">
        <v>10.6</v>
      </c>
      <c r="J20" s="88">
        <v>9.6999999999999993</v>
      </c>
      <c r="K20" s="88">
        <v>9.8000000000000007</v>
      </c>
      <c r="L20" s="88">
        <v>10.6</v>
      </c>
      <c r="M20" s="88">
        <v>10.5</v>
      </c>
      <c r="N20" s="88">
        <v>11.1</v>
      </c>
      <c r="O20" s="88">
        <v>11.8</v>
      </c>
      <c r="P20" s="88">
        <v>11.6</v>
      </c>
      <c r="Q20" s="88">
        <v>10.1</v>
      </c>
      <c r="R20" s="88">
        <v>10.5</v>
      </c>
    </row>
    <row r="21" spans="1:18" x14ac:dyDescent="0.25">
      <c r="A21" s="84">
        <v>20</v>
      </c>
      <c r="B21" s="84" t="s">
        <v>20</v>
      </c>
      <c r="C21" s="88">
        <v>10</v>
      </c>
      <c r="D21" s="88">
        <v>9.8000000000000007</v>
      </c>
      <c r="E21" s="88">
        <v>9.4</v>
      </c>
      <c r="F21" s="88">
        <v>8.6999999999999993</v>
      </c>
      <c r="G21" s="88">
        <v>11.3</v>
      </c>
      <c r="H21" s="88">
        <v>11.1</v>
      </c>
      <c r="I21" s="88">
        <v>12.5</v>
      </c>
      <c r="J21" s="88">
        <v>12.3</v>
      </c>
      <c r="K21" s="88">
        <v>11</v>
      </c>
      <c r="L21" s="88">
        <v>12</v>
      </c>
      <c r="M21" s="88">
        <v>13.3</v>
      </c>
      <c r="N21" s="88">
        <v>14.2</v>
      </c>
      <c r="O21" s="88">
        <v>13.2</v>
      </c>
      <c r="P21" s="88">
        <v>13</v>
      </c>
      <c r="Q21" s="88">
        <v>12.8</v>
      </c>
      <c r="R21" s="88">
        <v>12.5</v>
      </c>
    </row>
    <row r="22" spans="1:18" x14ac:dyDescent="0.25">
      <c r="A22" s="84">
        <v>21</v>
      </c>
      <c r="B22" s="84" t="s">
        <v>21</v>
      </c>
      <c r="C22" s="88">
        <v>8.6</v>
      </c>
      <c r="D22" s="88">
        <v>8.3000000000000007</v>
      </c>
      <c r="E22" s="88">
        <v>7.9</v>
      </c>
      <c r="F22" s="88">
        <v>7.6</v>
      </c>
      <c r="G22" s="88">
        <v>7.2</v>
      </c>
      <c r="H22" s="88">
        <v>7.9</v>
      </c>
      <c r="I22" s="88">
        <v>8</v>
      </c>
      <c r="J22" s="88">
        <v>8.5</v>
      </c>
      <c r="K22" s="88">
        <v>8.6</v>
      </c>
      <c r="L22" s="88">
        <v>8</v>
      </c>
      <c r="M22" s="88">
        <v>8.6999999999999993</v>
      </c>
      <c r="N22" s="88">
        <v>9.5</v>
      </c>
      <c r="O22" s="88">
        <v>8.8000000000000007</v>
      </c>
      <c r="P22" s="88">
        <v>9.1</v>
      </c>
      <c r="Q22" s="88">
        <v>8.9</v>
      </c>
      <c r="R22" s="88">
        <v>8.6999999999999993</v>
      </c>
    </row>
    <row r="23" spans="1:18" x14ac:dyDescent="0.25">
      <c r="A23" s="84">
        <v>22</v>
      </c>
      <c r="B23" s="84" t="s">
        <v>22</v>
      </c>
      <c r="C23" s="88">
        <v>8.1</v>
      </c>
      <c r="D23" s="88">
        <v>8.6</v>
      </c>
      <c r="E23" s="88">
        <v>8.9</v>
      </c>
      <c r="F23" s="88">
        <v>8.1999999999999993</v>
      </c>
      <c r="G23" s="88">
        <v>10.199999999999999</v>
      </c>
      <c r="H23" s="88">
        <v>11.6</v>
      </c>
      <c r="I23" s="88">
        <v>11.1</v>
      </c>
      <c r="J23" s="88">
        <v>11.5</v>
      </c>
      <c r="K23" s="88">
        <v>11.5</v>
      </c>
      <c r="L23" s="88">
        <v>10.8</v>
      </c>
      <c r="M23" s="88">
        <v>11.1</v>
      </c>
      <c r="N23" s="88">
        <v>10.9</v>
      </c>
      <c r="O23" s="88">
        <v>10.5</v>
      </c>
      <c r="P23" s="88">
        <v>10</v>
      </c>
      <c r="Q23" s="88">
        <v>11.2</v>
      </c>
      <c r="R23" s="88">
        <v>10.3</v>
      </c>
    </row>
    <row r="24" spans="1:18" x14ac:dyDescent="0.25">
      <c r="A24" s="84">
        <v>23</v>
      </c>
      <c r="B24" s="84" t="s">
        <v>23</v>
      </c>
      <c r="C24" s="88">
        <v>6.4</v>
      </c>
      <c r="D24" s="88">
        <v>7.1</v>
      </c>
      <c r="E24" s="88">
        <v>6.7</v>
      </c>
      <c r="F24" s="88">
        <v>7.7</v>
      </c>
      <c r="G24" s="88">
        <v>7.8</v>
      </c>
      <c r="H24" s="88">
        <v>8.6</v>
      </c>
      <c r="I24" s="88">
        <v>7</v>
      </c>
      <c r="J24" s="88">
        <v>7.3</v>
      </c>
      <c r="K24" s="88">
        <v>7.1</v>
      </c>
      <c r="L24" s="88">
        <v>7</v>
      </c>
      <c r="M24" s="88">
        <v>8</v>
      </c>
      <c r="N24" s="88">
        <v>9.4</v>
      </c>
      <c r="O24" s="88">
        <v>9.5</v>
      </c>
      <c r="P24" s="88">
        <v>9.1</v>
      </c>
      <c r="Q24" s="88">
        <v>8.5</v>
      </c>
      <c r="R24" s="88">
        <v>8</v>
      </c>
    </row>
    <row r="25" spans="1:18" x14ac:dyDescent="0.25">
      <c r="A25" s="84">
        <v>24</v>
      </c>
      <c r="B25" s="84" t="s">
        <v>24</v>
      </c>
      <c r="C25" s="88">
        <v>9.8000000000000007</v>
      </c>
      <c r="D25" s="88">
        <v>8.6</v>
      </c>
      <c r="E25" s="88">
        <v>8.6</v>
      </c>
      <c r="F25" s="88">
        <v>7.4</v>
      </c>
      <c r="G25" s="88">
        <v>11.7</v>
      </c>
      <c r="H25" s="88">
        <v>15.1</v>
      </c>
      <c r="I25" s="88">
        <v>13.3</v>
      </c>
      <c r="J25" s="88">
        <v>10.6</v>
      </c>
      <c r="K25" s="88">
        <v>12.5</v>
      </c>
      <c r="L25" s="88">
        <v>13.4</v>
      </c>
      <c r="M25" s="88">
        <v>12.3</v>
      </c>
      <c r="N25" s="88">
        <v>12.6</v>
      </c>
      <c r="O25" s="88">
        <v>11.5</v>
      </c>
      <c r="P25" s="88">
        <v>12.8</v>
      </c>
      <c r="Q25" s="88">
        <v>11.6</v>
      </c>
      <c r="R25" s="88">
        <v>10.4</v>
      </c>
    </row>
    <row r="26" spans="1:18" x14ac:dyDescent="0.25">
      <c r="A26" s="84">
        <v>25</v>
      </c>
      <c r="B26" s="84" t="s">
        <v>25</v>
      </c>
      <c r="C26" s="88">
        <v>11.4</v>
      </c>
      <c r="D26" s="88">
        <v>11.8</v>
      </c>
      <c r="E26" s="88">
        <v>11.8</v>
      </c>
      <c r="F26" s="88">
        <v>10.3</v>
      </c>
      <c r="G26" s="88">
        <v>10.6</v>
      </c>
      <c r="H26" s="88">
        <v>11.3</v>
      </c>
      <c r="I26" s="88">
        <v>11.7</v>
      </c>
      <c r="J26" s="88">
        <v>11.1</v>
      </c>
      <c r="K26" s="88">
        <v>11.7</v>
      </c>
      <c r="L26" s="88">
        <v>11.6</v>
      </c>
      <c r="M26" s="88">
        <v>11.3</v>
      </c>
      <c r="N26" s="88">
        <v>11.8</v>
      </c>
      <c r="O26" s="88">
        <v>11.2</v>
      </c>
      <c r="P26" s="88">
        <v>11.7</v>
      </c>
      <c r="Q26" s="88">
        <v>13</v>
      </c>
      <c r="R26" s="88">
        <v>12.1</v>
      </c>
    </row>
    <row r="27" spans="1:18" x14ac:dyDescent="0.25">
      <c r="A27" s="84">
        <v>26</v>
      </c>
      <c r="B27" s="84" t="s">
        <v>26</v>
      </c>
      <c r="C27" s="88">
        <v>7.1</v>
      </c>
      <c r="D27" s="88">
        <v>7.9</v>
      </c>
      <c r="E27" s="88">
        <v>9.1999999999999993</v>
      </c>
      <c r="F27" s="88">
        <v>9.3000000000000007</v>
      </c>
      <c r="G27" s="88">
        <v>10.199999999999999</v>
      </c>
      <c r="H27" s="88">
        <v>10.5</v>
      </c>
      <c r="I27" s="88">
        <v>9.6</v>
      </c>
      <c r="J27" s="88">
        <v>9.8000000000000007</v>
      </c>
      <c r="K27" s="88">
        <v>9.8000000000000007</v>
      </c>
      <c r="L27" s="88">
        <v>8.6999999999999993</v>
      </c>
      <c r="M27" s="88">
        <v>9.5</v>
      </c>
      <c r="N27" s="88">
        <v>9.6999999999999993</v>
      </c>
      <c r="O27" s="88">
        <v>11.1</v>
      </c>
      <c r="P27" s="88">
        <v>12.8</v>
      </c>
      <c r="Q27" s="88">
        <v>12.2</v>
      </c>
      <c r="R27" s="88">
        <v>12.5</v>
      </c>
    </row>
    <row r="28" spans="1:18" x14ac:dyDescent="0.25">
      <c r="A28" s="84">
        <v>27</v>
      </c>
      <c r="B28" s="84" t="s">
        <v>27</v>
      </c>
      <c r="C28" s="88">
        <v>7.9</v>
      </c>
      <c r="D28" s="88">
        <v>8.1</v>
      </c>
      <c r="E28" s="88">
        <v>7.4</v>
      </c>
      <c r="F28" s="88">
        <v>7.7</v>
      </c>
      <c r="G28" s="88">
        <v>7.9</v>
      </c>
      <c r="H28" s="88">
        <v>9</v>
      </c>
      <c r="I28" s="88">
        <v>9.1999999999999993</v>
      </c>
      <c r="J28" s="88">
        <v>8.6</v>
      </c>
      <c r="K28" s="88">
        <v>10.199999999999999</v>
      </c>
      <c r="L28" s="88">
        <v>9.3000000000000007</v>
      </c>
      <c r="M28" s="88">
        <v>10.1</v>
      </c>
      <c r="N28" s="88">
        <v>9.6</v>
      </c>
      <c r="O28" s="88">
        <v>9.4</v>
      </c>
      <c r="P28" s="88">
        <v>10.4</v>
      </c>
      <c r="Q28" s="88">
        <v>10.1</v>
      </c>
      <c r="R28" s="88">
        <v>11.1</v>
      </c>
    </row>
    <row r="29" spans="1:18" x14ac:dyDescent="0.25">
      <c r="A29" s="84">
        <v>28</v>
      </c>
      <c r="B29" s="84" t="s">
        <v>28</v>
      </c>
      <c r="C29" s="88">
        <v>8.3000000000000007</v>
      </c>
      <c r="D29" s="88">
        <v>9.4</v>
      </c>
      <c r="E29" s="88">
        <v>7.2</v>
      </c>
      <c r="F29" s="88">
        <v>8</v>
      </c>
      <c r="G29" s="88">
        <v>8.6</v>
      </c>
      <c r="H29" s="88">
        <v>8.6999999999999993</v>
      </c>
      <c r="I29" s="88">
        <v>9.4</v>
      </c>
      <c r="J29" s="88">
        <v>9.1</v>
      </c>
      <c r="K29" s="88">
        <v>9.4</v>
      </c>
      <c r="L29" s="88">
        <v>7.6</v>
      </c>
      <c r="M29" s="88">
        <v>7.5</v>
      </c>
      <c r="N29" s="88">
        <v>8.6999999999999993</v>
      </c>
      <c r="O29" s="88">
        <v>8.9</v>
      </c>
      <c r="P29" s="88">
        <v>10</v>
      </c>
      <c r="Q29" s="88">
        <v>9.5</v>
      </c>
      <c r="R29" s="88">
        <v>9.8000000000000007</v>
      </c>
    </row>
    <row r="30" spans="1:18" x14ac:dyDescent="0.25">
      <c r="A30" s="84">
        <v>29</v>
      </c>
      <c r="B30" s="84" t="s">
        <v>29</v>
      </c>
      <c r="C30" s="88">
        <v>8.4</v>
      </c>
      <c r="D30" s="88">
        <v>9.1999999999999993</v>
      </c>
      <c r="E30" s="88">
        <v>8.9</v>
      </c>
      <c r="F30" s="88">
        <v>8.6999999999999993</v>
      </c>
      <c r="G30" s="85">
        <v>9.5</v>
      </c>
      <c r="H30" s="88">
        <v>8.4</v>
      </c>
      <c r="I30" s="88">
        <v>7.1</v>
      </c>
      <c r="J30" s="88">
        <v>7.6</v>
      </c>
      <c r="K30" s="88">
        <v>8.6999999999999993</v>
      </c>
      <c r="L30" s="88">
        <v>8.6999999999999993</v>
      </c>
      <c r="M30" s="88">
        <v>9.3000000000000007</v>
      </c>
      <c r="N30" s="88">
        <v>9.1999999999999993</v>
      </c>
      <c r="O30" s="88">
        <v>10.4</v>
      </c>
      <c r="P30" s="88">
        <v>9.9</v>
      </c>
      <c r="Q30" s="88">
        <v>9.6</v>
      </c>
      <c r="R30" s="88">
        <v>10.5</v>
      </c>
    </row>
    <row r="31" spans="1:18" x14ac:dyDescent="0.25">
      <c r="A31" s="84">
        <v>30</v>
      </c>
      <c r="B31" s="84" t="s">
        <v>30</v>
      </c>
      <c r="C31" s="88">
        <v>7.4</v>
      </c>
      <c r="D31" s="88">
        <v>7.2</v>
      </c>
      <c r="E31" s="88">
        <v>6.7</v>
      </c>
      <c r="F31" s="88">
        <v>6.5</v>
      </c>
      <c r="G31" s="88">
        <v>6.7</v>
      </c>
      <c r="H31" s="88">
        <v>6.9</v>
      </c>
      <c r="I31" s="88">
        <v>8.1</v>
      </c>
      <c r="J31" s="88">
        <v>7.2</v>
      </c>
      <c r="K31" s="88">
        <v>9.1999999999999993</v>
      </c>
      <c r="L31" s="88">
        <v>10.6</v>
      </c>
      <c r="M31" s="88">
        <v>9.8000000000000007</v>
      </c>
      <c r="N31" s="88">
        <v>9.1</v>
      </c>
      <c r="O31" s="88">
        <v>7.5</v>
      </c>
      <c r="P31" s="88">
        <v>8.1</v>
      </c>
      <c r="Q31" s="88">
        <v>6.7</v>
      </c>
      <c r="R31" s="88">
        <v>6</v>
      </c>
    </row>
    <row r="32" spans="1:18" x14ac:dyDescent="0.25">
      <c r="A32" s="84">
        <v>31</v>
      </c>
      <c r="B32" s="84" t="s">
        <v>31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8">
        <v>6.6</v>
      </c>
      <c r="N32" s="88">
        <v>8.4</v>
      </c>
      <c r="O32" s="88">
        <v>9.6999999999999993</v>
      </c>
      <c r="P32" s="88">
        <v>10</v>
      </c>
      <c r="Q32" s="88">
        <v>9.5</v>
      </c>
      <c r="R32" s="88">
        <v>9.9</v>
      </c>
    </row>
    <row r="33" spans="1:18" x14ac:dyDescent="0.25">
      <c r="A33" s="84">
        <v>32</v>
      </c>
      <c r="B33" s="84" t="s">
        <v>32</v>
      </c>
      <c r="C33" s="88">
        <v>9.8000000000000007</v>
      </c>
      <c r="D33" s="88">
        <v>8.1</v>
      </c>
      <c r="E33" s="88">
        <v>7.9</v>
      </c>
      <c r="F33" s="88">
        <v>8</v>
      </c>
      <c r="G33" s="85">
        <v>8.5</v>
      </c>
      <c r="H33" s="88">
        <v>8.6</v>
      </c>
      <c r="I33" s="88">
        <v>9.6</v>
      </c>
      <c r="J33" s="88">
        <v>10</v>
      </c>
      <c r="K33" s="88">
        <v>9.4</v>
      </c>
      <c r="L33" s="88">
        <v>8.8000000000000007</v>
      </c>
      <c r="M33" s="88">
        <v>8.1999999999999993</v>
      </c>
      <c r="N33" s="88">
        <v>10.4</v>
      </c>
      <c r="O33" s="88">
        <v>10.3</v>
      </c>
      <c r="P33" s="88">
        <v>10.6</v>
      </c>
      <c r="Q33" s="88">
        <v>8.6</v>
      </c>
      <c r="R33" s="88">
        <v>9</v>
      </c>
    </row>
    <row r="34" spans="1:18" x14ac:dyDescent="0.25">
      <c r="A34" s="84">
        <v>33</v>
      </c>
      <c r="B34" s="84" t="s">
        <v>33</v>
      </c>
      <c r="C34" s="88">
        <v>6.6</v>
      </c>
      <c r="D34" s="88">
        <v>6.6</v>
      </c>
      <c r="E34" s="88">
        <v>5.6</v>
      </c>
      <c r="F34" s="88">
        <v>6</v>
      </c>
      <c r="G34" s="88">
        <v>6.3</v>
      </c>
      <c r="H34" s="88">
        <v>6.7</v>
      </c>
      <c r="I34" s="88">
        <v>6.3</v>
      </c>
      <c r="J34" s="88">
        <v>6.7</v>
      </c>
      <c r="K34" s="88">
        <v>6.6</v>
      </c>
      <c r="L34" s="88">
        <v>7</v>
      </c>
      <c r="M34" s="88">
        <v>6.9</v>
      </c>
      <c r="N34" s="88">
        <v>9</v>
      </c>
      <c r="O34" s="88">
        <v>9.1</v>
      </c>
      <c r="P34" s="88">
        <v>8.4</v>
      </c>
      <c r="Q34" s="88">
        <v>7</v>
      </c>
      <c r="R34" s="88">
        <v>7.3</v>
      </c>
    </row>
    <row r="35" spans="1:18" x14ac:dyDescent="0.25">
      <c r="A35" s="84">
        <v>34</v>
      </c>
      <c r="B35" s="84" t="s">
        <v>34</v>
      </c>
      <c r="C35" s="88">
        <v>8.6</v>
      </c>
      <c r="D35" s="88">
        <v>9.8000000000000007</v>
      </c>
      <c r="E35" s="88">
        <v>8.3000000000000007</v>
      </c>
      <c r="F35" s="88">
        <v>8.9</v>
      </c>
      <c r="G35" s="88">
        <v>11.1</v>
      </c>
      <c r="H35" s="88">
        <v>10.8</v>
      </c>
      <c r="I35" s="88">
        <v>10.7</v>
      </c>
      <c r="J35" s="88">
        <v>8.9</v>
      </c>
      <c r="K35" s="88">
        <v>9.5</v>
      </c>
      <c r="L35" s="88">
        <v>9.6</v>
      </c>
      <c r="M35" s="88">
        <v>9.6</v>
      </c>
      <c r="N35" s="88">
        <v>9.5</v>
      </c>
      <c r="O35" s="88">
        <v>10.9</v>
      </c>
      <c r="P35" s="88">
        <v>10.7</v>
      </c>
      <c r="Q35" s="88">
        <v>10</v>
      </c>
      <c r="R35" s="88">
        <v>9.4</v>
      </c>
    </row>
    <row r="36" spans="1:18" x14ac:dyDescent="0.25">
      <c r="A36" s="84">
        <v>35</v>
      </c>
      <c r="B36" s="84" t="s">
        <v>35</v>
      </c>
      <c r="C36" s="88">
        <v>9.1</v>
      </c>
      <c r="D36" s="88">
        <v>10.8</v>
      </c>
      <c r="E36" s="88">
        <v>9.1</v>
      </c>
      <c r="F36" s="88">
        <v>9.1</v>
      </c>
      <c r="G36" s="88">
        <v>10.3</v>
      </c>
      <c r="H36" s="88">
        <v>11</v>
      </c>
      <c r="I36" s="88">
        <v>10.6</v>
      </c>
      <c r="J36" s="88">
        <v>10.9</v>
      </c>
      <c r="K36" s="88">
        <v>11</v>
      </c>
      <c r="L36" s="88">
        <v>10.5</v>
      </c>
      <c r="M36" s="88">
        <v>10.6</v>
      </c>
      <c r="N36" s="88">
        <v>12</v>
      </c>
      <c r="O36" s="88">
        <v>11.2</v>
      </c>
      <c r="P36" s="88">
        <v>11.4</v>
      </c>
      <c r="Q36" s="88">
        <v>11.4</v>
      </c>
      <c r="R36" s="88">
        <v>11.9</v>
      </c>
    </row>
    <row r="37" spans="1:18" x14ac:dyDescent="0.25">
      <c r="A37" s="84">
        <v>36</v>
      </c>
      <c r="B37" s="84" t="s">
        <v>36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8">
        <v>6.7</v>
      </c>
      <c r="N37" s="88">
        <v>6.4</v>
      </c>
      <c r="O37" s="88">
        <v>5.8</v>
      </c>
      <c r="P37" s="88">
        <v>7.5</v>
      </c>
      <c r="Q37" s="88">
        <v>8.1999999999999993</v>
      </c>
      <c r="R37" s="88">
        <v>5.9</v>
      </c>
    </row>
    <row r="38" spans="1:18" x14ac:dyDescent="0.25">
      <c r="A38" s="84">
        <v>37</v>
      </c>
      <c r="B38" s="84" t="s">
        <v>37</v>
      </c>
      <c r="C38" s="88">
        <v>2.7</v>
      </c>
      <c r="D38" s="88">
        <v>3.1</v>
      </c>
      <c r="E38" s="88">
        <v>4.8</v>
      </c>
      <c r="F38" s="88">
        <v>3.8</v>
      </c>
      <c r="G38" s="88">
        <v>4.8</v>
      </c>
      <c r="H38" s="88">
        <v>4.5999999999999996</v>
      </c>
      <c r="I38" s="88">
        <v>5.7</v>
      </c>
      <c r="J38" s="88">
        <v>5.9</v>
      </c>
      <c r="K38" s="88">
        <v>5.4</v>
      </c>
      <c r="L38" s="88">
        <v>4.8</v>
      </c>
      <c r="M38" s="88">
        <v>4.9000000000000004</v>
      </c>
      <c r="N38" s="88">
        <v>4.5999999999999996</v>
      </c>
      <c r="O38" s="88">
        <v>5.6</v>
      </c>
      <c r="P38" s="88">
        <v>4.5999999999999996</v>
      </c>
      <c r="Q38" s="88">
        <v>5.4</v>
      </c>
      <c r="R38" s="88">
        <v>6.4</v>
      </c>
    </row>
    <row r="39" spans="1:18" x14ac:dyDescent="0.25">
      <c r="A39" s="84">
        <v>38</v>
      </c>
      <c r="B39" s="84" t="s">
        <v>38</v>
      </c>
      <c r="C39" s="88">
        <v>2.2000000000000002</v>
      </c>
      <c r="D39" s="88">
        <v>4</v>
      </c>
      <c r="E39" s="88">
        <v>3.2</v>
      </c>
      <c r="F39" s="88">
        <v>4</v>
      </c>
      <c r="G39" s="88">
        <v>4.7</v>
      </c>
      <c r="H39" s="88">
        <v>6.9</v>
      </c>
      <c r="I39" s="88">
        <v>4.5</v>
      </c>
      <c r="J39" s="88">
        <v>5.9</v>
      </c>
      <c r="K39" s="88">
        <v>5.5</v>
      </c>
      <c r="L39" s="88">
        <v>7.8</v>
      </c>
      <c r="M39" s="88">
        <v>10.199999999999999</v>
      </c>
      <c r="N39" s="88">
        <v>7</v>
      </c>
      <c r="O39" s="88">
        <v>6.3</v>
      </c>
      <c r="P39" s="88">
        <v>4.8</v>
      </c>
      <c r="Q39" s="88">
        <v>9.9</v>
      </c>
      <c r="R39" s="88">
        <v>7.5</v>
      </c>
    </row>
    <row r="40" spans="1:18" x14ac:dyDescent="0.25">
      <c r="A40" s="84">
        <v>39</v>
      </c>
      <c r="B40" s="84" t="s">
        <v>42</v>
      </c>
      <c r="C40" s="88">
        <v>8.8000000000000007</v>
      </c>
      <c r="D40" s="88">
        <v>8.8000000000000007</v>
      </c>
      <c r="E40" s="88">
        <v>8.8000000000000007</v>
      </c>
      <c r="F40" s="88">
        <v>7.8</v>
      </c>
      <c r="G40" s="88">
        <v>9</v>
      </c>
      <c r="H40" s="88">
        <v>8.5</v>
      </c>
      <c r="I40" s="88">
        <v>10</v>
      </c>
      <c r="J40" s="88">
        <v>8.6</v>
      </c>
      <c r="K40" s="88">
        <v>9.4</v>
      </c>
      <c r="L40" s="88">
        <v>8.4</v>
      </c>
      <c r="M40" s="88">
        <v>8.6</v>
      </c>
      <c r="N40" s="88">
        <v>9.3000000000000007</v>
      </c>
      <c r="O40" s="88">
        <v>8.5</v>
      </c>
      <c r="P40" s="88">
        <v>7.9</v>
      </c>
      <c r="Q40" s="88">
        <v>7.5</v>
      </c>
      <c r="R40" s="88">
        <v>6.7</v>
      </c>
    </row>
    <row r="41" spans="1:18" x14ac:dyDescent="0.25">
      <c r="A41" s="84">
        <v>40</v>
      </c>
      <c r="B41" s="84" t="s">
        <v>39</v>
      </c>
      <c r="C41" s="88">
        <v>7.3</v>
      </c>
      <c r="D41" s="88">
        <v>7.9</v>
      </c>
      <c r="E41" s="88">
        <v>8.1</v>
      </c>
      <c r="F41" s="88">
        <v>6.6</v>
      </c>
      <c r="G41" s="88">
        <v>6.8</v>
      </c>
      <c r="H41" s="88">
        <v>8.1999999999999993</v>
      </c>
      <c r="I41" s="88">
        <v>10.4</v>
      </c>
      <c r="J41" s="88">
        <v>8.6999999999999993</v>
      </c>
      <c r="K41" s="88">
        <v>9.8000000000000007</v>
      </c>
      <c r="L41" s="88">
        <v>9.6999999999999993</v>
      </c>
      <c r="M41" s="88">
        <v>10.4</v>
      </c>
      <c r="N41" s="88">
        <v>10.7</v>
      </c>
      <c r="O41" s="88">
        <v>11.6</v>
      </c>
      <c r="P41" s="88">
        <v>11.1</v>
      </c>
      <c r="Q41" s="88">
        <v>10.3</v>
      </c>
      <c r="R41" s="88">
        <v>9.4</v>
      </c>
    </row>
    <row r="42" spans="1:18" x14ac:dyDescent="0.25">
      <c r="A42" s="84">
        <v>41</v>
      </c>
      <c r="B42" s="84" t="s">
        <v>43</v>
      </c>
      <c r="C42" s="88">
        <v>7.1</v>
      </c>
      <c r="D42" s="88">
        <v>7.7</v>
      </c>
      <c r="E42" s="88">
        <v>6.9</v>
      </c>
      <c r="F42" s="88">
        <v>5.8</v>
      </c>
      <c r="G42" s="88">
        <v>8.5</v>
      </c>
      <c r="H42" s="88">
        <v>8.3000000000000007</v>
      </c>
      <c r="I42" s="88">
        <v>8.6</v>
      </c>
      <c r="J42" s="88">
        <v>9</v>
      </c>
      <c r="K42" s="88">
        <v>8.3000000000000007</v>
      </c>
      <c r="L42" s="88">
        <v>8.6999999999999993</v>
      </c>
      <c r="M42" s="88">
        <v>7.8</v>
      </c>
      <c r="N42" s="88">
        <v>9.3000000000000007</v>
      </c>
      <c r="O42" s="88">
        <v>8.6999999999999993</v>
      </c>
      <c r="P42" s="88">
        <v>8.4</v>
      </c>
      <c r="Q42" s="88">
        <v>7.2</v>
      </c>
      <c r="R42" s="88">
        <v>7.1</v>
      </c>
    </row>
    <row r="43" spans="1:18" x14ac:dyDescent="0.25">
      <c r="A43" s="84">
        <v>42</v>
      </c>
      <c r="B43" s="84" t="s">
        <v>40</v>
      </c>
      <c r="C43" s="88"/>
      <c r="D43" s="88">
        <v>2.2000000000000002</v>
      </c>
      <c r="E43" s="88">
        <v>2.4</v>
      </c>
      <c r="F43" s="88">
        <v>1</v>
      </c>
      <c r="G43" s="88">
        <v>1</v>
      </c>
      <c r="H43" s="88">
        <v>0.6</v>
      </c>
      <c r="I43" s="88">
        <v>2.1</v>
      </c>
      <c r="J43" s="88">
        <v>1</v>
      </c>
      <c r="K43" s="88">
        <v>4.9000000000000004</v>
      </c>
      <c r="L43" s="88">
        <v>4.3</v>
      </c>
      <c r="M43" s="88">
        <v>5.6</v>
      </c>
      <c r="N43" s="88">
        <v>8.6999999999999993</v>
      </c>
      <c r="O43" s="88">
        <v>9</v>
      </c>
      <c r="P43" s="88">
        <v>7.2</v>
      </c>
      <c r="Q43" s="88">
        <v>10.4</v>
      </c>
      <c r="R43" s="88">
        <v>8.8000000000000007</v>
      </c>
    </row>
    <row r="44" spans="1:18" x14ac:dyDescent="0.25">
      <c r="A44" s="84">
        <v>43</v>
      </c>
      <c r="B44" s="84" t="s">
        <v>41</v>
      </c>
      <c r="C44" s="88">
        <v>9</v>
      </c>
      <c r="D44" s="88">
        <v>10.7</v>
      </c>
      <c r="E44" s="88">
        <v>9.4</v>
      </c>
      <c r="F44" s="88">
        <v>8.4</v>
      </c>
      <c r="G44" s="85">
        <v>8.8000000000000007</v>
      </c>
      <c r="H44" s="88">
        <v>8.6999999999999993</v>
      </c>
      <c r="I44" s="88">
        <v>10.4</v>
      </c>
      <c r="J44" s="88">
        <v>10.199999999999999</v>
      </c>
      <c r="K44" s="88">
        <v>8.9</v>
      </c>
      <c r="L44" s="88">
        <v>10.199999999999999</v>
      </c>
      <c r="M44" s="88">
        <v>10.6</v>
      </c>
      <c r="N44" s="88">
        <v>11.5</v>
      </c>
      <c r="O44" s="88">
        <v>11.8</v>
      </c>
      <c r="P44" s="88">
        <v>12.5</v>
      </c>
      <c r="Q44" s="88">
        <v>10.8</v>
      </c>
      <c r="R44" s="88">
        <v>9.5</v>
      </c>
    </row>
    <row r="45" spans="1:18" x14ac:dyDescent="0.25">
      <c r="A45" s="84">
        <v>44</v>
      </c>
      <c r="B45" s="84" t="s">
        <v>44</v>
      </c>
      <c r="C45" s="88">
        <v>7.5</v>
      </c>
      <c r="D45" s="88">
        <v>6.8</v>
      </c>
      <c r="E45" s="88">
        <v>5.8</v>
      </c>
      <c r="F45" s="88">
        <v>5.0999999999999996</v>
      </c>
      <c r="G45" s="88">
        <v>6.2</v>
      </c>
      <c r="H45" s="88">
        <v>6.4</v>
      </c>
      <c r="I45" s="88">
        <v>7.2</v>
      </c>
      <c r="J45" s="88">
        <v>5.4</v>
      </c>
      <c r="K45" s="88">
        <v>6.1</v>
      </c>
      <c r="L45" s="88">
        <v>6.3</v>
      </c>
      <c r="M45" s="88">
        <v>8.4</v>
      </c>
      <c r="N45" s="88">
        <v>7.8</v>
      </c>
      <c r="O45" s="88">
        <v>7.7</v>
      </c>
      <c r="P45" s="88">
        <v>7.8</v>
      </c>
      <c r="Q45" s="88">
        <v>9</v>
      </c>
      <c r="R45" s="88">
        <v>8</v>
      </c>
    </row>
    <row r="46" spans="1:18" x14ac:dyDescent="0.25">
      <c r="A46" s="84">
        <v>45</v>
      </c>
      <c r="B46" s="84" t="s">
        <v>45</v>
      </c>
      <c r="C46" s="88">
        <v>7.7</v>
      </c>
      <c r="D46" s="88">
        <v>7.6</v>
      </c>
      <c r="E46" s="88">
        <v>6.9</v>
      </c>
      <c r="F46" s="88">
        <v>6.9</v>
      </c>
      <c r="G46" s="88">
        <v>7.8</v>
      </c>
      <c r="H46" s="88">
        <v>8.9</v>
      </c>
      <c r="I46" s="88">
        <v>8.1</v>
      </c>
      <c r="J46" s="88">
        <v>9.8000000000000007</v>
      </c>
      <c r="K46" s="88">
        <v>8.9</v>
      </c>
      <c r="L46" s="88">
        <v>7.2</v>
      </c>
      <c r="M46" s="88">
        <v>8.9</v>
      </c>
      <c r="N46" s="88">
        <v>10.7</v>
      </c>
      <c r="O46" s="88">
        <v>11</v>
      </c>
      <c r="P46" s="88">
        <v>10.7</v>
      </c>
      <c r="Q46" s="88">
        <v>11.2</v>
      </c>
      <c r="R46" s="88">
        <v>11.5</v>
      </c>
    </row>
    <row r="47" spans="1:18" x14ac:dyDescent="0.25">
      <c r="A47" s="84">
        <v>46</v>
      </c>
      <c r="B47" s="84" t="s">
        <v>46</v>
      </c>
      <c r="C47" s="88">
        <v>8.8000000000000007</v>
      </c>
      <c r="D47" s="88">
        <v>7.5</v>
      </c>
      <c r="E47" s="88">
        <v>6.9</v>
      </c>
      <c r="F47" s="88">
        <v>6.4</v>
      </c>
      <c r="G47" s="88">
        <v>7.7</v>
      </c>
      <c r="H47" s="88">
        <v>7.5</v>
      </c>
      <c r="I47" s="88">
        <v>9</v>
      </c>
      <c r="J47" s="88">
        <v>9.5</v>
      </c>
      <c r="K47" s="88">
        <v>8.6</v>
      </c>
      <c r="L47" s="88">
        <v>8.9</v>
      </c>
      <c r="M47" s="88">
        <v>9.9</v>
      </c>
      <c r="N47" s="88">
        <v>9.4</v>
      </c>
      <c r="O47" s="88">
        <v>9.5</v>
      </c>
      <c r="P47" s="88">
        <v>9.9</v>
      </c>
      <c r="Q47" s="88">
        <v>9.9</v>
      </c>
      <c r="R47" s="88">
        <v>10</v>
      </c>
    </row>
    <row r="48" spans="1:18" x14ac:dyDescent="0.25">
      <c r="A48" s="84">
        <v>47</v>
      </c>
      <c r="B48" s="84" t="s">
        <v>47</v>
      </c>
      <c r="C48" s="88">
        <v>9</v>
      </c>
      <c r="D48" s="88">
        <v>10</v>
      </c>
      <c r="E48" s="88">
        <v>8.9</v>
      </c>
      <c r="F48" s="88">
        <v>8.5</v>
      </c>
      <c r="G48" s="88">
        <v>10.9</v>
      </c>
      <c r="H48" s="88">
        <v>9.9</v>
      </c>
      <c r="I48" s="88">
        <v>11</v>
      </c>
      <c r="J48" s="88">
        <v>9.1</v>
      </c>
      <c r="K48" s="88">
        <v>8</v>
      </c>
      <c r="L48" s="88">
        <v>8.1</v>
      </c>
      <c r="M48" s="88">
        <v>7.9</v>
      </c>
      <c r="N48" s="88">
        <v>8.5</v>
      </c>
      <c r="O48" s="88">
        <v>8.1999999999999993</v>
      </c>
      <c r="P48" s="88">
        <v>7.1</v>
      </c>
      <c r="Q48" s="88">
        <v>8.6999999999999993</v>
      </c>
      <c r="R48" s="88">
        <v>10.9</v>
      </c>
    </row>
    <row r="49" spans="1:18" x14ac:dyDescent="0.25">
      <c r="A49" s="84">
        <v>48</v>
      </c>
      <c r="B49" s="84" t="s">
        <v>48</v>
      </c>
      <c r="C49" s="88">
        <v>9.5</v>
      </c>
      <c r="D49" s="88">
        <v>8.9</v>
      </c>
      <c r="E49" s="88">
        <v>8.1999999999999993</v>
      </c>
      <c r="F49" s="88">
        <v>7.3</v>
      </c>
      <c r="G49" s="88">
        <v>8.6</v>
      </c>
      <c r="H49" s="88">
        <v>9.6</v>
      </c>
      <c r="I49" s="88">
        <v>8.6</v>
      </c>
      <c r="J49" s="88">
        <v>8.5</v>
      </c>
      <c r="K49" s="88">
        <v>7.5</v>
      </c>
      <c r="L49" s="88">
        <v>8.8000000000000007</v>
      </c>
      <c r="M49" s="88">
        <v>9.3000000000000007</v>
      </c>
      <c r="N49" s="88">
        <v>9.1999999999999993</v>
      </c>
      <c r="O49" s="88">
        <v>8.4</v>
      </c>
      <c r="P49" s="88">
        <v>9.1</v>
      </c>
      <c r="Q49" s="88">
        <v>8.6</v>
      </c>
      <c r="R49" s="88">
        <v>9.4</v>
      </c>
    </row>
    <row r="50" spans="1:18" x14ac:dyDescent="0.25">
      <c r="A50" s="84">
        <v>49</v>
      </c>
      <c r="B50" s="84" t="s">
        <v>49</v>
      </c>
      <c r="C50" s="88">
        <v>8.1999999999999993</v>
      </c>
      <c r="D50" s="88">
        <v>9</v>
      </c>
      <c r="E50" s="88">
        <v>7.8</v>
      </c>
      <c r="F50" s="88">
        <v>6.4</v>
      </c>
      <c r="G50" s="88">
        <v>9.8000000000000007</v>
      </c>
      <c r="H50" s="88">
        <v>8.1999999999999993</v>
      </c>
      <c r="I50" s="88">
        <v>8.6</v>
      </c>
      <c r="J50" s="88">
        <v>9.1</v>
      </c>
      <c r="K50" s="88">
        <v>8.4</v>
      </c>
      <c r="L50" s="88">
        <v>9.1</v>
      </c>
      <c r="M50" s="88">
        <v>9.5</v>
      </c>
      <c r="N50" s="88">
        <v>9.9</v>
      </c>
      <c r="O50" s="88">
        <v>10</v>
      </c>
      <c r="P50" s="88">
        <v>9.1</v>
      </c>
      <c r="Q50" s="88">
        <v>9.5</v>
      </c>
      <c r="R50" s="88">
        <v>9.3000000000000007</v>
      </c>
    </row>
    <row r="51" spans="1:18" x14ac:dyDescent="0.25">
      <c r="A51" s="84">
        <v>50</v>
      </c>
      <c r="B51" s="84" t="s">
        <v>50</v>
      </c>
      <c r="C51" s="88">
        <v>8</v>
      </c>
      <c r="D51" s="88">
        <v>6.3</v>
      </c>
      <c r="E51" s="88">
        <v>6</v>
      </c>
      <c r="F51" s="88">
        <v>7</v>
      </c>
      <c r="G51" s="88">
        <v>7.9</v>
      </c>
      <c r="H51" s="88">
        <v>8.6</v>
      </c>
      <c r="I51" s="88">
        <v>8</v>
      </c>
      <c r="J51" s="88">
        <v>7.4</v>
      </c>
      <c r="K51" s="88">
        <v>7.9</v>
      </c>
      <c r="L51" s="88">
        <v>8.4</v>
      </c>
      <c r="M51" s="88">
        <v>10.8</v>
      </c>
      <c r="N51" s="88">
        <v>9.6999999999999993</v>
      </c>
      <c r="O51" s="88">
        <v>9.1</v>
      </c>
      <c r="P51" s="88">
        <v>9.8000000000000007</v>
      </c>
      <c r="Q51" s="88">
        <v>9.6999999999999993</v>
      </c>
      <c r="R51" s="88">
        <v>11.5</v>
      </c>
    </row>
    <row r="52" spans="1:18" x14ac:dyDescent="0.25">
      <c r="A52" s="84">
        <v>51</v>
      </c>
      <c r="B52" s="84" t="s">
        <v>51</v>
      </c>
      <c r="C52" s="88">
        <v>9.5</v>
      </c>
      <c r="D52" s="88">
        <v>9.3000000000000007</v>
      </c>
      <c r="E52" s="88">
        <v>8.5</v>
      </c>
      <c r="F52" s="88">
        <v>7.6</v>
      </c>
      <c r="G52" s="88">
        <v>8</v>
      </c>
      <c r="H52" s="88">
        <v>9.4</v>
      </c>
      <c r="I52" s="88">
        <v>9.1</v>
      </c>
      <c r="J52" s="88">
        <v>8.3000000000000007</v>
      </c>
      <c r="K52" s="88">
        <v>9.4</v>
      </c>
      <c r="L52" s="88">
        <v>9.4</v>
      </c>
      <c r="M52" s="88">
        <v>9.5</v>
      </c>
      <c r="N52" s="88">
        <v>9.6</v>
      </c>
      <c r="O52" s="88">
        <v>10</v>
      </c>
      <c r="P52" s="88">
        <v>10.6</v>
      </c>
      <c r="Q52" s="88">
        <v>10.6</v>
      </c>
      <c r="R52" s="88">
        <v>10.6</v>
      </c>
    </row>
    <row r="53" spans="1:18" x14ac:dyDescent="0.25">
      <c r="A53" s="84">
        <v>52</v>
      </c>
      <c r="B53" s="84" t="s">
        <v>52</v>
      </c>
      <c r="C53" s="88">
        <v>10</v>
      </c>
      <c r="D53" s="88">
        <v>10.199999999999999</v>
      </c>
      <c r="E53" s="88">
        <v>8.5</v>
      </c>
      <c r="F53" s="88">
        <v>10.1</v>
      </c>
      <c r="G53" s="88">
        <v>11.6</v>
      </c>
      <c r="H53" s="88">
        <v>10.3</v>
      </c>
      <c r="I53" s="88">
        <v>10.5</v>
      </c>
      <c r="J53" s="88">
        <v>9.1</v>
      </c>
      <c r="K53" s="88">
        <v>8.5</v>
      </c>
      <c r="L53" s="88">
        <v>8.4</v>
      </c>
      <c r="M53" s="88">
        <v>8.5</v>
      </c>
      <c r="N53" s="88">
        <v>8.9</v>
      </c>
      <c r="O53" s="88">
        <v>9.6999999999999993</v>
      </c>
      <c r="P53" s="88">
        <v>10.199999999999999</v>
      </c>
      <c r="Q53" s="88">
        <v>11.1</v>
      </c>
      <c r="R53" s="88">
        <v>11.5</v>
      </c>
    </row>
    <row r="54" spans="1:18" x14ac:dyDescent="0.25">
      <c r="A54" s="84">
        <v>53</v>
      </c>
      <c r="B54" s="84" t="s">
        <v>53</v>
      </c>
      <c r="C54" s="88">
        <v>7.5</v>
      </c>
      <c r="D54" s="88">
        <v>7.9</v>
      </c>
      <c r="E54" s="88">
        <v>8.4</v>
      </c>
      <c r="F54" s="88">
        <v>7.9</v>
      </c>
      <c r="G54" s="88">
        <v>9.6</v>
      </c>
      <c r="H54" s="88">
        <v>10.5</v>
      </c>
      <c r="I54" s="88">
        <v>9.1999999999999993</v>
      </c>
      <c r="J54" s="88">
        <v>9.4</v>
      </c>
      <c r="K54" s="88">
        <v>8.6</v>
      </c>
      <c r="L54" s="88">
        <v>8.9</v>
      </c>
      <c r="M54" s="88">
        <v>9.8000000000000007</v>
      </c>
      <c r="N54" s="88">
        <v>10.199999999999999</v>
      </c>
      <c r="O54" s="88">
        <v>9.1</v>
      </c>
      <c r="P54" s="88">
        <v>10.7</v>
      </c>
      <c r="Q54" s="88">
        <v>9.6</v>
      </c>
      <c r="R54" s="88">
        <v>10.4</v>
      </c>
    </row>
    <row r="55" spans="1:18" x14ac:dyDescent="0.25">
      <c r="A55" s="84">
        <v>54</v>
      </c>
      <c r="B55" s="84" t="s">
        <v>54</v>
      </c>
      <c r="C55" s="88">
        <v>7.1</v>
      </c>
      <c r="D55" s="88">
        <v>7.8</v>
      </c>
      <c r="E55" s="88">
        <v>8</v>
      </c>
      <c r="F55" s="88">
        <v>7.6</v>
      </c>
      <c r="G55" s="88">
        <v>8.3000000000000007</v>
      </c>
      <c r="H55" s="88">
        <v>8.5</v>
      </c>
      <c r="I55" s="88">
        <v>8.6999999999999993</v>
      </c>
      <c r="J55" s="88">
        <v>8.6</v>
      </c>
      <c r="K55" s="88">
        <v>8.9</v>
      </c>
      <c r="L55" s="88">
        <v>8</v>
      </c>
      <c r="M55" s="88">
        <v>7.8</v>
      </c>
      <c r="N55" s="88">
        <v>9.3000000000000007</v>
      </c>
      <c r="O55" s="88">
        <v>8.1</v>
      </c>
      <c r="P55" s="88">
        <v>9.3000000000000007</v>
      </c>
      <c r="Q55" s="88">
        <v>8.5</v>
      </c>
      <c r="R55" s="88">
        <v>9.8000000000000007</v>
      </c>
    </row>
    <row r="56" spans="1:18" x14ac:dyDescent="0.25">
      <c r="A56" s="84">
        <v>55</v>
      </c>
      <c r="B56" s="84" t="s">
        <v>55</v>
      </c>
      <c r="C56" s="88">
        <v>9.6999999999999993</v>
      </c>
      <c r="D56" s="88">
        <v>9.8000000000000007</v>
      </c>
      <c r="E56" s="88">
        <v>9</v>
      </c>
      <c r="F56" s="88">
        <v>8</v>
      </c>
      <c r="G56" s="88">
        <v>9.5</v>
      </c>
      <c r="H56" s="88">
        <v>9.4</v>
      </c>
      <c r="I56" s="88">
        <v>9.1999999999999993</v>
      </c>
      <c r="J56" s="88">
        <v>9.8000000000000007</v>
      </c>
      <c r="K56" s="88">
        <v>9</v>
      </c>
      <c r="L56" s="88">
        <v>8.8000000000000007</v>
      </c>
      <c r="M56" s="88">
        <v>10</v>
      </c>
      <c r="N56" s="88">
        <v>11</v>
      </c>
      <c r="O56" s="88">
        <v>11.9</v>
      </c>
      <c r="P56" s="88">
        <v>11.3</v>
      </c>
      <c r="Q56" s="88">
        <v>10</v>
      </c>
      <c r="R56" s="88">
        <v>9.5</v>
      </c>
    </row>
    <row r="57" spans="1:18" x14ac:dyDescent="0.25">
      <c r="A57" s="84">
        <v>56</v>
      </c>
      <c r="B57" s="84" t="s">
        <v>56</v>
      </c>
      <c r="C57" s="88">
        <v>8.9</v>
      </c>
      <c r="D57" s="88">
        <v>9.1</v>
      </c>
      <c r="E57" s="88">
        <v>7.9</v>
      </c>
      <c r="F57" s="88">
        <v>8.6</v>
      </c>
      <c r="G57" s="88">
        <v>10.1</v>
      </c>
      <c r="H57" s="88">
        <v>11.3</v>
      </c>
      <c r="I57" s="88">
        <v>11</v>
      </c>
      <c r="J57" s="88">
        <v>10.9</v>
      </c>
      <c r="K57" s="88">
        <v>11.4</v>
      </c>
      <c r="L57" s="88">
        <v>10.4</v>
      </c>
      <c r="M57" s="88">
        <v>10.6</v>
      </c>
      <c r="N57" s="88">
        <v>12.2</v>
      </c>
      <c r="O57" s="88">
        <v>11.4</v>
      </c>
      <c r="P57" s="88">
        <v>11.5</v>
      </c>
      <c r="Q57" s="88">
        <v>10.7</v>
      </c>
      <c r="R57" s="88">
        <v>10.199999999999999</v>
      </c>
    </row>
    <row r="58" spans="1:18" x14ac:dyDescent="0.25">
      <c r="A58" s="84">
        <v>57</v>
      </c>
      <c r="B58" s="84" t="s">
        <v>57</v>
      </c>
      <c r="C58" s="88">
        <v>8.9</v>
      </c>
      <c r="D58" s="88">
        <v>10.1</v>
      </c>
      <c r="E58" s="88">
        <v>8.6</v>
      </c>
      <c r="F58" s="88">
        <v>9.1999999999999993</v>
      </c>
      <c r="G58" s="88">
        <v>10.8</v>
      </c>
      <c r="H58" s="88">
        <v>8.9</v>
      </c>
      <c r="I58" s="88">
        <v>9.8000000000000007</v>
      </c>
      <c r="J58" s="88">
        <v>10</v>
      </c>
      <c r="K58" s="88">
        <v>9.9</v>
      </c>
      <c r="L58" s="88">
        <v>9.8000000000000007</v>
      </c>
      <c r="M58" s="88">
        <v>10.199999999999999</v>
      </c>
      <c r="N58" s="88">
        <v>10.9</v>
      </c>
      <c r="O58" s="88">
        <v>11.6</v>
      </c>
      <c r="P58" s="88">
        <v>11.6</v>
      </c>
      <c r="Q58" s="88">
        <v>10.7</v>
      </c>
      <c r="R58" s="88">
        <v>10.5</v>
      </c>
    </row>
    <row r="59" spans="1:18" x14ac:dyDescent="0.25">
      <c r="A59" s="84">
        <v>58</v>
      </c>
      <c r="B59" s="84" t="s">
        <v>58</v>
      </c>
      <c r="C59" s="88">
        <v>7</v>
      </c>
      <c r="D59" s="88">
        <v>7.4</v>
      </c>
      <c r="E59" s="88">
        <v>8.3000000000000007</v>
      </c>
      <c r="F59" s="88">
        <v>7.3</v>
      </c>
      <c r="G59" s="88">
        <v>10.3</v>
      </c>
      <c r="H59" s="88">
        <v>9.1</v>
      </c>
      <c r="I59" s="88">
        <v>8</v>
      </c>
      <c r="J59" s="88">
        <v>6.8</v>
      </c>
      <c r="K59" s="88">
        <v>8.6999999999999993</v>
      </c>
      <c r="L59" s="88">
        <v>8.6</v>
      </c>
      <c r="M59" s="88">
        <v>9.1999999999999993</v>
      </c>
      <c r="N59" s="88">
        <v>9.8000000000000007</v>
      </c>
      <c r="O59" s="88">
        <v>8.8000000000000007</v>
      </c>
      <c r="P59" s="88">
        <v>8.9</v>
      </c>
      <c r="Q59" s="88">
        <v>10.8</v>
      </c>
      <c r="R59" s="88">
        <v>10.5</v>
      </c>
    </row>
    <row r="60" spans="1:18" x14ac:dyDescent="0.25">
      <c r="A60" s="84">
        <v>59</v>
      </c>
      <c r="B60" s="84" t="s">
        <v>59</v>
      </c>
      <c r="C60" s="88">
        <v>7.6</v>
      </c>
      <c r="D60" s="88">
        <v>8.6999999999999993</v>
      </c>
      <c r="E60" s="88">
        <v>8.6999999999999993</v>
      </c>
      <c r="F60" s="88">
        <v>7.7</v>
      </c>
      <c r="G60" s="88">
        <v>9.1999999999999993</v>
      </c>
      <c r="H60" s="88">
        <v>8.4</v>
      </c>
      <c r="I60" s="88">
        <v>8.4</v>
      </c>
      <c r="J60" s="88">
        <v>8.4</v>
      </c>
      <c r="K60" s="88">
        <v>7.9</v>
      </c>
      <c r="L60" s="88">
        <v>8.9</v>
      </c>
      <c r="M60" s="88">
        <v>10.3</v>
      </c>
      <c r="N60" s="88">
        <v>10.9</v>
      </c>
      <c r="O60" s="88">
        <v>9.1999999999999993</v>
      </c>
      <c r="P60" s="88">
        <v>10.199999999999999</v>
      </c>
      <c r="Q60" s="88">
        <v>10.7</v>
      </c>
      <c r="R60" s="88">
        <v>11.4</v>
      </c>
    </row>
    <row r="61" spans="1:18" x14ac:dyDescent="0.25">
      <c r="A61" s="84">
        <v>60</v>
      </c>
      <c r="B61" s="84" t="s">
        <v>60</v>
      </c>
      <c r="C61" s="88">
        <v>7.8</v>
      </c>
      <c r="D61" s="88">
        <v>9.1999999999999993</v>
      </c>
      <c r="E61" s="88">
        <v>7.7</v>
      </c>
      <c r="F61" s="88">
        <v>8.4</v>
      </c>
      <c r="G61" s="88">
        <v>10.1</v>
      </c>
      <c r="H61" s="88">
        <v>10.5</v>
      </c>
      <c r="I61" s="88">
        <v>10.1</v>
      </c>
      <c r="J61" s="88">
        <v>8.6999999999999993</v>
      </c>
      <c r="K61" s="88">
        <v>9.4</v>
      </c>
      <c r="L61" s="88">
        <v>9.6999999999999993</v>
      </c>
      <c r="M61" s="88">
        <v>10.199999999999999</v>
      </c>
      <c r="N61" s="88">
        <v>11.3</v>
      </c>
      <c r="O61" s="88">
        <v>10.4</v>
      </c>
      <c r="P61" s="88">
        <v>11.1</v>
      </c>
      <c r="Q61" s="88">
        <v>10.3</v>
      </c>
      <c r="R61" s="88">
        <v>10.5</v>
      </c>
    </row>
    <row r="62" spans="1:18" x14ac:dyDescent="0.25">
      <c r="A62" s="84">
        <v>61</v>
      </c>
      <c r="B62" s="84" t="s">
        <v>61</v>
      </c>
      <c r="C62" s="88">
        <v>8.8000000000000007</v>
      </c>
      <c r="D62" s="88">
        <v>9</v>
      </c>
      <c r="E62" s="88">
        <v>7.5</v>
      </c>
      <c r="F62" s="88">
        <v>6.8</v>
      </c>
      <c r="G62" s="85">
        <v>8.3000000000000007</v>
      </c>
      <c r="H62" s="88">
        <v>9.9</v>
      </c>
      <c r="I62" s="88">
        <v>10.7</v>
      </c>
      <c r="J62" s="88">
        <v>9.3000000000000007</v>
      </c>
      <c r="K62" s="88">
        <v>9.6</v>
      </c>
      <c r="L62" s="88">
        <v>9.1999999999999993</v>
      </c>
      <c r="M62" s="88">
        <v>9.5</v>
      </c>
      <c r="N62" s="88">
        <v>10</v>
      </c>
      <c r="O62" s="88">
        <v>10.1</v>
      </c>
      <c r="P62" s="88">
        <v>10.5</v>
      </c>
      <c r="Q62" s="88">
        <v>10.3</v>
      </c>
      <c r="R62" s="88">
        <v>10.6</v>
      </c>
    </row>
    <row r="63" spans="1:18" x14ac:dyDescent="0.25">
      <c r="A63" s="84">
        <v>62</v>
      </c>
      <c r="B63" s="84" t="s">
        <v>62</v>
      </c>
      <c r="C63" s="88">
        <v>7.4</v>
      </c>
      <c r="D63" s="88">
        <v>5.6</v>
      </c>
      <c r="E63" s="88">
        <v>6.8</v>
      </c>
      <c r="F63" s="88">
        <v>5.9</v>
      </c>
      <c r="G63" s="88">
        <v>7.1</v>
      </c>
      <c r="H63" s="88">
        <v>5.7</v>
      </c>
      <c r="I63" s="88">
        <v>5.2</v>
      </c>
      <c r="J63" s="88">
        <v>5.7</v>
      </c>
      <c r="K63" s="88">
        <v>6.1</v>
      </c>
      <c r="L63" s="88">
        <v>6.3</v>
      </c>
      <c r="M63" s="88">
        <v>7.4</v>
      </c>
      <c r="N63" s="88">
        <v>7.5</v>
      </c>
      <c r="O63" s="88">
        <v>7.2</v>
      </c>
      <c r="P63" s="88">
        <v>7.7</v>
      </c>
      <c r="Q63" s="88">
        <v>8.9</v>
      </c>
      <c r="R63" s="88">
        <v>9.6</v>
      </c>
    </row>
    <row r="64" spans="1:18" x14ac:dyDescent="0.25">
      <c r="A64" s="84">
        <v>63</v>
      </c>
      <c r="B64" s="84" t="s">
        <v>63</v>
      </c>
      <c r="C64" s="88">
        <v>12</v>
      </c>
      <c r="D64" s="88">
        <v>13.3</v>
      </c>
      <c r="E64" s="88">
        <v>10.1</v>
      </c>
      <c r="F64" s="88">
        <v>9.6999999999999993</v>
      </c>
      <c r="G64" s="88">
        <v>11.3</v>
      </c>
      <c r="H64" s="88">
        <v>11.3</v>
      </c>
      <c r="I64" s="88">
        <v>10.4</v>
      </c>
      <c r="J64" s="88">
        <v>9.6999999999999993</v>
      </c>
      <c r="K64" s="88">
        <v>7.6</v>
      </c>
      <c r="L64" s="88">
        <v>8.9</v>
      </c>
      <c r="M64" s="88">
        <v>11.2</v>
      </c>
      <c r="N64" s="88">
        <v>9.4</v>
      </c>
      <c r="O64" s="88">
        <v>10.3</v>
      </c>
      <c r="P64" s="88">
        <v>9.5</v>
      </c>
      <c r="Q64" s="88">
        <v>11.4</v>
      </c>
      <c r="R64" s="88">
        <v>12</v>
      </c>
    </row>
    <row r="65" spans="1:18" x14ac:dyDescent="0.25">
      <c r="A65" s="84">
        <v>64</v>
      </c>
      <c r="B65" s="84" t="s">
        <v>64</v>
      </c>
      <c r="C65" s="88">
        <v>5.4</v>
      </c>
      <c r="D65" s="88">
        <v>4.8</v>
      </c>
      <c r="E65" s="88">
        <v>5.4</v>
      </c>
      <c r="F65" s="88">
        <v>5.0999999999999996</v>
      </c>
      <c r="G65" s="88">
        <v>5.8</v>
      </c>
      <c r="H65" s="88">
        <v>5.4</v>
      </c>
      <c r="I65" s="88">
        <v>6.1</v>
      </c>
      <c r="J65" s="88">
        <v>6.2</v>
      </c>
      <c r="K65" s="88">
        <v>5.6</v>
      </c>
      <c r="L65" s="88">
        <v>6.2</v>
      </c>
      <c r="M65" s="88">
        <v>6.9</v>
      </c>
      <c r="N65" s="88">
        <v>7</v>
      </c>
      <c r="O65" s="88">
        <v>8.5</v>
      </c>
      <c r="P65" s="88">
        <v>7.9</v>
      </c>
      <c r="Q65" s="88">
        <v>9.6999999999999993</v>
      </c>
      <c r="R65" s="88">
        <v>9.8000000000000007</v>
      </c>
    </row>
    <row r="66" spans="1:18" x14ac:dyDescent="0.25">
      <c r="A66" s="84">
        <v>65</v>
      </c>
      <c r="B66" s="84" t="s">
        <v>65</v>
      </c>
      <c r="C66" s="88">
        <v>8.4</v>
      </c>
      <c r="D66" s="88">
        <v>8.9</v>
      </c>
      <c r="E66" s="88">
        <v>8.3000000000000007</v>
      </c>
      <c r="F66" s="88">
        <v>7.3</v>
      </c>
      <c r="G66" s="88">
        <v>7.9</v>
      </c>
      <c r="H66" s="88">
        <v>9.3000000000000007</v>
      </c>
      <c r="I66" s="88">
        <v>9</v>
      </c>
      <c r="J66" s="88">
        <v>7.6</v>
      </c>
      <c r="K66" s="88">
        <v>8.1</v>
      </c>
      <c r="L66" s="88">
        <v>9.1999999999999993</v>
      </c>
      <c r="M66" s="88">
        <v>8.4</v>
      </c>
      <c r="N66" s="88">
        <v>8.1</v>
      </c>
      <c r="O66" s="88">
        <v>6.6</v>
      </c>
      <c r="P66" s="88">
        <v>7.1</v>
      </c>
      <c r="Q66" s="88">
        <v>8.1999999999999993</v>
      </c>
      <c r="R66" s="88">
        <v>7.3</v>
      </c>
    </row>
    <row r="67" spans="1:18" x14ac:dyDescent="0.25">
      <c r="A67" s="84">
        <v>66</v>
      </c>
      <c r="B67" s="84" t="s">
        <v>66</v>
      </c>
      <c r="C67" s="88">
        <v>9.5</v>
      </c>
      <c r="D67" s="88">
        <v>8.5</v>
      </c>
      <c r="E67" s="88">
        <v>8.6</v>
      </c>
      <c r="F67" s="88">
        <v>7.3</v>
      </c>
      <c r="G67" s="88">
        <v>8.8000000000000007</v>
      </c>
      <c r="H67" s="88">
        <v>8.9</v>
      </c>
      <c r="I67" s="88">
        <v>8.4</v>
      </c>
      <c r="J67" s="88">
        <v>8.1999999999999993</v>
      </c>
      <c r="K67" s="88">
        <v>8</v>
      </c>
      <c r="L67" s="88">
        <v>7.4</v>
      </c>
      <c r="M67" s="88">
        <v>8.9</v>
      </c>
      <c r="N67" s="88">
        <v>10.1</v>
      </c>
      <c r="O67" s="88">
        <v>10.1</v>
      </c>
      <c r="P67" s="88">
        <v>9.5</v>
      </c>
      <c r="Q67" s="88">
        <v>9.6999999999999993</v>
      </c>
      <c r="R67" s="88">
        <v>10.1</v>
      </c>
    </row>
    <row r="68" spans="1:18" x14ac:dyDescent="0.25">
      <c r="A68" s="84">
        <v>67</v>
      </c>
      <c r="B68" s="84" t="s">
        <v>73</v>
      </c>
      <c r="C68" s="88">
        <v>6.4</v>
      </c>
      <c r="D68" s="88">
        <v>7</v>
      </c>
      <c r="E68" s="88">
        <v>6.3</v>
      </c>
      <c r="F68" s="88">
        <v>6.7</v>
      </c>
      <c r="G68" s="88">
        <v>7.7</v>
      </c>
      <c r="H68" s="88">
        <v>10.199999999999999</v>
      </c>
      <c r="I68" s="88">
        <v>10</v>
      </c>
      <c r="J68" s="88">
        <v>8.6999999999999993</v>
      </c>
      <c r="K68" s="88">
        <v>8.3000000000000007</v>
      </c>
      <c r="L68" s="88">
        <v>9</v>
      </c>
      <c r="M68" s="88">
        <v>9.1</v>
      </c>
      <c r="N68" s="88">
        <v>7.8</v>
      </c>
      <c r="O68" s="88">
        <v>7.6</v>
      </c>
      <c r="P68" s="88">
        <v>7.3</v>
      </c>
      <c r="Q68" s="88">
        <v>10.3</v>
      </c>
      <c r="R68" s="88">
        <v>10.7</v>
      </c>
    </row>
    <row r="69" spans="1:18" x14ac:dyDescent="0.25">
      <c r="A69" s="84">
        <v>68</v>
      </c>
      <c r="B69" s="84" t="s">
        <v>67</v>
      </c>
      <c r="C69" s="88">
        <v>7.8</v>
      </c>
      <c r="D69" s="88">
        <v>8.9</v>
      </c>
      <c r="E69" s="88">
        <v>8.9</v>
      </c>
      <c r="F69" s="88">
        <v>8.3000000000000007</v>
      </c>
      <c r="G69" s="88">
        <v>10</v>
      </c>
      <c r="H69" s="88">
        <v>9.3000000000000007</v>
      </c>
      <c r="I69" s="88">
        <v>9.1</v>
      </c>
      <c r="J69" s="88">
        <v>8.6999999999999993</v>
      </c>
      <c r="K69" s="88">
        <v>8.4</v>
      </c>
      <c r="L69" s="88">
        <v>9.1</v>
      </c>
      <c r="M69" s="88">
        <v>9.6</v>
      </c>
      <c r="N69" s="88">
        <v>10.6</v>
      </c>
      <c r="O69" s="88">
        <v>10.8</v>
      </c>
      <c r="P69" s="88">
        <v>11.4</v>
      </c>
      <c r="Q69" s="88">
        <v>11.9</v>
      </c>
      <c r="R69" s="88">
        <v>12.5</v>
      </c>
    </row>
    <row r="70" spans="1:18" x14ac:dyDescent="0.25">
      <c r="A70" s="84">
        <v>69</v>
      </c>
      <c r="B70" s="84" t="s">
        <v>68</v>
      </c>
      <c r="C70" s="88">
        <v>6.3</v>
      </c>
      <c r="D70" s="88">
        <v>6.4</v>
      </c>
      <c r="E70" s="88">
        <v>6.8</v>
      </c>
      <c r="F70" s="88">
        <v>6</v>
      </c>
      <c r="G70" s="88">
        <v>7.8</v>
      </c>
      <c r="H70" s="88">
        <v>8.3000000000000007</v>
      </c>
      <c r="I70" s="88">
        <v>7.6</v>
      </c>
      <c r="J70" s="88">
        <v>7.9</v>
      </c>
      <c r="K70" s="88">
        <v>8.3000000000000007</v>
      </c>
      <c r="L70" s="88">
        <v>7.4</v>
      </c>
      <c r="M70" s="88">
        <v>6.8</v>
      </c>
      <c r="N70" s="88">
        <v>8.1</v>
      </c>
      <c r="O70" s="88">
        <v>8.3000000000000007</v>
      </c>
      <c r="P70" s="88">
        <v>8.8000000000000007</v>
      </c>
      <c r="Q70" s="88">
        <v>7</v>
      </c>
      <c r="R70" s="88">
        <v>7.7</v>
      </c>
    </row>
    <row r="71" spans="1:18" x14ac:dyDescent="0.25">
      <c r="A71" s="84">
        <v>70</v>
      </c>
      <c r="B71" s="84" t="s">
        <v>69</v>
      </c>
      <c r="C71" s="88">
        <v>6.9</v>
      </c>
      <c r="D71" s="88">
        <v>6.8</v>
      </c>
      <c r="E71" s="88">
        <v>7.1</v>
      </c>
      <c r="F71" s="88">
        <v>6.4</v>
      </c>
      <c r="G71" s="88">
        <v>7.4</v>
      </c>
      <c r="H71" s="88">
        <v>8.9</v>
      </c>
      <c r="I71" s="88">
        <v>9.4</v>
      </c>
      <c r="J71" s="88">
        <v>8.6</v>
      </c>
      <c r="K71" s="88">
        <v>8.1999999999999993</v>
      </c>
      <c r="L71" s="88">
        <v>8.5</v>
      </c>
      <c r="M71" s="88">
        <v>8.1</v>
      </c>
      <c r="N71" s="88">
        <v>9.1</v>
      </c>
      <c r="O71" s="88">
        <v>9.4</v>
      </c>
      <c r="P71" s="88">
        <v>8.5</v>
      </c>
      <c r="Q71" s="88">
        <v>9.1</v>
      </c>
      <c r="R71" s="88">
        <v>9.5</v>
      </c>
    </row>
    <row r="72" spans="1:18" x14ac:dyDescent="0.25">
      <c r="A72" s="84">
        <v>71</v>
      </c>
      <c r="B72" s="84" t="s">
        <v>70</v>
      </c>
      <c r="C72" s="88">
        <v>10.1</v>
      </c>
      <c r="D72" s="88">
        <v>10.1</v>
      </c>
      <c r="E72" s="88">
        <v>9.8000000000000007</v>
      </c>
      <c r="F72" s="88">
        <v>9</v>
      </c>
      <c r="G72" s="88">
        <v>8.9</v>
      </c>
      <c r="H72" s="88">
        <v>10.199999999999999</v>
      </c>
      <c r="I72" s="88">
        <v>8.8000000000000007</v>
      </c>
      <c r="J72" s="88">
        <v>9.1</v>
      </c>
      <c r="K72" s="88">
        <v>9.6999999999999993</v>
      </c>
      <c r="L72" s="88">
        <v>8.8000000000000007</v>
      </c>
      <c r="M72" s="88">
        <v>9.9</v>
      </c>
      <c r="N72" s="88">
        <v>8.6</v>
      </c>
      <c r="O72" s="88">
        <v>8.3000000000000007</v>
      </c>
      <c r="P72" s="88">
        <v>7.6</v>
      </c>
      <c r="Q72" s="88">
        <v>8.3000000000000007</v>
      </c>
      <c r="R72" s="88">
        <v>9.6</v>
      </c>
    </row>
    <row r="73" spans="1:18" x14ac:dyDescent="0.25">
      <c r="A73" s="84">
        <v>72</v>
      </c>
      <c r="B73" s="84" t="s">
        <v>71</v>
      </c>
      <c r="C73" s="88">
        <v>7.1</v>
      </c>
      <c r="D73" s="88">
        <v>7.5</v>
      </c>
      <c r="E73" s="88">
        <v>8.3000000000000007</v>
      </c>
      <c r="F73" s="88">
        <v>7.6</v>
      </c>
      <c r="G73" s="88">
        <v>8.6999999999999993</v>
      </c>
      <c r="H73" s="88">
        <v>10.5</v>
      </c>
      <c r="I73" s="88">
        <v>10</v>
      </c>
      <c r="J73" s="88">
        <v>8.6</v>
      </c>
      <c r="K73" s="88">
        <v>9.4</v>
      </c>
      <c r="L73" s="88">
        <v>10.4</v>
      </c>
      <c r="M73" s="88">
        <v>10.8</v>
      </c>
      <c r="N73" s="88">
        <v>11.5</v>
      </c>
      <c r="O73" s="88">
        <v>10.6</v>
      </c>
      <c r="P73" s="88">
        <v>10</v>
      </c>
      <c r="Q73" s="88">
        <v>9.6</v>
      </c>
      <c r="R73" s="88">
        <v>9.9</v>
      </c>
    </row>
    <row r="74" spans="1:18" x14ac:dyDescent="0.25">
      <c r="A74" s="84">
        <v>73</v>
      </c>
      <c r="B74" s="84" t="s">
        <v>72</v>
      </c>
      <c r="C74" s="88">
        <v>8.1999999999999993</v>
      </c>
      <c r="D74" s="88">
        <v>7.1</v>
      </c>
      <c r="E74" s="88">
        <v>6.2</v>
      </c>
      <c r="F74" s="88">
        <v>6</v>
      </c>
      <c r="G74" s="88">
        <v>8.1999999999999993</v>
      </c>
      <c r="H74" s="88">
        <v>8.8000000000000007</v>
      </c>
      <c r="I74" s="88">
        <v>8.8000000000000007</v>
      </c>
      <c r="J74" s="88">
        <v>8</v>
      </c>
      <c r="K74" s="88">
        <v>6</v>
      </c>
      <c r="L74" s="88">
        <v>7</v>
      </c>
      <c r="M74" s="88">
        <v>8.3000000000000007</v>
      </c>
      <c r="N74" s="88">
        <v>8.4</v>
      </c>
      <c r="O74" s="88">
        <v>9</v>
      </c>
      <c r="P74" s="88">
        <v>9.9</v>
      </c>
      <c r="Q74" s="88">
        <v>9.1</v>
      </c>
      <c r="R74" s="88">
        <v>9.3000000000000007</v>
      </c>
    </row>
    <row r="75" spans="1:18" x14ac:dyDescent="0.25">
      <c r="A75" s="84">
        <v>74</v>
      </c>
      <c r="B75" s="84" t="s">
        <v>74</v>
      </c>
      <c r="C75" s="88">
        <v>6.7</v>
      </c>
      <c r="D75" s="88">
        <v>6.8</v>
      </c>
      <c r="E75" s="88">
        <v>6.6</v>
      </c>
      <c r="F75" s="88">
        <v>6.7</v>
      </c>
      <c r="G75" s="88">
        <v>7.9</v>
      </c>
      <c r="H75" s="88">
        <v>8.6</v>
      </c>
      <c r="I75" s="88">
        <v>7.8</v>
      </c>
      <c r="J75" s="88">
        <v>7.6</v>
      </c>
      <c r="K75" s="88">
        <v>7.8</v>
      </c>
      <c r="L75" s="88">
        <v>8</v>
      </c>
      <c r="M75" s="88">
        <v>9.1999999999999993</v>
      </c>
      <c r="N75" s="88">
        <v>9.6999999999999993</v>
      </c>
      <c r="O75" s="88">
        <v>10.1</v>
      </c>
      <c r="P75" s="88">
        <v>10.5</v>
      </c>
      <c r="Q75" s="88">
        <v>9.6999999999999993</v>
      </c>
      <c r="R75" s="88">
        <v>11.2</v>
      </c>
    </row>
    <row r="76" spans="1:18" x14ac:dyDescent="0.25">
      <c r="A76" s="84">
        <v>75</v>
      </c>
      <c r="B76" s="84" t="s">
        <v>75</v>
      </c>
      <c r="C76" s="88">
        <v>10.199999999999999</v>
      </c>
      <c r="D76" s="88">
        <v>10.8</v>
      </c>
      <c r="E76" s="88">
        <v>9.3000000000000007</v>
      </c>
      <c r="F76" s="88">
        <v>12.7</v>
      </c>
      <c r="G76" s="88">
        <v>15</v>
      </c>
      <c r="H76" s="88">
        <v>14.9</v>
      </c>
      <c r="I76" s="88">
        <v>12.9</v>
      </c>
      <c r="J76" s="88">
        <v>13.3</v>
      </c>
      <c r="K76" s="88">
        <v>12.7</v>
      </c>
      <c r="L76" s="88">
        <v>12.6</v>
      </c>
      <c r="M76" s="88">
        <v>12.6</v>
      </c>
      <c r="N76" s="88">
        <v>13.5</v>
      </c>
      <c r="O76" s="88">
        <v>14.4</v>
      </c>
      <c r="P76" s="88">
        <v>15</v>
      </c>
      <c r="Q76" s="88">
        <v>11.3</v>
      </c>
      <c r="R76" s="88">
        <v>12.2</v>
      </c>
    </row>
    <row r="77" spans="1:18" x14ac:dyDescent="0.25">
      <c r="A77" s="84">
        <v>76</v>
      </c>
      <c r="B77" s="84" t="s">
        <v>76</v>
      </c>
      <c r="C77" s="88">
        <v>10.5</v>
      </c>
      <c r="D77" s="88">
        <v>11.1</v>
      </c>
      <c r="E77" s="88">
        <v>9.9</v>
      </c>
      <c r="F77" s="88">
        <v>8.9</v>
      </c>
      <c r="G77" s="88">
        <v>9.9</v>
      </c>
      <c r="H77" s="88">
        <v>9.4</v>
      </c>
      <c r="I77" s="88">
        <v>8.1</v>
      </c>
      <c r="J77" s="88">
        <v>9</v>
      </c>
      <c r="K77" s="88">
        <v>8.8000000000000007</v>
      </c>
      <c r="L77" s="88">
        <v>8.8000000000000007</v>
      </c>
      <c r="M77" s="88">
        <v>9</v>
      </c>
      <c r="N77" s="88">
        <v>10.4</v>
      </c>
      <c r="O77" s="88">
        <v>11.2</v>
      </c>
      <c r="P77" s="88">
        <v>10.1</v>
      </c>
      <c r="Q77" s="88">
        <v>9.8000000000000007</v>
      </c>
      <c r="R77" s="88">
        <v>9.3000000000000007</v>
      </c>
    </row>
    <row r="78" spans="1:18" x14ac:dyDescent="0.25">
      <c r="A78" s="84">
        <v>77</v>
      </c>
      <c r="B78" s="84" t="s">
        <v>77</v>
      </c>
      <c r="C78" s="88">
        <v>9</v>
      </c>
      <c r="D78" s="88">
        <v>10</v>
      </c>
      <c r="E78" s="88">
        <v>9.4</v>
      </c>
      <c r="F78" s="88">
        <v>8.4</v>
      </c>
      <c r="G78" s="88">
        <v>10.1</v>
      </c>
      <c r="H78" s="88">
        <v>10.5</v>
      </c>
      <c r="I78" s="88">
        <v>8.6</v>
      </c>
      <c r="J78" s="88">
        <v>9.1999999999999993</v>
      </c>
      <c r="K78" s="88">
        <v>9.1999999999999993</v>
      </c>
      <c r="L78" s="88">
        <v>9.4</v>
      </c>
      <c r="M78" s="88">
        <v>9.6</v>
      </c>
      <c r="N78" s="88">
        <v>10.4</v>
      </c>
      <c r="O78" s="88">
        <v>11.6</v>
      </c>
      <c r="P78" s="88">
        <v>11.7</v>
      </c>
      <c r="Q78" s="88">
        <v>11</v>
      </c>
      <c r="R78" s="88">
        <v>11.4</v>
      </c>
    </row>
    <row r="79" spans="1:18" x14ac:dyDescent="0.25">
      <c r="A79" s="84">
        <v>78</v>
      </c>
      <c r="B79" s="84" t="s">
        <v>78</v>
      </c>
      <c r="C79" s="88">
        <v>11</v>
      </c>
      <c r="D79" s="88">
        <v>12.9</v>
      </c>
      <c r="E79" s="88">
        <v>12.6</v>
      </c>
      <c r="F79" s="88">
        <v>10.9</v>
      </c>
      <c r="G79" s="88">
        <v>11.8</v>
      </c>
      <c r="H79" s="88">
        <v>16</v>
      </c>
      <c r="I79" s="88">
        <v>15.2</v>
      </c>
      <c r="J79" s="88">
        <v>13.6</v>
      </c>
      <c r="K79" s="88">
        <v>12.9</v>
      </c>
      <c r="L79" s="88">
        <v>11.3</v>
      </c>
      <c r="M79" s="88">
        <v>12.8</v>
      </c>
      <c r="N79" s="88">
        <v>14</v>
      </c>
      <c r="O79" s="88">
        <v>12.8</v>
      </c>
      <c r="P79" s="88">
        <v>11.8</v>
      </c>
      <c r="Q79" s="88">
        <v>11.1</v>
      </c>
      <c r="R79" s="88">
        <v>10.199999999999999</v>
      </c>
    </row>
    <row r="80" spans="1:18" x14ac:dyDescent="0.25">
      <c r="A80" s="84">
        <v>79</v>
      </c>
      <c r="B80" s="84" t="s">
        <v>79</v>
      </c>
      <c r="C80" s="88">
        <v>9.6</v>
      </c>
      <c r="D80" s="88">
        <v>12.6</v>
      </c>
      <c r="E80" s="88">
        <v>10.8</v>
      </c>
      <c r="F80" s="88">
        <v>12.3</v>
      </c>
      <c r="G80" s="88">
        <v>13.2</v>
      </c>
      <c r="H80" s="88">
        <v>14.3</v>
      </c>
      <c r="I80" s="88">
        <v>13.3</v>
      </c>
      <c r="J80" s="88">
        <v>12.7</v>
      </c>
      <c r="K80" s="88">
        <v>13.9</v>
      </c>
      <c r="L80" s="88">
        <v>12.6</v>
      </c>
      <c r="M80" s="88">
        <v>13.6</v>
      </c>
      <c r="N80" s="88">
        <v>15.8</v>
      </c>
      <c r="O80" s="88">
        <v>15.1</v>
      </c>
      <c r="P80" s="88">
        <v>14</v>
      </c>
      <c r="Q80" s="88">
        <v>11.2</v>
      </c>
      <c r="R80" s="88">
        <v>13</v>
      </c>
    </row>
    <row r="81" spans="1:18" x14ac:dyDescent="0.25">
      <c r="A81" s="84">
        <v>80</v>
      </c>
      <c r="B81" s="84" t="s">
        <v>80</v>
      </c>
      <c r="C81" s="88">
        <v>11.8</v>
      </c>
      <c r="D81" s="88">
        <v>11.2</v>
      </c>
      <c r="E81" s="88">
        <v>13.9</v>
      </c>
      <c r="F81" s="88">
        <v>8.9</v>
      </c>
      <c r="G81" s="88">
        <v>10</v>
      </c>
      <c r="H81" s="88">
        <v>9.1</v>
      </c>
      <c r="I81" s="88">
        <v>10.9</v>
      </c>
      <c r="J81" s="88">
        <v>10.6</v>
      </c>
      <c r="K81" s="88">
        <v>9.1999999999999993</v>
      </c>
      <c r="L81" s="88">
        <v>9.1</v>
      </c>
      <c r="M81" s="88">
        <v>9.6999999999999993</v>
      </c>
      <c r="N81" s="88">
        <v>11.3</v>
      </c>
      <c r="O81" s="88">
        <v>9.9</v>
      </c>
      <c r="P81" s="88">
        <v>8.4</v>
      </c>
      <c r="Q81" s="88">
        <v>8.1</v>
      </c>
      <c r="R81" s="88">
        <v>7.8</v>
      </c>
    </row>
    <row r="82" spans="1:18" x14ac:dyDescent="0.25">
      <c r="A82" s="84">
        <v>81</v>
      </c>
      <c r="B82" s="84" t="s">
        <v>81</v>
      </c>
      <c r="C82" s="88">
        <v>8.1999999999999993</v>
      </c>
      <c r="D82" s="88">
        <v>9.5</v>
      </c>
      <c r="E82" s="88">
        <v>10.1</v>
      </c>
      <c r="F82" s="88">
        <v>8.8000000000000007</v>
      </c>
      <c r="G82" s="88">
        <v>10.199999999999999</v>
      </c>
      <c r="H82" s="88">
        <v>11.3</v>
      </c>
      <c r="I82" s="88">
        <v>10.199999999999999</v>
      </c>
      <c r="J82" s="88">
        <v>8.3000000000000007</v>
      </c>
      <c r="K82" s="88">
        <v>8.8000000000000007</v>
      </c>
      <c r="L82" s="88">
        <v>9.3000000000000007</v>
      </c>
      <c r="M82" s="88">
        <v>9.6</v>
      </c>
      <c r="N82" s="88">
        <v>10.9</v>
      </c>
      <c r="O82" s="88">
        <v>9.3000000000000007</v>
      </c>
      <c r="P82" s="88">
        <v>8.6999999999999993</v>
      </c>
      <c r="Q82" s="88">
        <v>9.1</v>
      </c>
      <c r="R82" s="88">
        <v>8.5</v>
      </c>
    </row>
    <row r="83" spans="1:18" x14ac:dyDescent="0.25">
      <c r="A83" s="84">
        <v>82</v>
      </c>
      <c r="B83" s="84" t="s">
        <v>82</v>
      </c>
      <c r="C83" s="88">
        <v>6.6</v>
      </c>
      <c r="D83" s="88">
        <v>10.8</v>
      </c>
      <c r="E83" s="88">
        <v>12.5</v>
      </c>
      <c r="F83" s="88">
        <v>8.1999999999999993</v>
      </c>
      <c r="G83" s="88">
        <v>8.8000000000000007</v>
      </c>
      <c r="H83" s="88">
        <v>8.1</v>
      </c>
      <c r="I83" s="88">
        <v>10</v>
      </c>
      <c r="J83" s="88">
        <v>9.9</v>
      </c>
      <c r="K83" s="88">
        <v>8.9</v>
      </c>
      <c r="L83" s="88">
        <v>10.5</v>
      </c>
      <c r="M83" s="88">
        <v>12</v>
      </c>
      <c r="N83" s="88">
        <v>12.4</v>
      </c>
      <c r="O83" s="88">
        <v>13.9</v>
      </c>
      <c r="P83" s="88">
        <v>12.6</v>
      </c>
      <c r="Q83" s="88">
        <v>11.4</v>
      </c>
      <c r="R83" s="88">
        <v>11.5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83"/>
  <sheetViews>
    <sheetView tabSelected="1" workbookViewId="0">
      <selection activeCell="C1" sqref="C1"/>
    </sheetView>
  </sheetViews>
  <sheetFormatPr defaultRowHeight="15.75" x14ac:dyDescent="0.25"/>
  <cols>
    <col min="1" max="1" width="9.140625" style="80"/>
    <col min="2" max="2" width="35.5703125" style="80" customWidth="1"/>
    <col min="3" max="3" width="11.7109375" style="80" bestFit="1" customWidth="1"/>
    <col min="4" max="4" width="9.5703125" style="80" bestFit="1" customWidth="1"/>
    <col min="5" max="5" width="9.140625" style="80" customWidth="1"/>
    <col min="6" max="6" width="9.42578125" style="80" customWidth="1"/>
    <col min="7" max="7" width="8.7109375" style="80" customWidth="1"/>
    <col min="8" max="8" width="8.85546875" style="80" customWidth="1"/>
    <col min="9" max="9" width="9.140625" style="80"/>
    <col min="10" max="10" width="9" style="80" customWidth="1"/>
    <col min="11" max="11" width="8.85546875" style="80" customWidth="1"/>
    <col min="12" max="12" width="9.140625" style="80" customWidth="1"/>
    <col min="13" max="13" width="9" style="80" customWidth="1"/>
    <col min="14" max="14" width="9.85546875" style="80" customWidth="1"/>
    <col min="15" max="15" width="10.140625" style="80" customWidth="1"/>
    <col min="16" max="16" width="9.5703125" style="80" customWidth="1"/>
    <col min="17" max="17" width="9.28515625" style="80" customWidth="1"/>
    <col min="18" max="16384" width="9.140625" style="80"/>
  </cols>
  <sheetData>
    <row r="1" spans="1:17" x14ac:dyDescent="0.25">
      <c r="A1" s="84" t="s">
        <v>216</v>
      </c>
      <c r="B1" s="86" t="s">
        <v>217</v>
      </c>
      <c r="C1" s="80" t="s">
        <v>218</v>
      </c>
      <c r="D1" s="80" t="s">
        <v>215</v>
      </c>
      <c r="E1" s="84"/>
      <c r="F1" s="84"/>
      <c r="G1" s="84"/>
      <c r="H1" s="86"/>
      <c r="I1" s="86"/>
      <c r="J1" s="86"/>
      <c r="K1" s="86"/>
      <c r="L1" s="86"/>
      <c r="M1" s="86"/>
      <c r="N1" s="86"/>
      <c r="O1" s="87"/>
      <c r="P1" s="86"/>
      <c r="Q1" s="86"/>
    </row>
    <row r="2" spans="1:17" x14ac:dyDescent="0.25">
      <c r="A2" s="84">
        <v>1</v>
      </c>
      <c r="B2" s="89">
        <v>0.39462016525222926</v>
      </c>
      <c r="C2" s="187">
        <v>43831</v>
      </c>
      <c r="D2" s="80">
        <v>48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84">
        <v>2</v>
      </c>
      <c r="B3" s="89">
        <v>0.40778549174138751</v>
      </c>
      <c r="C3" s="187">
        <v>43831</v>
      </c>
      <c r="D3" s="80">
        <v>48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x14ac:dyDescent="0.25">
      <c r="A4" s="84">
        <v>3</v>
      </c>
      <c r="B4" s="89">
        <v>0.5</v>
      </c>
      <c r="C4" s="187">
        <v>43831</v>
      </c>
      <c r="D4" s="80">
        <v>48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x14ac:dyDescent="0.25">
      <c r="A5" s="84">
        <v>4</v>
      </c>
      <c r="B5" s="89">
        <v>0.49362298597270349</v>
      </c>
      <c r="C5" s="187">
        <v>43831</v>
      </c>
      <c r="D5" s="80">
        <v>48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x14ac:dyDescent="0.25">
      <c r="A6" s="84">
        <v>5</v>
      </c>
      <c r="B6" s="89">
        <v>0.48709131032558028</v>
      </c>
      <c r="C6" s="187">
        <v>43831</v>
      </c>
      <c r="D6" s="80">
        <v>48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x14ac:dyDescent="0.25">
      <c r="A7" s="84">
        <v>6</v>
      </c>
      <c r="B7" s="89">
        <v>0.41628174059420603</v>
      </c>
      <c r="C7" s="187">
        <v>43831</v>
      </c>
      <c r="D7" s="80">
        <v>48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x14ac:dyDescent="0.25">
      <c r="A8" s="84">
        <v>7</v>
      </c>
      <c r="B8" s="89">
        <v>0.40778549174138751</v>
      </c>
      <c r="C8" s="187">
        <v>43831</v>
      </c>
      <c r="D8" s="80">
        <v>48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x14ac:dyDescent="0.25">
      <c r="A9" s="84">
        <v>8</v>
      </c>
      <c r="B9" s="89">
        <v>0.37149857228423716</v>
      </c>
      <c r="C9" s="187">
        <v>43831</v>
      </c>
      <c r="D9" s="80">
        <v>48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17" x14ac:dyDescent="0.25">
      <c r="A10" s="84">
        <v>9</v>
      </c>
      <c r="B10" s="89">
        <v>0.44049706175048847</v>
      </c>
      <c r="C10" s="187">
        <v>43831</v>
      </c>
      <c r="D10" s="80">
        <v>48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x14ac:dyDescent="0.25">
      <c r="A11" s="84">
        <v>10</v>
      </c>
      <c r="B11" s="89">
        <v>0.46293735614364523</v>
      </c>
      <c r="C11" s="187">
        <v>43831</v>
      </c>
      <c r="D11" s="80">
        <v>48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x14ac:dyDescent="0.25">
      <c r="A12" s="84">
        <v>11</v>
      </c>
      <c r="B12" s="89">
        <v>0.44049706175048847</v>
      </c>
      <c r="C12" s="187">
        <v>43831</v>
      </c>
      <c r="D12" s="80">
        <v>48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x14ac:dyDescent="0.25">
      <c r="A13" s="84">
        <v>12</v>
      </c>
      <c r="B13" s="89">
        <v>0.50928625013915918</v>
      </c>
      <c r="C13" s="187">
        <v>43831</v>
      </c>
      <c r="D13" s="80">
        <v>48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x14ac:dyDescent="0.25">
      <c r="A14" s="84">
        <v>13</v>
      </c>
      <c r="B14" s="89">
        <v>0.5</v>
      </c>
      <c r="C14" s="187">
        <v>43831</v>
      </c>
      <c r="D14" s="80">
        <v>48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x14ac:dyDescent="0.25">
      <c r="A15" s="84">
        <v>14</v>
      </c>
      <c r="B15" s="89">
        <v>0.45931347703523795</v>
      </c>
      <c r="C15" s="187">
        <v>43831</v>
      </c>
      <c r="D15" s="80">
        <v>48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x14ac:dyDescent="0.25">
      <c r="A16" s="84">
        <v>15</v>
      </c>
      <c r="B16" s="89">
        <v>0.52117112491658979</v>
      </c>
      <c r="C16" s="187">
        <v>43831</v>
      </c>
      <c r="D16" s="80">
        <v>48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</row>
    <row r="17" spans="1:17" x14ac:dyDescent="0.25">
      <c r="A17" s="84">
        <v>16</v>
      </c>
      <c r="B17" s="89">
        <v>0.52117112491658979</v>
      </c>
      <c r="C17" s="187">
        <v>43831</v>
      </c>
      <c r="D17" s="80">
        <v>48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7" x14ac:dyDescent="0.25">
      <c r="A18" s="84">
        <v>17</v>
      </c>
      <c r="B18" s="89">
        <v>0.56123102415468651</v>
      </c>
      <c r="C18" s="187">
        <v>43831</v>
      </c>
      <c r="D18" s="80">
        <v>48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7" x14ac:dyDescent="0.25">
      <c r="A19" s="84">
        <v>18</v>
      </c>
      <c r="B19" s="89">
        <v>0.54336743126302911</v>
      </c>
      <c r="C19" s="187">
        <v>43831</v>
      </c>
      <c r="D19" s="80">
        <v>48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1:17" x14ac:dyDescent="0.25">
      <c r="A20" s="84">
        <v>19</v>
      </c>
      <c r="B20" s="89">
        <v>0.4837658892619458</v>
      </c>
      <c r="C20" s="187">
        <v>43831</v>
      </c>
      <c r="D20" s="80">
        <v>48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17" x14ac:dyDescent="0.25">
      <c r="A21" s="84">
        <v>20</v>
      </c>
      <c r="B21" s="89">
        <v>0.54336743126302911</v>
      </c>
      <c r="C21" s="187">
        <v>43831</v>
      </c>
      <c r="D21" s="80">
        <v>48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17" x14ac:dyDescent="0.25">
      <c r="A22" s="84">
        <v>21</v>
      </c>
      <c r="B22" s="89">
        <v>0.41628174059420603</v>
      </c>
      <c r="C22" s="187">
        <v>43831</v>
      </c>
      <c r="D22" s="80">
        <v>48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7" x14ac:dyDescent="0.25">
      <c r="A23" s="84">
        <v>22</v>
      </c>
      <c r="B23" s="89">
        <v>0.47699261494897471</v>
      </c>
      <c r="C23" s="187">
        <v>43831</v>
      </c>
      <c r="D23" s="80">
        <v>48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1:17" x14ac:dyDescent="0.25">
      <c r="A24" s="84">
        <v>23</v>
      </c>
      <c r="B24" s="89">
        <v>0.38555270635198519</v>
      </c>
      <c r="C24" s="187">
        <v>43831</v>
      </c>
      <c r="D24" s="80">
        <v>48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x14ac:dyDescent="0.25">
      <c r="A25" s="84">
        <v>24</v>
      </c>
      <c r="B25" s="89">
        <v>0.48039987884286789</v>
      </c>
      <c r="C25" s="187">
        <v>43831</v>
      </c>
      <c r="D25" s="80">
        <v>48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1:17" x14ac:dyDescent="0.25">
      <c r="A26" s="84">
        <v>25</v>
      </c>
      <c r="B26" s="89">
        <v>0.53252054471998134</v>
      </c>
      <c r="C26" s="187">
        <v>43831</v>
      </c>
      <c r="D26" s="80">
        <v>48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</row>
    <row r="27" spans="1:17" x14ac:dyDescent="0.25">
      <c r="A27" s="84">
        <v>26</v>
      </c>
      <c r="B27" s="89">
        <v>0.54336743126302911</v>
      </c>
      <c r="C27" s="187">
        <v>43831</v>
      </c>
      <c r="D27" s="80">
        <v>48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1:17" x14ac:dyDescent="0.25">
      <c r="A28" s="84">
        <v>27</v>
      </c>
      <c r="B28" s="89">
        <v>0.50313205358200364</v>
      </c>
      <c r="C28" s="187">
        <v>43831</v>
      </c>
      <c r="D28" s="80">
        <v>48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</row>
    <row r="29" spans="1:17" x14ac:dyDescent="0.25">
      <c r="A29" s="84">
        <v>28</v>
      </c>
      <c r="B29" s="89">
        <v>0.45931347703523795</v>
      </c>
      <c r="C29" s="187">
        <v>43831</v>
      </c>
      <c r="D29" s="80">
        <v>48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</row>
    <row r="30" spans="1:17" x14ac:dyDescent="0.25">
      <c r="A30" s="84">
        <v>29</v>
      </c>
      <c r="B30" s="89">
        <v>0.4837658892619458</v>
      </c>
      <c r="C30" s="187">
        <v>43831</v>
      </c>
      <c r="D30" s="80">
        <v>48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x14ac:dyDescent="0.25">
      <c r="A31" s="84">
        <v>30</v>
      </c>
      <c r="B31" s="89">
        <v>0.28061551207734331</v>
      </c>
      <c r="C31" s="187">
        <v>43831</v>
      </c>
      <c r="D31" s="80">
        <v>48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x14ac:dyDescent="0.25">
      <c r="A32" s="84">
        <v>31</v>
      </c>
      <c r="B32" s="89">
        <v>0.46293735614364523</v>
      </c>
      <c r="C32" s="187">
        <v>43831</v>
      </c>
      <c r="D32" s="80">
        <v>48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</row>
    <row r="33" spans="1:17" x14ac:dyDescent="0.25">
      <c r="A33" s="84">
        <v>32</v>
      </c>
      <c r="B33" s="89">
        <v>0.42862199142653634</v>
      </c>
      <c r="C33" s="187">
        <v>43831</v>
      </c>
      <c r="D33" s="80">
        <v>48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17" x14ac:dyDescent="0.25">
      <c r="A34" s="84">
        <v>33</v>
      </c>
      <c r="B34" s="89">
        <v>0.35187884454383445</v>
      </c>
      <c r="C34" s="187">
        <v>43831</v>
      </c>
      <c r="D34" s="80">
        <v>48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x14ac:dyDescent="0.25">
      <c r="A35" s="84">
        <v>34</v>
      </c>
      <c r="B35" s="89">
        <v>0.44435580299072147</v>
      </c>
      <c r="C35" s="187">
        <v>43831</v>
      </c>
      <c r="D35" s="80">
        <v>48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7" x14ac:dyDescent="0.25">
      <c r="A36" s="84">
        <v>35</v>
      </c>
      <c r="B36" s="89">
        <v>0.52691065255862768</v>
      </c>
      <c r="C36" s="187">
        <v>43831</v>
      </c>
      <c r="D36" s="80">
        <v>48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</row>
    <row r="37" spans="1:17" x14ac:dyDescent="0.25">
      <c r="A37" s="84">
        <v>36</v>
      </c>
      <c r="B37" s="89">
        <v>0.27463610758063006</v>
      </c>
      <c r="C37" s="187">
        <v>43831</v>
      </c>
      <c r="D37" s="80">
        <v>48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</row>
    <row r="38" spans="1:17" x14ac:dyDescent="0.25">
      <c r="A38" s="84">
        <v>37</v>
      </c>
      <c r="B38" s="89">
        <v>0.30381183999511724</v>
      </c>
      <c r="C38" s="187">
        <v>43831</v>
      </c>
      <c r="D38" s="80">
        <v>48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17" x14ac:dyDescent="0.25">
      <c r="A39" s="84">
        <v>38</v>
      </c>
      <c r="B39" s="89">
        <v>0.36181730936009454</v>
      </c>
      <c r="C39" s="187">
        <v>43831</v>
      </c>
      <c r="D39" s="80">
        <v>48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</row>
    <row r="40" spans="1:17" x14ac:dyDescent="0.25">
      <c r="A40" s="84">
        <v>39</v>
      </c>
      <c r="B40" s="89">
        <v>0.32045839182271907</v>
      </c>
      <c r="C40" s="187">
        <v>43831</v>
      </c>
      <c r="D40" s="80">
        <v>48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17" x14ac:dyDescent="0.25">
      <c r="A41" s="84">
        <v>40</v>
      </c>
      <c r="B41" s="89">
        <v>0.44435580299072147</v>
      </c>
      <c r="C41" s="187">
        <v>43831</v>
      </c>
      <c r="D41" s="80">
        <v>48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</row>
    <row r="42" spans="1:17" x14ac:dyDescent="0.25">
      <c r="A42" s="84">
        <v>41</v>
      </c>
      <c r="B42" s="89">
        <v>0.3416768068097345</v>
      </c>
      <c r="C42" s="187">
        <v>43831</v>
      </c>
      <c r="D42" s="80">
        <v>48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x14ac:dyDescent="0.25">
      <c r="A43" s="84">
        <v>42</v>
      </c>
      <c r="B43" s="89">
        <v>0.42044820762685731</v>
      </c>
      <c r="C43" s="187">
        <v>43831</v>
      </c>
      <c r="D43" s="80">
        <v>48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</row>
    <row r="44" spans="1:17" x14ac:dyDescent="0.25">
      <c r="A44" s="84">
        <v>43</v>
      </c>
      <c r="B44" s="89">
        <v>0.44816604806892785</v>
      </c>
      <c r="C44" s="187">
        <v>43831</v>
      </c>
      <c r="D44" s="80">
        <v>48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</row>
    <row r="45" spans="1:17" x14ac:dyDescent="0.25">
      <c r="A45" s="84">
        <v>44</v>
      </c>
      <c r="B45" s="89">
        <v>0.38555270635198519</v>
      </c>
      <c r="C45" s="187">
        <v>43831</v>
      </c>
      <c r="D45" s="80">
        <v>48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1:17" x14ac:dyDescent="0.25">
      <c r="A46" s="84">
        <v>45</v>
      </c>
      <c r="B46" s="89">
        <v>0.5152977723760046</v>
      </c>
      <c r="C46" s="187">
        <v>43831</v>
      </c>
      <c r="D46" s="80">
        <v>48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1:17" x14ac:dyDescent="0.25">
      <c r="A47" s="84">
        <v>46</v>
      </c>
      <c r="B47" s="89">
        <v>0.46651649576840371</v>
      </c>
      <c r="C47" s="187">
        <v>43831</v>
      </c>
      <c r="D47" s="80">
        <v>48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1:17" x14ac:dyDescent="0.25">
      <c r="A48" s="84">
        <v>47</v>
      </c>
      <c r="B48" s="89">
        <v>0.4968305140738335</v>
      </c>
      <c r="C48" s="187">
        <v>43831</v>
      </c>
      <c r="D48" s="80">
        <v>48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17" x14ac:dyDescent="0.25">
      <c r="A49" s="84">
        <v>48</v>
      </c>
      <c r="B49" s="89">
        <v>0.44435580299072147</v>
      </c>
      <c r="C49" s="187">
        <v>43831</v>
      </c>
      <c r="D49" s="80">
        <v>48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x14ac:dyDescent="0.25">
      <c r="A50" s="84">
        <v>49</v>
      </c>
      <c r="B50" s="89">
        <v>0.44049706175048847</v>
      </c>
      <c r="C50" s="187">
        <v>43831</v>
      </c>
      <c r="D50" s="80">
        <v>48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</row>
    <row r="51" spans="1:17" x14ac:dyDescent="0.25">
      <c r="A51" s="84">
        <v>50</v>
      </c>
      <c r="B51" s="89">
        <v>0.5152977723760046</v>
      </c>
      <c r="C51" s="187">
        <v>43831</v>
      </c>
      <c r="D51" s="80">
        <v>48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7" x14ac:dyDescent="0.25">
      <c r="A52" s="84">
        <v>51</v>
      </c>
      <c r="B52" s="89">
        <v>0.48709131032558028</v>
      </c>
      <c r="C52" s="187">
        <v>43831</v>
      </c>
      <c r="D52" s="80">
        <v>48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7" x14ac:dyDescent="0.25">
      <c r="A53" s="84">
        <v>52</v>
      </c>
      <c r="B53" s="89">
        <v>0.5152977723760046</v>
      </c>
      <c r="C53" s="187">
        <v>43831</v>
      </c>
      <c r="D53" s="80">
        <v>48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</row>
    <row r="54" spans="1:17" x14ac:dyDescent="0.25">
      <c r="A54" s="84">
        <v>53</v>
      </c>
      <c r="B54" s="89">
        <v>0.48039987884286789</v>
      </c>
      <c r="C54" s="187">
        <v>43831</v>
      </c>
      <c r="D54" s="80">
        <v>48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</row>
    <row r="55" spans="1:17" x14ac:dyDescent="0.25">
      <c r="A55" s="84">
        <v>54</v>
      </c>
      <c r="B55" s="89">
        <v>0.45931347703523795</v>
      </c>
      <c r="C55" s="187">
        <v>43831</v>
      </c>
      <c r="D55" s="80">
        <v>48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</row>
    <row r="56" spans="1:17" x14ac:dyDescent="0.25">
      <c r="A56" s="84">
        <v>55</v>
      </c>
      <c r="B56" s="89">
        <v>0.44816604806892785</v>
      </c>
      <c r="C56" s="187">
        <v>43831</v>
      </c>
      <c r="D56" s="80">
        <v>48</v>
      </c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</row>
    <row r="57" spans="1:17" x14ac:dyDescent="0.25">
      <c r="A57" s="84">
        <v>56</v>
      </c>
      <c r="B57" s="89">
        <v>0.4735434224363147</v>
      </c>
      <c r="C57" s="187">
        <v>43831</v>
      </c>
      <c r="D57" s="80">
        <v>48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</row>
    <row r="58" spans="1:17" x14ac:dyDescent="0.25">
      <c r="A58" s="84">
        <v>57</v>
      </c>
      <c r="B58" s="89">
        <v>0.4837658892619458</v>
      </c>
      <c r="C58" s="187">
        <v>43831</v>
      </c>
      <c r="D58" s="80">
        <v>48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</row>
    <row r="59" spans="1:17" x14ac:dyDescent="0.25">
      <c r="A59" s="84">
        <v>58</v>
      </c>
      <c r="B59" s="89">
        <v>0.4837658892619458</v>
      </c>
      <c r="C59" s="187">
        <v>43831</v>
      </c>
      <c r="D59" s="80">
        <v>48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</row>
    <row r="60" spans="1:17" x14ac:dyDescent="0.25">
      <c r="A60" s="84">
        <v>59</v>
      </c>
      <c r="B60" s="89">
        <v>0.51230956021217355</v>
      </c>
      <c r="C60" s="187">
        <v>43831</v>
      </c>
      <c r="D60" s="80">
        <v>48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</row>
    <row r="61" spans="1:17" x14ac:dyDescent="0.25">
      <c r="A61" s="84">
        <v>60</v>
      </c>
      <c r="B61" s="89">
        <v>0.4837658892619458</v>
      </c>
      <c r="C61" s="187">
        <v>43831</v>
      </c>
      <c r="D61" s="80">
        <v>48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</row>
    <row r="62" spans="1:17" x14ac:dyDescent="0.25">
      <c r="A62" s="84">
        <v>61</v>
      </c>
      <c r="B62" s="89">
        <v>0.48709131032558028</v>
      </c>
      <c r="C62" s="187">
        <v>43831</v>
      </c>
      <c r="D62" s="80">
        <v>48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</row>
    <row r="63" spans="1:17" x14ac:dyDescent="0.25">
      <c r="A63" s="84">
        <v>62</v>
      </c>
      <c r="B63" s="89">
        <v>0.45192856919555047</v>
      </c>
      <c r="C63" s="187">
        <v>43831</v>
      </c>
      <c r="D63" s="80">
        <v>48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  <row r="64" spans="1:17" x14ac:dyDescent="0.25">
      <c r="A64" s="84">
        <v>63</v>
      </c>
      <c r="B64" s="89">
        <v>0.52973154717964765</v>
      </c>
      <c r="C64" s="187">
        <v>43831</v>
      </c>
      <c r="D64" s="80">
        <v>48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</row>
    <row r="65" spans="1:17" x14ac:dyDescent="0.25">
      <c r="A65" s="84">
        <v>64</v>
      </c>
      <c r="B65" s="89">
        <v>0.45931347703523795</v>
      </c>
      <c r="C65" s="187">
        <v>43831</v>
      </c>
      <c r="D65" s="80">
        <v>48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</row>
    <row r="66" spans="1:17" x14ac:dyDescent="0.25">
      <c r="A66" s="84">
        <v>65</v>
      </c>
      <c r="B66" s="89">
        <v>0.35187884454383445</v>
      </c>
      <c r="C66" s="187">
        <v>43831</v>
      </c>
      <c r="D66" s="80">
        <v>48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</row>
    <row r="67" spans="1:17" x14ac:dyDescent="0.25">
      <c r="A67" s="84">
        <v>66</v>
      </c>
      <c r="B67" s="89">
        <v>0.47005161511840921</v>
      </c>
      <c r="C67" s="187">
        <v>43831</v>
      </c>
      <c r="D67" s="80">
        <v>48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</row>
    <row r="68" spans="1:17" x14ac:dyDescent="0.25">
      <c r="A68" s="84">
        <v>67</v>
      </c>
      <c r="B68" s="89">
        <v>0.49037679516448823</v>
      </c>
      <c r="C68" s="187">
        <v>43831</v>
      </c>
      <c r="D68" s="80">
        <v>48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</row>
    <row r="69" spans="1:17" x14ac:dyDescent="0.25">
      <c r="A69" s="84">
        <v>68</v>
      </c>
      <c r="B69" s="89">
        <v>0.54336743126302911</v>
      </c>
      <c r="C69" s="187">
        <v>43831</v>
      </c>
      <c r="D69" s="80">
        <v>48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</row>
    <row r="70" spans="1:17" x14ac:dyDescent="0.25">
      <c r="A70" s="84">
        <v>69</v>
      </c>
      <c r="B70" s="89">
        <v>0.37149857228423716</v>
      </c>
      <c r="C70" s="187">
        <v>43831</v>
      </c>
      <c r="D70" s="80">
        <v>48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</row>
    <row r="71" spans="1:17" x14ac:dyDescent="0.25">
      <c r="A71" s="84">
        <v>70</v>
      </c>
      <c r="B71" s="89">
        <v>0.44816604806892785</v>
      </c>
      <c r="C71" s="187">
        <v>43831</v>
      </c>
      <c r="D71" s="80">
        <v>48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</row>
    <row r="72" spans="1:17" x14ac:dyDescent="0.25">
      <c r="A72" s="84">
        <v>71</v>
      </c>
      <c r="B72" s="89">
        <v>0.45192856919555047</v>
      </c>
      <c r="C72" s="187">
        <v>43831</v>
      </c>
      <c r="D72" s="80">
        <v>48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</row>
    <row r="73" spans="1:17" x14ac:dyDescent="0.25">
      <c r="A73" s="84">
        <v>72</v>
      </c>
      <c r="B73" s="89">
        <v>0.46293735614364523</v>
      </c>
      <c r="C73" s="187">
        <v>43831</v>
      </c>
      <c r="D73" s="80">
        <v>48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</row>
    <row r="74" spans="1:17" x14ac:dyDescent="0.25">
      <c r="A74" s="84">
        <v>73</v>
      </c>
      <c r="B74" s="89">
        <v>0.44049706175048847</v>
      </c>
      <c r="C74" s="187">
        <v>43831</v>
      </c>
      <c r="D74" s="80">
        <v>48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</row>
    <row r="75" spans="1:17" x14ac:dyDescent="0.25">
      <c r="A75" s="84">
        <v>74</v>
      </c>
      <c r="B75" s="89">
        <v>0.5062272740493825</v>
      </c>
      <c r="C75" s="187">
        <v>43831</v>
      </c>
      <c r="D75" s="80">
        <v>48</v>
      </c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1:17" x14ac:dyDescent="0.25">
      <c r="A76" s="84">
        <v>75</v>
      </c>
      <c r="B76" s="89">
        <v>0.53527814533843776</v>
      </c>
      <c r="C76" s="187">
        <v>43831</v>
      </c>
      <c r="D76" s="80">
        <v>48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</row>
    <row r="77" spans="1:17" x14ac:dyDescent="0.25">
      <c r="A77" s="84">
        <v>76</v>
      </c>
      <c r="B77" s="89">
        <v>0.44049706175048847</v>
      </c>
      <c r="C77" s="187">
        <v>43831</v>
      </c>
      <c r="D77" s="80">
        <v>48</v>
      </c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</row>
    <row r="78" spans="1:17" x14ac:dyDescent="0.25">
      <c r="A78" s="84">
        <v>77</v>
      </c>
      <c r="B78" s="89">
        <v>0.51230956021217355</v>
      </c>
      <c r="C78" s="187">
        <v>43831</v>
      </c>
      <c r="D78" s="80">
        <v>48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</row>
    <row r="79" spans="1:17" x14ac:dyDescent="0.25">
      <c r="A79" s="84">
        <v>78</v>
      </c>
      <c r="B79" s="89">
        <v>0.4735434224363147</v>
      </c>
      <c r="C79" s="187">
        <v>43831</v>
      </c>
      <c r="D79" s="80">
        <v>48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</row>
    <row r="80" spans="1:17" x14ac:dyDescent="0.25">
      <c r="A80" s="84">
        <v>79</v>
      </c>
      <c r="B80" s="89">
        <v>0.55626573804824342</v>
      </c>
      <c r="C80" s="187">
        <v>43831</v>
      </c>
      <c r="D80" s="80">
        <v>48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</row>
    <row r="81" spans="1:17" x14ac:dyDescent="0.25">
      <c r="A81" s="84">
        <v>80</v>
      </c>
      <c r="B81" s="89">
        <v>0.37624481090234912</v>
      </c>
      <c r="C81" s="187">
        <v>43831</v>
      </c>
      <c r="D81" s="80">
        <v>48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</row>
    <row r="82" spans="1:17" x14ac:dyDescent="0.25">
      <c r="A82" s="84">
        <v>81</v>
      </c>
      <c r="B82" s="89">
        <v>0.40778549174138751</v>
      </c>
      <c r="C82" s="187">
        <v>43831</v>
      </c>
      <c r="D82" s="80">
        <v>48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</row>
    <row r="83" spans="1:17" x14ac:dyDescent="0.25">
      <c r="A83" s="84">
        <v>82</v>
      </c>
      <c r="B83" s="89">
        <v>0.5152977723760046</v>
      </c>
      <c r="C83" s="187">
        <v>43831</v>
      </c>
      <c r="D83" s="80">
        <v>48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19"/>
  <sheetViews>
    <sheetView topLeftCell="A3" zoomScale="90" zoomScaleNormal="90" workbookViewId="0">
      <selection activeCell="C13" sqref="C13"/>
    </sheetView>
  </sheetViews>
  <sheetFormatPr defaultRowHeight="15" x14ac:dyDescent="0.25"/>
  <cols>
    <col min="1" max="1" width="9.85546875" customWidth="1"/>
    <col min="2" max="2" width="18.85546875" customWidth="1"/>
    <col min="3" max="3" width="19" customWidth="1"/>
    <col min="4" max="4" width="13.85546875" customWidth="1"/>
    <col min="5" max="5" width="52" customWidth="1"/>
    <col min="6" max="6" width="40.28515625" customWidth="1"/>
    <col min="7" max="7" width="17.140625" customWidth="1"/>
    <col min="8" max="8" width="9.140625" style="57"/>
    <col min="9" max="9" width="33.5703125" customWidth="1"/>
  </cols>
  <sheetData>
    <row r="1" spans="1:9" s="54" customFormat="1" ht="15.75" thickBot="1" x14ac:dyDescent="0.3">
      <c r="A1" s="54" t="s">
        <v>0</v>
      </c>
      <c r="B1" s="54" t="s">
        <v>93</v>
      </c>
      <c r="C1" s="54" t="s">
        <v>94</v>
      </c>
      <c r="D1" s="54" t="s">
        <v>95</v>
      </c>
      <c r="E1" s="54" t="s">
        <v>96</v>
      </c>
      <c r="F1" s="54" t="s">
        <v>97</v>
      </c>
      <c r="G1" s="54" t="s">
        <v>98</v>
      </c>
      <c r="H1" s="55" t="s">
        <v>99</v>
      </c>
      <c r="I1" s="55" t="s">
        <v>146</v>
      </c>
    </row>
    <row r="2" spans="1:9" ht="62.25" customHeight="1" thickBot="1" x14ac:dyDescent="0.3">
      <c r="A2" s="54" t="s">
        <v>124</v>
      </c>
      <c r="B2" s="184" t="s">
        <v>115</v>
      </c>
      <c r="C2" s="54" t="s">
        <v>202</v>
      </c>
      <c r="D2" s="54" t="s">
        <v>101</v>
      </c>
      <c r="E2" s="171" t="s">
        <v>145</v>
      </c>
      <c r="F2" s="58" t="s">
        <v>144</v>
      </c>
      <c r="G2" s="54" t="s">
        <v>103</v>
      </c>
      <c r="H2" s="55">
        <v>13</v>
      </c>
      <c r="I2" s="59" t="s">
        <v>147</v>
      </c>
    </row>
    <row r="3" spans="1:9" ht="45.75" thickBot="1" x14ac:dyDescent="0.3">
      <c r="A3" s="54" t="s">
        <v>125</v>
      </c>
      <c r="B3" s="185"/>
      <c r="C3" s="54" t="s">
        <v>203</v>
      </c>
      <c r="D3" s="54" t="s">
        <v>205</v>
      </c>
      <c r="E3" s="171" t="s">
        <v>116</v>
      </c>
      <c r="F3" s="58" t="s">
        <v>201</v>
      </c>
      <c r="G3" s="54" t="s">
        <v>103</v>
      </c>
      <c r="H3" s="55">
        <v>7.35</v>
      </c>
      <c r="I3" s="54" t="s">
        <v>199</v>
      </c>
    </row>
    <row r="4" spans="1:9" ht="63" customHeight="1" thickBot="1" x14ac:dyDescent="0.3">
      <c r="A4" s="54" t="s">
        <v>126</v>
      </c>
      <c r="B4" s="186"/>
      <c r="C4" s="54" t="s">
        <v>204</v>
      </c>
      <c r="D4" s="54" t="s">
        <v>205</v>
      </c>
      <c r="E4" s="171" t="s">
        <v>117</v>
      </c>
      <c r="F4" s="115" t="s">
        <v>130</v>
      </c>
      <c r="G4" s="54" t="s">
        <v>103</v>
      </c>
      <c r="H4" s="55">
        <v>105.6</v>
      </c>
      <c r="I4" s="54" t="s">
        <v>200</v>
      </c>
    </row>
    <row r="5" spans="1:9" ht="90.75" thickBot="1" x14ac:dyDescent="0.3">
      <c r="A5" s="54" t="s">
        <v>118</v>
      </c>
      <c r="B5" s="184" t="s">
        <v>100</v>
      </c>
      <c r="C5" s="54" t="s">
        <v>206</v>
      </c>
      <c r="D5" s="55" t="s">
        <v>101</v>
      </c>
      <c r="E5" s="171" t="s">
        <v>207</v>
      </c>
      <c r="F5" s="58" t="s">
        <v>102</v>
      </c>
      <c r="G5" s="54" t="s">
        <v>103</v>
      </c>
      <c r="H5" s="55">
        <v>10</v>
      </c>
      <c r="I5" s="54" t="s">
        <v>143</v>
      </c>
    </row>
    <row r="6" spans="1:9" ht="60.75" thickBot="1" x14ac:dyDescent="0.3">
      <c r="A6" s="54" t="s">
        <v>119</v>
      </c>
      <c r="B6" s="185"/>
      <c r="C6" s="54" t="s">
        <v>104</v>
      </c>
      <c r="D6" s="55" t="s">
        <v>101</v>
      </c>
      <c r="E6" s="171" t="s">
        <v>105</v>
      </c>
      <c r="F6" s="58" t="s">
        <v>131</v>
      </c>
      <c r="G6" s="54" t="s">
        <v>103</v>
      </c>
      <c r="H6" s="55">
        <v>3.2</v>
      </c>
      <c r="I6" s="54" t="s">
        <v>139</v>
      </c>
    </row>
    <row r="7" spans="1:9" ht="45.75" thickBot="1" x14ac:dyDescent="0.3">
      <c r="A7" s="54" t="s">
        <v>120</v>
      </c>
      <c r="B7" s="186"/>
      <c r="C7" s="54" t="s">
        <v>106</v>
      </c>
      <c r="D7" s="55" t="s">
        <v>101</v>
      </c>
      <c r="E7" s="171" t="s">
        <v>107</v>
      </c>
      <c r="F7" s="54" t="s">
        <v>132</v>
      </c>
      <c r="G7" s="54" t="s">
        <v>103</v>
      </c>
      <c r="H7" s="55">
        <v>25</v>
      </c>
      <c r="I7" s="54" t="s">
        <v>139</v>
      </c>
    </row>
    <row r="8" spans="1:9" ht="130.5" customHeight="1" thickBot="1" x14ac:dyDescent="0.3">
      <c r="A8" s="72" t="s">
        <v>196</v>
      </c>
      <c r="B8" s="184" t="s">
        <v>111</v>
      </c>
      <c r="C8" s="54" t="s">
        <v>208</v>
      </c>
      <c r="D8" s="54" t="s">
        <v>205</v>
      </c>
      <c r="E8" s="171" t="s">
        <v>211</v>
      </c>
      <c r="F8" s="58" t="s">
        <v>127</v>
      </c>
      <c r="G8" s="54" t="s">
        <v>103</v>
      </c>
      <c r="H8" s="55">
        <v>149.5</v>
      </c>
      <c r="I8" s="54" t="s">
        <v>148</v>
      </c>
    </row>
    <row r="9" spans="1:9" ht="63.75" customHeight="1" thickBot="1" x14ac:dyDescent="0.3">
      <c r="A9" s="72" t="s">
        <v>197</v>
      </c>
      <c r="B9" s="185"/>
      <c r="C9" s="54" t="s">
        <v>209</v>
      </c>
      <c r="D9" s="54" t="s">
        <v>112</v>
      </c>
      <c r="E9" s="171" t="s">
        <v>113</v>
      </c>
      <c r="F9" s="58" t="s">
        <v>128</v>
      </c>
      <c r="G9" s="54" t="s">
        <v>103</v>
      </c>
      <c r="H9" s="55">
        <v>7.11</v>
      </c>
      <c r="I9" s="54" t="s">
        <v>149</v>
      </c>
    </row>
    <row r="10" spans="1:9" ht="63.75" customHeight="1" thickBot="1" x14ac:dyDescent="0.3">
      <c r="A10" s="72" t="s">
        <v>198</v>
      </c>
      <c r="B10" s="186"/>
      <c r="C10" s="54" t="s">
        <v>210</v>
      </c>
      <c r="D10" s="54" t="s">
        <v>112</v>
      </c>
      <c r="E10" s="171" t="s">
        <v>114</v>
      </c>
      <c r="F10" s="54" t="s">
        <v>129</v>
      </c>
      <c r="G10" s="54" t="s">
        <v>103</v>
      </c>
      <c r="H10" s="55">
        <v>41.95</v>
      </c>
      <c r="I10" s="54" t="s">
        <v>150</v>
      </c>
    </row>
    <row r="11" spans="1:9" ht="45.75" thickBot="1" x14ac:dyDescent="0.3">
      <c r="A11" s="54" t="s">
        <v>121</v>
      </c>
      <c r="B11" s="184" t="s">
        <v>108</v>
      </c>
      <c r="C11" s="54" t="s">
        <v>212</v>
      </c>
      <c r="D11" s="54" t="s">
        <v>141</v>
      </c>
      <c r="E11" s="171" t="s">
        <v>109</v>
      </c>
      <c r="F11" s="54" t="s">
        <v>133</v>
      </c>
      <c r="G11" s="54" t="s">
        <v>103</v>
      </c>
      <c r="H11" s="55">
        <v>0.625</v>
      </c>
      <c r="I11" s="54" t="s">
        <v>142</v>
      </c>
    </row>
    <row r="12" spans="1:9" ht="60.75" thickBot="1" x14ac:dyDescent="0.3">
      <c r="A12" s="54" t="s">
        <v>122</v>
      </c>
      <c r="B12" s="185"/>
      <c r="C12" s="54" t="s">
        <v>136</v>
      </c>
      <c r="D12" s="54" t="s">
        <v>137</v>
      </c>
      <c r="E12" s="171" t="s">
        <v>110</v>
      </c>
      <c r="F12" s="54" t="s">
        <v>134</v>
      </c>
      <c r="G12" s="54" t="s">
        <v>103</v>
      </c>
      <c r="H12" s="55">
        <v>25</v>
      </c>
      <c r="I12" s="54" t="s">
        <v>138</v>
      </c>
    </row>
    <row r="13" spans="1:9" ht="30.75" thickBot="1" x14ac:dyDescent="0.3">
      <c r="A13" s="54" t="s">
        <v>123</v>
      </c>
      <c r="B13" s="186"/>
      <c r="C13" s="54" t="s">
        <v>213</v>
      </c>
      <c r="D13" s="54" t="s">
        <v>101</v>
      </c>
      <c r="E13" s="171" t="s">
        <v>214</v>
      </c>
      <c r="F13" s="58" t="s">
        <v>135</v>
      </c>
      <c r="G13" s="54" t="s">
        <v>103</v>
      </c>
      <c r="H13" s="55">
        <v>11</v>
      </c>
      <c r="I13" s="54" t="s">
        <v>140</v>
      </c>
    </row>
    <row r="14" spans="1:9" x14ac:dyDescent="0.25">
      <c r="A14" s="51"/>
      <c r="B14" s="50"/>
      <c r="C14" s="50"/>
      <c r="D14" s="50"/>
      <c r="E14" s="50"/>
      <c r="F14" s="50"/>
      <c r="G14" s="50"/>
      <c r="H14" s="56"/>
      <c r="I14" s="50"/>
    </row>
    <row r="15" spans="1:9" x14ac:dyDescent="0.25">
      <c r="A15" s="51"/>
      <c r="B15" s="50"/>
      <c r="C15" s="50"/>
      <c r="D15" s="50"/>
      <c r="E15" s="50"/>
      <c r="F15" s="50"/>
      <c r="G15" s="50"/>
      <c r="H15" s="56"/>
      <c r="I15" s="50"/>
    </row>
    <row r="16" spans="1:9" x14ac:dyDescent="0.25">
      <c r="A16" s="51"/>
      <c r="B16" s="50"/>
      <c r="C16" s="50"/>
      <c r="D16" s="50"/>
      <c r="E16" s="50"/>
      <c r="F16" s="50"/>
      <c r="G16" s="50"/>
      <c r="H16" s="56"/>
      <c r="I16" s="50"/>
    </row>
    <row r="17" spans="1:9" x14ac:dyDescent="0.25">
      <c r="A17" s="51"/>
      <c r="B17" s="50"/>
      <c r="C17" s="50"/>
      <c r="D17" s="50"/>
      <c r="E17" s="50"/>
      <c r="F17" s="50"/>
      <c r="G17" s="50"/>
      <c r="H17" s="56"/>
      <c r="I17" s="50"/>
    </row>
    <row r="18" spans="1:9" x14ac:dyDescent="0.25">
      <c r="A18" s="51"/>
      <c r="B18" s="50"/>
      <c r="C18" s="50"/>
      <c r="D18" s="50"/>
      <c r="E18" s="50"/>
      <c r="F18" s="50"/>
      <c r="G18" s="50"/>
      <c r="H18" s="56"/>
      <c r="I18" s="50"/>
    </row>
    <row r="19" spans="1:9" x14ac:dyDescent="0.25">
      <c r="A19" s="51"/>
      <c r="B19" s="50"/>
      <c r="C19" s="50"/>
      <c r="D19" s="50"/>
      <c r="E19" s="50"/>
      <c r="F19" s="50"/>
      <c r="G19" s="50"/>
      <c r="H19" s="56"/>
      <c r="I19" s="50"/>
    </row>
  </sheetData>
  <mergeCells count="4">
    <mergeCell ref="B2:B4"/>
    <mergeCell ref="B5:B7"/>
    <mergeCell ref="B11:B13"/>
    <mergeCell ref="B8:B10"/>
  </mergeCells>
  <hyperlinks>
    <hyperlink ref="F5" r:id="rId1" xr:uid="{00000000-0004-0000-2500-000000000000}"/>
    <hyperlink ref="F11" r:id="rId2" xr:uid="{00000000-0004-0000-2500-000001000000}"/>
    <hyperlink ref="F13" r:id="rId3" xr:uid="{00000000-0004-0000-2500-000002000000}"/>
    <hyperlink ref="F8" r:id="rId4" xr:uid="{00000000-0004-0000-2500-000003000000}"/>
    <hyperlink ref="F4" r:id="rId5" xr:uid="{00000000-0004-0000-2500-000004000000}"/>
    <hyperlink ref="F9" r:id="rId6" xr:uid="{00000000-0004-0000-2500-000005000000}"/>
    <hyperlink ref="F6" r:id="rId7" xr:uid="{00000000-0004-0000-2500-000006000000}"/>
    <hyperlink ref="F2" r:id="rId8" xr:uid="{00000000-0004-0000-2500-000007000000}"/>
    <hyperlink ref="F3" r:id="rId9" xr:uid="{00000000-0004-0000-2500-000008000000}"/>
  </hyperlinks>
  <pageMargins left="0.7" right="0.7" top="0.75" bottom="0.75" header="0.3" footer="0.3"/>
  <pageSetup paperSize="9" orientation="portrait" horizontalDpi="4294967293" verticalDpi="0" r:id="rId1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224"/>
  <sheetViews>
    <sheetView zoomScale="80" zoomScaleNormal="80" workbookViewId="0">
      <selection activeCell="E2" sqref="E2"/>
    </sheetView>
  </sheetViews>
  <sheetFormatPr defaultRowHeight="15" x14ac:dyDescent="0.25"/>
  <cols>
    <col min="1" max="1" width="7.140625" customWidth="1"/>
    <col min="2" max="2" width="24.5703125" customWidth="1"/>
    <col min="3" max="3" width="17" customWidth="1"/>
    <col min="4" max="4" width="16.140625" customWidth="1"/>
    <col min="5" max="5" width="14" customWidth="1"/>
    <col min="6" max="6" width="14.5703125" customWidth="1"/>
    <col min="7" max="18" width="11.85546875" bestFit="1" customWidth="1"/>
  </cols>
  <sheetData>
    <row r="1" spans="1:5" ht="99" customHeight="1" x14ac:dyDescent="0.25">
      <c r="A1" s="85" t="s">
        <v>0</v>
      </c>
      <c r="B1" s="84" t="s">
        <v>83</v>
      </c>
      <c r="C1" s="159" t="s">
        <v>202</v>
      </c>
      <c r="D1" s="159" t="s">
        <v>203</v>
      </c>
      <c r="E1" s="159" t="s">
        <v>204</v>
      </c>
    </row>
    <row r="2" spans="1:5" ht="15.75" x14ac:dyDescent="0.25">
      <c r="A2" s="85">
        <v>1</v>
      </c>
      <c r="B2" s="84" t="s">
        <v>1</v>
      </c>
      <c r="C2" s="173">
        <f>'13.1н'!B2</f>
        <v>0.45776111028138317</v>
      </c>
      <c r="D2" s="173">
        <f>'13.2н'!B2</f>
        <v>0.69756707924609895</v>
      </c>
      <c r="E2" s="173">
        <f>'13.3н'!B2</f>
        <v>0.47331809959115667</v>
      </c>
    </row>
    <row r="3" spans="1:5" ht="15.75" x14ac:dyDescent="0.25">
      <c r="A3" s="85">
        <v>2</v>
      </c>
      <c r="B3" s="84" t="s">
        <v>2</v>
      </c>
      <c r="C3" s="173">
        <f>'13.1н'!B3</f>
        <v>0.4912365452103592</v>
      </c>
      <c r="D3" s="173">
        <f>'13.2н'!B3</f>
        <v>0.68483110386062307</v>
      </c>
      <c r="E3" s="173">
        <f>'13.3н'!B3</f>
        <v>0.33270188843097659</v>
      </c>
    </row>
    <row r="4" spans="1:5" ht="15.75" x14ac:dyDescent="0.25">
      <c r="A4" s="85">
        <v>3</v>
      </c>
      <c r="B4" s="84" t="s">
        <v>3</v>
      </c>
      <c r="C4" s="173">
        <f>'13.1н'!B4</f>
        <v>0.58011505841236088</v>
      </c>
      <c r="D4" s="173">
        <f>'13.2н'!B4</f>
        <v>0.70460618408327247</v>
      </c>
      <c r="E4" s="173">
        <f>'13.3н'!B4</f>
        <v>0.47666276200573965</v>
      </c>
    </row>
    <row r="5" spans="1:5" ht="15.75" x14ac:dyDescent="0.25">
      <c r="A5" s="85">
        <v>4</v>
      </c>
      <c r="B5" s="84" t="s">
        <v>4</v>
      </c>
      <c r="C5" s="173">
        <f>'13.1н'!B5</f>
        <v>0.5195874254514693</v>
      </c>
      <c r="D5" s="173">
        <f>'13.2н'!B5</f>
        <v>0.71902378366121944</v>
      </c>
      <c r="E5" s="173">
        <f>'13.3н'!B5</f>
        <v>0.51759154474940328</v>
      </c>
    </row>
    <row r="6" spans="1:5" ht="15.75" x14ac:dyDescent="0.25">
      <c r="A6" s="85">
        <v>5</v>
      </c>
      <c r="B6" s="84" t="s">
        <v>5</v>
      </c>
      <c r="C6" s="173">
        <f>'13.1н'!B6</f>
        <v>0.54685752555974398</v>
      </c>
      <c r="D6" s="173">
        <f>'13.2н'!B6</f>
        <v>0.64269024209092018</v>
      </c>
      <c r="E6" s="173">
        <f>'13.3н'!B6</f>
        <v>0.42344660016898888</v>
      </c>
    </row>
    <row r="7" spans="1:5" ht="15.75" x14ac:dyDescent="0.25">
      <c r="A7" s="85">
        <v>6</v>
      </c>
      <c r="B7" s="84" t="s">
        <v>6</v>
      </c>
      <c r="C7" s="173">
        <f>'13.1н'!B7</f>
        <v>0.70590209211042632</v>
      </c>
      <c r="D7" s="173">
        <f>'13.2н'!B7</f>
        <v>0.77830126161988089</v>
      </c>
      <c r="E7" s="173">
        <f>'13.3н'!B7</f>
        <v>0.51402047921295846</v>
      </c>
    </row>
    <row r="8" spans="1:5" ht="15.75" x14ac:dyDescent="0.25">
      <c r="A8" s="85">
        <v>7</v>
      </c>
      <c r="B8" s="84" t="s">
        <v>7</v>
      </c>
      <c r="C8" s="173">
        <f>'13.1н'!B8</f>
        <v>0.59442149526373478</v>
      </c>
      <c r="D8" s="173">
        <f>'13.2н'!B8</f>
        <v>0.69136224003383906</v>
      </c>
      <c r="E8" s="173">
        <f>'13.3н'!B8</f>
        <v>0.47844363113694538</v>
      </c>
    </row>
    <row r="9" spans="1:5" ht="15.75" x14ac:dyDescent="0.25">
      <c r="A9" s="85">
        <v>8</v>
      </c>
      <c r="B9" s="84" t="s">
        <v>8</v>
      </c>
      <c r="C9" s="173">
        <f>'13.1н'!B9</f>
        <v>0.46578966107179465</v>
      </c>
      <c r="D9" s="173">
        <f>'13.2н'!B9</f>
        <v>0.69102407290259793</v>
      </c>
      <c r="E9" s="173">
        <f>'13.3н'!B9</f>
        <v>0.40254495735793155</v>
      </c>
    </row>
    <row r="10" spans="1:5" ht="15.75" x14ac:dyDescent="0.25">
      <c r="A10" s="85">
        <v>9</v>
      </c>
      <c r="B10" s="84" t="s">
        <v>9</v>
      </c>
      <c r="C10" s="173">
        <f>'13.1н'!B10</f>
        <v>0.36818727453622629</v>
      </c>
      <c r="D10" s="173">
        <f>'13.2н'!B10</f>
        <v>0.69437287770416323</v>
      </c>
      <c r="E10" s="173">
        <f>'13.3н'!B10</f>
        <v>0.43256187142381791</v>
      </c>
    </row>
    <row r="11" spans="1:5" ht="15.75" x14ac:dyDescent="0.25">
      <c r="A11" s="85">
        <v>10</v>
      </c>
      <c r="B11" s="84" t="s">
        <v>10</v>
      </c>
      <c r="C11" s="173">
        <f>'13.1н'!B11</f>
        <v>0.65247073980501302</v>
      </c>
      <c r="D11" s="173">
        <f>'13.2н'!B11</f>
        <v>0.84663300126390073</v>
      </c>
      <c r="E11" s="173">
        <f>'13.3н'!B11</f>
        <v>0.58877871889227362</v>
      </c>
    </row>
    <row r="12" spans="1:5" ht="15.75" x14ac:dyDescent="0.25">
      <c r="A12" s="85">
        <v>11</v>
      </c>
      <c r="B12" s="84" t="s">
        <v>11</v>
      </c>
      <c r="C12" s="173">
        <f>'13.1н'!B12</f>
        <v>0.4510153121910922</v>
      </c>
      <c r="D12" s="173">
        <f>'13.2н'!B12</f>
        <v>0.73584269642555433</v>
      </c>
      <c r="E12" s="173">
        <f>'13.3н'!B12</f>
        <v>0.42326805156391645</v>
      </c>
    </row>
    <row r="13" spans="1:5" ht="15.75" x14ac:dyDescent="0.25">
      <c r="A13" s="85">
        <v>12</v>
      </c>
      <c r="B13" s="84" t="s">
        <v>12</v>
      </c>
      <c r="C13" s="173">
        <f>'13.1н'!B13</f>
        <v>0.75818282496844092</v>
      </c>
      <c r="D13" s="173">
        <f>'13.2н'!B13</f>
        <v>0.75084027437354095</v>
      </c>
      <c r="E13" s="173">
        <f>'13.3н'!B13</f>
        <v>0.48351737438905301</v>
      </c>
    </row>
    <row r="14" spans="1:5" ht="15.75" x14ac:dyDescent="0.25">
      <c r="A14" s="85">
        <v>13</v>
      </c>
      <c r="B14" s="84" t="s">
        <v>13</v>
      </c>
      <c r="C14" s="173">
        <f>'13.1н'!B14</f>
        <v>0.59382923333032156</v>
      </c>
      <c r="D14" s="173">
        <f>'13.2н'!B14</f>
        <v>0.70395021771974919</v>
      </c>
      <c r="E14" s="173">
        <f>'13.3н'!B14</f>
        <v>0.40150895650137258</v>
      </c>
    </row>
    <row r="15" spans="1:5" ht="15.75" x14ac:dyDescent="0.25">
      <c r="A15" s="85">
        <v>14</v>
      </c>
      <c r="B15" s="84" t="s">
        <v>14</v>
      </c>
      <c r="C15" s="173">
        <f>'13.1н'!B15</f>
        <v>0.41013707689572093</v>
      </c>
      <c r="D15" s="173">
        <f>'13.2н'!B15</f>
        <v>0.67458815801279659</v>
      </c>
      <c r="E15" s="173">
        <f>'13.3н'!B15</f>
        <v>0.35071314254701902</v>
      </c>
    </row>
    <row r="16" spans="1:5" ht="15.75" x14ac:dyDescent="0.25">
      <c r="A16" s="85">
        <v>15</v>
      </c>
      <c r="B16" s="84" t="s">
        <v>15</v>
      </c>
      <c r="C16" s="173">
        <f>'13.1н'!B16</f>
        <v>0.5516787686777278</v>
      </c>
      <c r="D16" s="173">
        <f>'13.2н'!B16</f>
        <v>0.74467783305787816</v>
      </c>
      <c r="E16" s="173">
        <f>'13.3н'!B16</f>
        <v>0.44996211798909946</v>
      </c>
    </row>
    <row r="17" spans="1:5" ht="15.75" x14ac:dyDescent="0.25">
      <c r="A17" s="85">
        <v>16</v>
      </c>
      <c r="B17" s="84" t="s">
        <v>16</v>
      </c>
      <c r="C17" s="173">
        <f>'13.1н'!B17</f>
        <v>0.51568460595519272</v>
      </c>
      <c r="D17" s="173">
        <f>'13.2н'!B17</f>
        <v>0.73627463803717563</v>
      </c>
      <c r="E17" s="173">
        <f>'13.3н'!B17</f>
        <v>0.49452294301132682</v>
      </c>
    </row>
    <row r="18" spans="1:5" ht="15.75" x14ac:dyDescent="0.25">
      <c r="A18" s="85">
        <v>17</v>
      </c>
      <c r="B18" s="84" t="s">
        <v>17</v>
      </c>
      <c r="C18" s="173">
        <f>'13.1н'!B18</f>
        <v>0.68166862457920729</v>
      </c>
      <c r="D18" s="173">
        <f>'13.2н'!B18</f>
        <v>0.69118641872805942</v>
      </c>
      <c r="E18" s="173">
        <f>'13.3н'!B18</f>
        <v>0.52774760193363834</v>
      </c>
    </row>
    <row r="19" spans="1:5" ht="15.75" x14ac:dyDescent="0.25">
      <c r="A19" s="85">
        <v>18</v>
      </c>
      <c r="B19" s="84" t="s">
        <v>18</v>
      </c>
      <c r="C19" s="173">
        <f>'13.1н'!B19</f>
        <v>0.63490375518435171</v>
      </c>
      <c r="D19" s="173">
        <f>'13.2н'!B19</f>
        <v>0.8580409826350831</v>
      </c>
      <c r="E19" s="173">
        <f>'13.3н'!B19</f>
        <v>0.91823527266886729</v>
      </c>
    </row>
    <row r="20" spans="1:5" ht="15.75" thickBot="1" x14ac:dyDescent="0.3"/>
    <row r="21" spans="1:5" ht="60.75" thickBot="1" x14ac:dyDescent="0.3">
      <c r="A21" s="85" t="s">
        <v>0</v>
      </c>
      <c r="B21" s="84" t="s">
        <v>83</v>
      </c>
      <c r="C21" s="54" t="s">
        <v>206</v>
      </c>
      <c r="D21" s="54" t="s">
        <v>104</v>
      </c>
      <c r="E21" s="54" t="s">
        <v>106</v>
      </c>
    </row>
    <row r="22" spans="1:5" ht="15.75" x14ac:dyDescent="0.25">
      <c r="A22" s="85">
        <v>1</v>
      </c>
      <c r="B22" s="84" t="s">
        <v>1</v>
      </c>
      <c r="C22" s="173">
        <f>'14.1н'!B2</f>
        <v>0.5150477655587653</v>
      </c>
      <c r="D22" s="173">
        <f>'14.2н'!B2</f>
        <v>0.31461319246123221</v>
      </c>
      <c r="E22" s="173">
        <f>'14.3н'!B2</f>
        <v>0.29184741033072209</v>
      </c>
    </row>
    <row r="23" spans="1:5" ht="15.75" x14ac:dyDescent="0.25">
      <c r="A23" s="85">
        <v>2</v>
      </c>
      <c r="B23" s="84" t="s">
        <v>2</v>
      </c>
      <c r="C23" s="173">
        <f>'14.1н'!B3</f>
        <v>0.3355255763831001</v>
      </c>
      <c r="D23" s="173">
        <f>'14.2н'!B3</f>
        <v>0.1428445101884851</v>
      </c>
      <c r="E23" s="173">
        <f>'14.3н'!B3</f>
        <v>0.16703286867468906</v>
      </c>
    </row>
    <row r="24" spans="1:5" ht="15.75" x14ac:dyDescent="0.25">
      <c r="A24" s="85">
        <v>3</v>
      </c>
      <c r="B24" s="84" t="s">
        <v>3</v>
      </c>
      <c r="C24" s="173">
        <f>'14.1н'!B4</f>
        <v>0.3887335276396362</v>
      </c>
      <c r="D24" s="173">
        <f>'14.2н'!B4</f>
        <v>0.35495165992552391</v>
      </c>
      <c r="E24" s="173">
        <f>'14.3н'!B4</f>
        <v>8.4582044304478604E-2</v>
      </c>
    </row>
    <row r="25" spans="1:5" ht="15.75" x14ac:dyDescent="0.25">
      <c r="A25" s="85">
        <v>4</v>
      </c>
      <c r="B25" s="84" t="s">
        <v>4</v>
      </c>
      <c r="C25" s="173">
        <f>'14.1н'!B5</f>
        <v>0.47243506877841174</v>
      </c>
      <c r="D25" s="173">
        <f>'14.2н'!B5</f>
        <v>0.53116734802179089</v>
      </c>
      <c r="E25" s="173">
        <f>'14.3н'!B5</f>
        <v>5.9798071022374104E-2</v>
      </c>
    </row>
    <row r="26" spans="1:5" ht="15.75" x14ac:dyDescent="0.25">
      <c r="A26" s="85">
        <v>5</v>
      </c>
      <c r="B26" s="84" t="s">
        <v>5</v>
      </c>
      <c r="C26" s="173">
        <f>'14.1н'!B6</f>
        <v>0.4781262305719694</v>
      </c>
      <c r="D26" s="173">
        <f>'14.2н'!B6</f>
        <v>5.0038404286965633E-2</v>
      </c>
      <c r="E26" s="173">
        <f>'14.3н'!B6</f>
        <v>2.2931231823975114E-3</v>
      </c>
    </row>
    <row r="27" spans="1:5" ht="15.75" x14ac:dyDescent="0.25">
      <c r="A27" s="85">
        <v>6</v>
      </c>
      <c r="B27" s="84" t="s">
        <v>6</v>
      </c>
      <c r="C27" s="173">
        <f>'14.1н'!B7</f>
        <v>0.3728690719606354</v>
      </c>
      <c r="D27" s="173">
        <f>'14.2н'!B7</f>
        <v>4.2756772728995737E-2</v>
      </c>
      <c r="E27" s="173">
        <f>'14.3н'!B7</f>
        <v>2.3832847034647496E-8</v>
      </c>
    </row>
    <row r="28" spans="1:5" ht="15.75" x14ac:dyDescent="0.25">
      <c r="A28" s="85">
        <v>7</v>
      </c>
      <c r="B28" s="84" t="s">
        <v>7</v>
      </c>
      <c r="C28" s="173">
        <f>'14.1н'!B8</f>
        <v>0.11678603334988695</v>
      </c>
      <c r="D28" s="173">
        <f>'14.2н'!B8</f>
        <v>1.9229282142955168E-4</v>
      </c>
      <c r="E28" s="173">
        <f>'14.3н'!B8</f>
        <v>5.3306810314595096E-2</v>
      </c>
    </row>
    <row r="29" spans="1:5" ht="15.75" x14ac:dyDescent="0.25">
      <c r="A29" s="85">
        <v>8</v>
      </c>
      <c r="B29" s="84" t="s">
        <v>8</v>
      </c>
      <c r="C29" s="173">
        <f>'14.1н'!B9</f>
        <v>0.2094225079987603</v>
      </c>
      <c r="D29" s="173">
        <f>'14.2н'!B9</f>
        <v>1.2135965368960315E-3</v>
      </c>
      <c r="E29" s="173">
        <f>'14.3н'!B9</f>
        <v>4.9379869889182568E-2</v>
      </c>
    </row>
    <row r="30" spans="1:5" ht="15.75" x14ac:dyDescent="0.25">
      <c r="A30" s="85">
        <v>9</v>
      </c>
      <c r="B30" s="84" t="s">
        <v>9</v>
      </c>
      <c r="C30" s="173">
        <f>'14.1н'!B10</f>
        <v>0.35395602450407304</v>
      </c>
      <c r="D30" s="173">
        <f>'14.2н'!B10</f>
        <v>0.6352741428704165</v>
      </c>
      <c r="E30" s="173">
        <f>'14.3н'!B10</f>
        <v>6.1191399867534385E-2</v>
      </c>
    </row>
    <row r="31" spans="1:5" ht="15.75" x14ac:dyDescent="0.25">
      <c r="A31" s="85">
        <v>10</v>
      </c>
      <c r="B31" s="84" t="s">
        <v>10</v>
      </c>
      <c r="C31" s="173">
        <f>'14.1н'!B11</f>
        <v>0.33169542864952728</v>
      </c>
      <c r="D31" s="173">
        <f>'14.2н'!B11</f>
        <v>0.59832392208840068</v>
      </c>
      <c r="E31" s="173">
        <f>'14.3н'!B11</f>
        <v>0.14104385928334306</v>
      </c>
    </row>
    <row r="32" spans="1:5" ht="15.75" x14ac:dyDescent="0.25">
      <c r="A32" s="85">
        <v>11</v>
      </c>
      <c r="B32" s="84" t="s">
        <v>11</v>
      </c>
      <c r="C32" s="173">
        <f>'14.1н'!B12</f>
        <v>0.41712223443927421</v>
      </c>
      <c r="D32" s="173">
        <f>'14.2н'!B12</f>
        <v>1.0675975400955112E-2</v>
      </c>
      <c r="E32" s="173">
        <f>'14.3н'!B12</f>
        <v>2.7722311510160327E-2</v>
      </c>
    </row>
    <row r="33" spans="1:5" ht="15.75" x14ac:dyDescent="0.25">
      <c r="A33" s="85">
        <v>12</v>
      </c>
      <c r="B33" s="84" t="s">
        <v>12</v>
      </c>
      <c r="C33" s="173">
        <f>'14.1н'!B13</f>
        <v>0.33567736946458315</v>
      </c>
      <c r="D33" s="173">
        <f>'14.2н'!B13</f>
        <v>9.9637925879683134E-2</v>
      </c>
      <c r="E33" s="173">
        <f>'14.3н'!B13</f>
        <v>3.6258388262997522E-2</v>
      </c>
    </row>
    <row r="34" spans="1:5" ht="15.75" x14ac:dyDescent="0.25">
      <c r="A34" s="85">
        <v>13</v>
      </c>
      <c r="B34" s="84" t="s">
        <v>13</v>
      </c>
      <c r="C34" s="173">
        <f>'14.1н'!B14</f>
        <v>0.18466691842137042</v>
      </c>
      <c r="D34" s="173">
        <f>'14.2н'!B14</f>
        <v>0.12260108011625731</v>
      </c>
      <c r="E34" s="173">
        <f>'14.3н'!B14</f>
        <v>5.860775941380696E-3</v>
      </c>
    </row>
    <row r="35" spans="1:5" ht="15.75" x14ac:dyDescent="0.25">
      <c r="A35" s="85">
        <v>14</v>
      </c>
      <c r="B35" s="84" t="s">
        <v>14</v>
      </c>
      <c r="C35" s="173">
        <f>'14.1н'!B15</f>
        <v>0.38329713134561261</v>
      </c>
      <c r="D35" s="173">
        <f>'14.2н'!B15</f>
        <v>0.13495437611294031</v>
      </c>
      <c r="E35" s="173">
        <f>'14.3н'!B15</f>
        <v>4.2584575888211205E-2</v>
      </c>
    </row>
    <row r="36" spans="1:5" ht="15.75" x14ac:dyDescent="0.25">
      <c r="A36" s="85">
        <v>15</v>
      </c>
      <c r="B36" s="84" t="s">
        <v>15</v>
      </c>
      <c r="C36" s="173">
        <f>'14.1н'!B16</f>
        <v>0.36964422383675194</v>
      </c>
      <c r="D36" s="173">
        <f>'14.2н'!B16</f>
        <v>0.21927288738902048</v>
      </c>
      <c r="E36" s="173">
        <f>'14.3н'!B16</f>
        <v>8.8302404381703684E-2</v>
      </c>
    </row>
    <row r="37" spans="1:5" ht="15.75" x14ac:dyDescent="0.25">
      <c r="A37" s="85">
        <v>16</v>
      </c>
      <c r="B37" s="84" t="s">
        <v>16</v>
      </c>
      <c r="C37" s="173">
        <f>'14.1н'!B17</f>
        <v>0.55322168481691125</v>
      </c>
      <c r="D37" s="173">
        <f>'14.2н'!B17</f>
        <v>0.44615085259149556</v>
      </c>
      <c r="E37" s="173">
        <f>'14.3н'!B17</f>
        <v>0.27816071941694398</v>
      </c>
    </row>
    <row r="38" spans="1:5" ht="15.75" x14ac:dyDescent="0.25">
      <c r="A38" s="85">
        <v>17</v>
      </c>
      <c r="B38" s="84" t="s">
        <v>17</v>
      </c>
      <c r="C38" s="173">
        <f>'14.1н'!B18</f>
        <v>0.32813420056493831</v>
      </c>
      <c r="D38" s="173">
        <f>'14.2н'!B18</f>
        <v>0.24046004516785696</v>
      </c>
      <c r="E38" s="173">
        <f>'14.3н'!B18</f>
        <v>4.0166303938997477E-2</v>
      </c>
    </row>
    <row r="39" spans="1:5" ht="15.75" x14ac:dyDescent="0.25">
      <c r="A39" s="85">
        <v>18</v>
      </c>
      <c r="B39" s="84" t="s">
        <v>18</v>
      </c>
      <c r="C39" s="173">
        <f>'14.1н'!B19</f>
        <v>0.39944587573198764</v>
      </c>
      <c r="D39" s="173">
        <f>'14.2н'!B19</f>
        <v>0.47741976469152719</v>
      </c>
      <c r="E39" s="173">
        <f>'14.3н'!B19</f>
        <v>7.7371279956630675E-3</v>
      </c>
    </row>
    <row r="40" spans="1:5" ht="15.75" thickBot="1" x14ac:dyDescent="0.3"/>
    <row r="41" spans="1:5" ht="45.75" thickBot="1" x14ac:dyDescent="0.3">
      <c r="A41" s="85" t="s">
        <v>0</v>
      </c>
      <c r="B41" s="84" t="s">
        <v>83</v>
      </c>
      <c r="C41" s="54" t="s">
        <v>208</v>
      </c>
      <c r="D41" s="54" t="s">
        <v>209</v>
      </c>
      <c r="E41" s="54" t="s">
        <v>210</v>
      </c>
    </row>
    <row r="42" spans="1:5" ht="15.75" x14ac:dyDescent="0.25">
      <c r="A42" s="85">
        <v>1</v>
      </c>
      <c r="B42" s="84" t="s">
        <v>1</v>
      </c>
      <c r="C42" s="173">
        <f>'15.1н'!B2</f>
        <v>0.50606912695230499</v>
      </c>
      <c r="D42" s="173">
        <f>'15.2н'!B2</f>
        <v>0.291063820863524</v>
      </c>
      <c r="E42" s="173">
        <f>'15.3н'!B2</f>
        <v>0.4470919442831186</v>
      </c>
    </row>
    <row r="43" spans="1:5" ht="15.75" x14ac:dyDescent="0.25">
      <c r="A43" s="85">
        <v>2</v>
      </c>
      <c r="B43" s="84" t="s">
        <v>2</v>
      </c>
      <c r="C43" s="173">
        <f>'15.1н'!B3</f>
        <v>0.48890287388635933</v>
      </c>
      <c r="D43" s="173">
        <f>'15.2н'!B3</f>
        <v>0.35942215217099743</v>
      </c>
      <c r="E43" s="173">
        <f>'15.3н'!B3</f>
        <v>0.3586317975059346</v>
      </c>
    </row>
    <row r="44" spans="1:5" ht="15.75" x14ac:dyDescent="0.25">
      <c r="A44" s="85">
        <v>3</v>
      </c>
      <c r="B44" s="84" t="s">
        <v>3</v>
      </c>
      <c r="C44" s="173">
        <f>'15.1н'!B4</f>
        <v>0.40302429764309644</v>
      </c>
      <c r="D44" s="173">
        <f>'15.2н'!B4</f>
        <v>0.33358913162495946</v>
      </c>
      <c r="E44" s="173">
        <f>'15.3н'!B4</f>
        <v>0.40921457256976446</v>
      </c>
    </row>
    <row r="45" spans="1:5" ht="15.75" x14ac:dyDescent="0.25">
      <c r="A45" s="85">
        <v>4</v>
      </c>
      <c r="B45" s="84" t="s">
        <v>4</v>
      </c>
      <c r="C45" s="173">
        <f>'15.1н'!B5</f>
        <v>0.52745547903145318</v>
      </c>
      <c r="D45" s="173">
        <f>'15.2н'!B5</f>
        <v>0.31705169638099434</v>
      </c>
      <c r="E45" s="173">
        <f>'15.3н'!B5</f>
        <v>0.40516427868335914</v>
      </c>
    </row>
    <row r="46" spans="1:5" ht="15.75" x14ac:dyDescent="0.25">
      <c r="A46" s="85">
        <v>5</v>
      </c>
      <c r="B46" s="84" t="s">
        <v>5</v>
      </c>
      <c r="C46" s="173">
        <f>'15.1н'!B6</f>
        <v>0.40841011751033901</v>
      </c>
      <c r="D46" s="173">
        <f>'15.2н'!B6</f>
        <v>0.33002731918937139</v>
      </c>
      <c r="E46" s="173">
        <f>'15.3н'!B6</f>
        <v>0.33870210741884421</v>
      </c>
    </row>
    <row r="47" spans="1:5" ht="15.75" x14ac:dyDescent="0.25">
      <c r="A47" s="85">
        <v>6</v>
      </c>
      <c r="B47" s="84" t="s">
        <v>6</v>
      </c>
      <c r="C47" s="173">
        <f>'15.1н'!B7</f>
        <v>0.47134623161472655</v>
      </c>
      <c r="D47" s="173">
        <f>'15.2н'!B7</f>
        <v>0.44390877902332432</v>
      </c>
      <c r="E47" s="173">
        <f>'15.3н'!B7</f>
        <v>0.39303558079597994</v>
      </c>
    </row>
    <row r="48" spans="1:5" ht="15.75" x14ac:dyDescent="0.25">
      <c r="A48" s="85">
        <v>7</v>
      </c>
      <c r="B48" s="84" t="s">
        <v>7</v>
      </c>
      <c r="C48" s="173">
        <f>'15.1н'!B8</f>
        <v>0.40693228022609773</v>
      </c>
      <c r="D48" s="173">
        <f>'15.2н'!B8</f>
        <v>0.27151465043841144</v>
      </c>
      <c r="E48" s="173">
        <f>'15.3н'!B8</f>
        <v>0.34538680239430375</v>
      </c>
    </row>
    <row r="49" spans="1:5" ht="15.75" x14ac:dyDescent="0.25">
      <c r="A49" s="85">
        <v>8</v>
      </c>
      <c r="B49" s="84" t="s">
        <v>8</v>
      </c>
      <c r="C49" s="173">
        <f>'15.1н'!B9</f>
        <v>0.45861923160669205</v>
      </c>
      <c r="D49" s="173">
        <f>'15.2н'!B9</f>
        <v>0.25625657515814032</v>
      </c>
      <c r="E49" s="173">
        <f>'15.3н'!B9</f>
        <v>0.39098355073040303</v>
      </c>
    </row>
    <row r="50" spans="1:5" ht="15.75" x14ac:dyDescent="0.25">
      <c r="A50" s="85">
        <v>9</v>
      </c>
      <c r="B50" s="84" t="s">
        <v>9</v>
      </c>
      <c r="C50" s="173">
        <f>'15.1н'!B10</f>
        <v>0.50530619405437716</v>
      </c>
      <c r="D50" s="173">
        <f>'15.2н'!B10</f>
        <v>0.27459202233507141</v>
      </c>
      <c r="E50" s="173">
        <f>'15.3н'!B10</f>
        <v>0.45014539806702236</v>
      </c>
    </row>
    <row r="51" spans="1:5" ht="15.75" x14ac:dyDescent="0.25">
      <c r="A51" s="85">
        <v>10</v>
      </c>
      <c r="B51" s="84" t="s">
        <v>10</v>
      </c>
      <c r="C51" s="173">
        <f>'15.1н'!B11</f>
        <v>0.62840623646890192</v>
      </c>
      <c r="D51" s="173">
        <f>'15.2н'!B11</f>
        <v>0.55861247922797364</v>
      </c>
      <c r="E51" s="173">
        <f>'15.3н'!B11</f>
        <v>0.48002547132623785</v>
      </c>
    </row>
    <row r="52" spans="1:5" ht="15.75" x14ac:dyDescent="0.25">
      <c r="A52" s="85">
        <v>11</v>
      </c>
      <c r="B52" s="84" t="s">
        <v>11</v>
      </c>
      <c r="C52" s="173">
        <f>'15.1н'!B12</f>
        <v>0.43686121705235048</v>
      </c>
      <c r="D52" s="173">
        <f>'15.2н'!B12</f>
        <v>0.21115914329601529</v>
      </c>
      <c r="E52" s="173">
        <f>'15.3н'!B12</f>
        <v>0.36482603994531482</v>
      </c>
    </row>
    <row r="53" spans="1:5" ht="15.75" x14ac:dyDescent="0.25">
      <c r="A53" s="85">
        <v>12</v>
      </c>
      <c r="B53" s="84" t="s">
        <v>12</v>
      </c>
      <c r="C53" s="173">
        <f>'15.1н'!B13</f>
        <v>0.43947748105646428</v>
      </c>
      <c r="D53" s="173">
        <f>'15.2н'!B13</f>
        <v>0.30111917108761865</v>
      </c>
      <c r="E53" s="173">
        <f>'15.3н'!B13</f>
        <v>0.36829690880033927</v>
      </c>
    </row>
    <row r="54" spans="1:5" ht="15.75" x14ac:dyDescent="0.25">
      <c r="A54" s="85">
        <v>13</v>
      </c>
      <c r="B54" s="84" t="s">
        <v>13</v>
      </c>
      <c r="C54" s="173">
        <f>'15.1н'!B14</f>
        <v>0.42005017662149902</v>
      </c>
      <c r="D54" s="173">
        <f>'15.2н'!B14</f>
        <v>0.28789357143671357</v>
      </c>
      <c r="E54" s="173">
        <f>'15.3н'!B14</f>
        <v>0.27872742258642041</v>
      </c>
    </row>
    <row r="55" spans="1:5" ht="15.75" x14ac:dyDescent="0.25">
      <c r="A55" s="85">
        <v>14</v>
      </c>
      <c r="B55" s="84" t="s">
        <v>14</v>
      </c>
      <c r="C55" s="173">
        <f>'15.1н'!B15</f>
        <v>0.44293327817593742</v>
      </c>
      <c r="D55" s="173">
        <f>'15.2н'!B15</f>
        <v>0.26243947627677439</v>
      </c>
      <c r="E55" s="173">
        <f>'15.3н'!B15</f>
        <v>0.38842807866523255</v>
      </c>
    </row>
    <row r="56" spans="1:5" ht="15.75" x14ac:dyDescent="0.25">
      <c r="A56" s="85">
        <v>15</v>
      </c>
      <c r="B56" s="84" t="s">
        <v>15</v>
      </c>
      <c r="C56" s="173">
        <f>'15.1н'!B16</f>
        <v>0.44556680635706108</v>
      </c>
      <c r="D56" s="173">
        <f>'15.2н'!B16</f>
        <v>0.30130485558959152</v>
      </c>
      <c r="E56" s="173">
        <f>'15.3н'!B16</f>
        <v>0.36513140234549346</v>
      </c>
    </row>
    <row r="57" spans="1:5" ht="15.75" x14ac:dyDescent="0.25">
      <c r="A57" s="85">
        <v>16</v>
      </c>
      <c r="B57" s="84" t="s">
        <v>16</v>
      </c>
      <c r="C57" s="173">
        <f>'15.1н'!B17</f>
        <v>0.4560501147554501</v>
      </c>
      <c r="D57" s="173">
        <f>'15.2н'!B17</f>
        <v>0.25234662851988382</v>
      </c>
      <c r="E57" s="173">
        <f>'15.3н'!B17</f>
        <v>0.40175284221633434</v>
      </c>
    </row>
    <row r="58" spans="1:5" ht="15.75" x14ac:dyDescent="0.25">
      <c r="A58" s="85">
        <v>17</v>
      </c>
      <c r="B58" s="84" t="s">
        <v>17</v>
      </c>
      <c r="C58" s="173">
        <f>'15.1н'!B18</f>
        <v>0.45387264483077078</v>
      </c>
      <c r="D58" s="173">
        <f>'15.2н'!B18</f>
        <v>0.45306707519850742</v>
      </c>
      <c r="E58" s="173">
        <f>'15.3н'!B18</f>
        <v>0.38998516504378444</v>
      </c>
    </row>
    <row r="59" spans="1:5" ht="15.75" x14ac:dyDescent="0.25">
      <c r="A59" s="85">
        <v>18</v>
      </c>
      <c r="B59" s="84" t="s">
        <v>18</v>
      </c>
      <c r="C59" s="173">
        <f>'15.1н'!B19</f>
        <v>0.67361086166682471</v>
      </c>
      <c r="D59" s="173">
        <f>'15.2н'!B19</f>
        <v>0.68449703908575998</v>
      </c>
      <c r="E59" s="173">
        <f>'15.3н'!B19</f>
        <v>0.69596885895350902</v>
      </c>
    </row>
    <row r="60" spans="1:5" ht="15.75" thickBot="1" x14ac:dyDescent="0.3"/>
    <row r="61" spans="1:5" ht="48" thickBot="1" x14ac:dyDescent="0.3">
      <c r="A61" s="85" t="s">
        <v>0</v>
      </c>
      <c r="B61" s="84" t="s">
        <v>83</v>
      </c>
      <c r="C61" s="54" t="s">
        <v>212</v>
      </c>
      <c r="D61" s="159" t="s">
        <v>136</v>
      </c>
      <c r="E61" s="54" t="s">
        <v>213</v>
      </c>
    </row>
    <row r="62" spans="1:5" ht="15.75" x14ac:dyDescent="0.25">
      <c r="A62" s="85">
        <v>1</v>
      </c>
      <c r="B62" s="84" t="s">
        <v>1</v>
      </c>
      <c r="C62" s="173">
        <f>'16.1н'!B2</f>
        <v>0.55932980149239098</v>
      </c>
      <c r="D62" s="173">
        <f>'16.2н'!B2</f>
        <v>0.59054609583498407</v>
      </c>
      <c r="E62" s="173">
        <f>'16.3н'!B2</f>
        <v>0.39462016525222926</v>
      </c>
    </row>
    <row r="63" spans="1:5" ht="15.75" x14ac:dyDescent="0.25">
      <c r="A63" s="85">
        <v>2</v>
      </c>
      <c r="B63" s="84" t="s">
        <v>2</v>
      </c>
      <c r="C63" s="173">
        <f>'16.1н'!B3</f>
        <v>0.30112671767239407</v>
      </c>
      <c r="D63" s="173">
        <f>'16.2н'!B3</f>
        <v>0.57281511983096001</v>
      </c>
      <c r="E63" s="173">
        <f>'16.3н'!B3</f>
        <v>0.40778549174138751</v>
      </c>
    </row>
    <row r="64" spans="1:5" ht="15.75" x14ac:dyDescent="0.25">
      <c r="A64" s="85">
        <v>3</v>
      </c>
      <c r="B64" s="84" t="s">
        <v>3</v>
      </c>
      <c r="C64" s="173">
        <f>'16.1н'!B4</f>
        <v>0.44897187241980846</v>
      </c>
      <c r="D64" s="173">
        <f>'16.2н'!B4</f>
        <v>0.56971475983954567</v>
      </c>
      <c r="E64" s="173">
        <f>'16.3н'!B4</f>
        <v>0.5</v>
      </c>
    </row>
    <row r="65" spans="1:5" ht="15.75" x14ac:dyDescent="0.25">
      <c r="A65" s="85">
        <v>4</v>
      </c>
      <c r="B65" s="84" t="s">
        <v>4</v>
      </c>
      <c r="C65" s="173">
        <f>'16.1н'!B5</f>
        <v>0.56057403406797224</v>
      </c>
      <c r="D65" s="173">
        <f>'16.2н'!B5</f>
        <v>0.57888812482545859</v>
      </c>
      <c r="E65" s="173">
        <f>'16.3н'!B5</f>
        <v>0.49362298597270349</v>
      </c>
    </row>
    <row r="66" spans="1:5" ht="15.75" x14ac:dyDescent="0.25">
      <c r="A66" s="85">
        <v>5</v>
      </c>
      <c r="B66" s="84" t="s">
        <v>5</v>
      </c>
      <c r="C66" s="173">
        <f>'16.1н'!B6</f>
        <v>0.27691642293891039</v>
      </c>
      <c r="D66" s="173">
        <f>'16.2н'!B6</f>
        <v>0.53735322601046143</v>
      </c>
      <c r="E66" s="173">
        <f>'16.3н'!B6</f>
        <v>0.48709131032558028</v>
      </c>
    </row>
    <row r="67" spans="1:5" ht="15.75" x14ac:dyDescent="0.25">
      <c r="A67" s="85">
        <v>6</v>
      </c>
      <c r="B67" s="84" t="s">
        <v>6</v>
      </c>
      <c r="C67" s="173">
        <f>'16.1н'!B7</f>
        <v>0.58890674850123947</v>
      </c>
      <c r="D67" s="173">
        <f>'16.2н'!B7</f>
        <v>0.57788757624927778</v>
      </c>
      <c r="E67" s="173">
        <f>'16.3н'!B7</f>
        <v>0.41628174059420603</v>
      </c>
    </row>
    <row r="68" spans="1:5" ht="15.75" x14ac:dyDescent="0.25">
      <c r="A68" s="85">
        <v>7</v>
      </c>
      <c r="B68" s="84" t="s">
        <v>7</v>
      </c>
      <c r="C68" s="173">
        <f>'16.1н'!B8</f>
        <v>0.34978879601413559</v>
      </c>
      <c r="D68" s="173">
        <f>'16.2н'!B8</f>
        <v>0.55129387225969406</v>
      </c>
      <c r="E68" s="173">
        <f>'16.3н'!B8</f>
        <v>0.40778549174138751</v>
      </c>
    </row>
    <row r="69" spans="1:5" ht="15.75" x14ac:dyDescent="0.25">
      <c r="A69" s="85">
        <v>8</v>
      </c>
      <c r="B69" s="84" t="s">
        <v>8</v>
      </c>
      <c r="C69" s="173">
        <f>'16.1н'!B9</f>
        <v>0.40305637257579224</v>
      </c>
      <c r="D69" s="173">
        <f>'16.2н'!B9</f>
        <v>0.57788757624927778</v>
      </c>
      <c r="E69" s="173">
        <f>'16.3н'!B9</f>
        <v>0.37149857228423716</v>
      </c>
    </row>
    <row r="70" spans="1:5" ht="15.75" x14ac:dyDescent="0.25">
      <c r="A70" s="85">
        <v>9</v>
      </c>
      <c r="B70" s="84" t="s">
        <v>9</v>
      </c>
      <c r="C70" s="173">
        <f>'16.1н'!B10</f>
        <v>0.67257158798125471</v>
      </c>
      <c r="D70" s="173">
        <f>'16.2н'!B10</f>
        <v>0.59706188598524856</v>
      </c>
      <c r="E70" s="173">
        <f>'16.3н'!B10</f>
        <v>0.44049706175048847</v>
      </c>
    </row>
    <row r="71" spans="1:5" ht="15.75" x14ac:dyDescent="0.25">
      <c r="A71" s="85">
        <v>10</v>
      </c>
      <c r="B71" s="84" t="s">
        <v>10</v>
      </c>
      <c r="C71" s="173">
        <f>'16.1н'!B11</f>
        <v>0.69112643672758167</v>
      </c>
      <c r="D71" s="173">
        <f>'16.2н'!B11</f>
        <v>0.60159403611678186</v>
      </c>
      <c r="E71" s="173">
        <f>'16.3н'!B11</f>
        <v>0.46293735614364523</v>
      </c>
    </row>
    <row r="72" spans="1:5" ht="15.75" x14ac:dyDescent="0.25">
      <c r="A72" s="85">
        <v>11</v>
      </c>
      <c r="B72" s="84" t="s">
        <v>11</v>
      </c>
      <c r="C72" s="173">
        <f>'16.1н'!B12</f>
        <v>0.48976801150861488</v>
      </c>
      <c r="D72" s="173">
        <f>'16.2н'!B12</f>
        <v>0.56444992038500696</v>
      </c>
      <c r="E72" s="173">
        <f>'16.3н'!B12</f>
        <v>0.44049706175048847</v>
      </c>
    </row>
    <row r="73" spans="1:5" ht="15.75" x14ac:dyDescent="0.25">
      <c r="A73" s="85">
        <v>12</v>
      </c>
      <c r="B73" s="84" t="s">
        <v>12</v>
      </c>
      <c r="C73" s="173">
        <f>'16.1н'!B13</f>
        <v>0.4794111585968388</v>
      </c>
      <c r="D73" s="173">
        <f>'16.2н'!B13</f>
        <v>0.60248859967533352</v>
      </c>
      <c r="E73" s="173">
        <f>'16.3н'!B13</f>
        <v>0.50928625013915918</v>
      </c>
    </row>
    <row r="74" spans="1:5" ht="15.75" x14ac:dyDescent="0.25">
      <c r="A74" s="85">
        <v>13</v>
      </c>
      <c r="B74" s="84" t="s">
        <v>13</v>
      </c>
      <c r="C74" s="173">
        <f>'16.1н'!B14</f>
        <v>0.40712600958088641</v>
      </c>
      <c r="D74" s="173">
        <f>'16.2н'!B14</f>
        <v>0.56444992038500696</v>
      </c>
      <c r="E74" s="173">
        <f>'16.3н'!B14</f>
        <v>0.5</v>
      </c>
    </row>
    <row r="75" spans="1:5" ht="15.75" x14ac:dyDescent="0.25">
      <c r="A75" s="85">
        <v>14</v>
      </c>
      <c r="B75" s="84" t="s">
        <v>14</v>
      </c>
      <c r="C75" s="173">
        <f>'16.1н'!B15</f>
        <v>0.54197091642004036</v>
      </c>
      <c r="D75" s="173">
        <f>'16.2н'!B15</f>
        <v>0.58284484928624003</v>
      </c>
      <c r="E75" s="173">
        <f>'16.3н'!B15</f>
        <v>0.45931347703523795</v>
      </c>
    </row>
    <row r="76" spans="1:5" ht="15.75" x14ac:dyDescent="0.25">
      <c r="A76" s="85">
        <v>15</v>
      </c>
      <c r="B76" s="84" t="s">
        <v>15</v>
      </c>
      <c r="C76" s="173">
        <f>'16.1н'!B16</f>
        <v>0.44137467462857455</v>
      </c>
      <c r="D76" s="173">
        <f>'16.2н'!B16</f>
        <v>0.5979763107890691</v>
      </c>
      <c r="E76" s="173">
        <f>'16.3н'!B16</f>
        <v>0.52117112491658979</v>
      </c>
    </row>
    <row r="77" spans="1:5" ht="15.75" x14ac:dyDescent="0.25">
      <c r="A77" s="85">
        <v>16</v>
      </c>
      <c r="B77" s="84" t="s">
        <v>16</v>
      </c>
      <c r="C77" s="173">
        <f>'16.1н'!B17</f>
        <v>0.39727186490860855</v>
      </c>
      <c r="D77" s="173">
        <f>'16.2н'!B17</f>
        <v>0.56444992038500696</v>
      </c>
      <c r="E77" s="173">
        <f>'16.3н'!B17</f>
        <v>0.52117112491658979</v>
      </c>
    </row>
    <row r="78" spans="1:5" ht="15.75" x14ac:dyDescent="0.25">
      <c r="A78" s="85">
        <v>17</v>
      </c>
      <c r="B78" s="84" t="s">
        <v>17</v>
      </c>
      <c r="C78" s="173">
        <f>'16.1н'!B18</f>
        <v>0.48642463589225571</v>
      </c>
      <c r="D78" s="173">
        <f>'16.2н'!B18</f>
        <v>0.55241929505327203</v>
      </c>
      <c r="E78" s="173">
        <f>'16.3н'!B18</f>
        <v>0.56123102415468651</v>
      </c>
    </row>
    <row r="79" spans="1:5" ht="15.75" x14ac:dyDescent="0.25">
      <c r="A79" s="85">
        <v>18</v>
      </c>
      <c r="B79" s="84" t="s">
        <v>18</v>
      </c>
      <c r="C79" s="173">
        <f>'16.1н'!B19</f>
        <v>0.33250618989960062</v>
      </c>
      <c r="D79" s="173">
        <f>'16.2н'!B19</f>
        <v>0.41307904927446953</v>
      </c>
      <c r="E79" s="173">
        <f>'16.3н'!B19</f>
        <v>0.54336743126302911</v>
      </c>
    </row>
    <row r="85" spans="1:18" ht="15.75" x14ac:dyDescent="0.25">
      <c r="A85" s="85" t="s">
        <v>0</v>
      </c>
      <c r="B85" s="84"/>
      <c r="C85" s="84">
        <v>2005</v>
      </c>
      <c r="D85" s="84">
        <v>2006</v>
      </c>
      <c r="E85" s="84">
        <v>2007</v>
      </c>
      <c r="F85" s="84">
        <v>2008</v>
      </c>
      <c r="G85" s="84">
        <v>2009</v>
      </c>
      <c r="H85" s="84">
        <v>2010</v>
      </c>
      <c r="I85" s="84">
        <v>2011</v>
      </c>
      <c r="J85" s="84">
        <v>2012</v>
      </c>
      <c r="K85" s="84">
        <v>2013</v>
      </c>
      <c r="L85" s="84">
        <v>2014</v>
      </c>
      <c r="M85" s="84">
        <v>2015</v>
      </c>
      <c r="N85" s="84">
        <v>2016</v>
      </c>
      <c r="O85" s="84">
        <v>2017</v>
      </c>
      <c r="P85" s="84">
        <v>2018</v>
      </c>
      <c r="Q85" s="84">
        <v>2019</v>
      </c>
      <c r="R85" s="84">
        <v>2020</v>
      </c>
    </row>
    <row r="86" spans="1:18" ht="15.75" x14ac:dyDescent="0.25">
      <c r="A86" s="85">
        <v>1</v>
      </c>
      <c r="B86" s="84" t="s">
        <v>1</v>
      </c>
      <c r="C86" s="160" t="e">
        <f>ОИ1!C2</f>
        <v>#REF!</v>
      </c>
      <c r="D86" s="160" t="e">
        <f>ОИ1!D2</f>
        <v>#REF!</v>
      </c>
      <c r="E86" s="160">
        <f>ОИ1!E2</f>
        <v>0</v>
      </c>
      <c r="F86" s="160">
        <f>ОИ1!F2</f>
        <v>0</v>
      </c>
      <c r="G86" s="160">
        <f>ОИ1!G2</f>
        <v>0</v>
      </c>
      <c r="H86" s="160">
        <f>ОИ1!H2</f>
        <v>0</v>
      </c>
      <c r="I86" s="160">
        <f>ОИ1!I2</f>
        <v>0</v>
      </c>
      <c r="J86" s="160">
        <f>ОИ1!J2</f>
        <v>0</v>
      </c>
      <c r="K86" s="160">
        <f>ОИ1!K2</f>
        <v>0</v>
      </c>
      <c r="L86" s="160">
        <f>ОИ1!L2</f>
        <v>0</v>
      </c>
      <c r="M86" s="160">
        <f>ОИ1!M2</f>
        <v>0</v>
      </c>
      <c r="N86" s="160">
        <f>ОИ1!N2</f>
        <v>0</v>
      </c>
      <c r="O86" s="160">
        <f>ОИ1!O2</f>
        <v>0</v>
      </c>
      <c r="P86" s="160">
        <f>ОИ1!P2</f>
        <v>0</v>
      </c>
      <c r="Q86" s="160">
        <f>ОИ1!Q2</f>
        <v>0</v>
      </c>
      <c r="R86" s="160">
        <f>ОИ1!R2</f>
        <v>0.54288209637287954</v>
      </c>
    </row>
    <row r="87" spans="1:18" ht="15.75" x14ac:dyDescent="0.25">
      <c r="A87" s="85">
        <v>2</v>
      </c>
      <c r="B87" s="84" t="s">
        <v>2</v>
      </c>
      <c r="C87" s="160" t="e">
        <f>ОИ1!C3</f>
        <v>#REF!</v>
      </c>
      <c r="D87" s="160" t="e">
        <f>ОИ1!D3</f>
        <v>#REF!</v>
      </c>
      <c r="E87" s="160">
        <f>ОИ1!E3</f>
        <v>0</v>
      </c>
      <c r="F87" s="160">
        <f>ОИ1!F3</f>
        <v>0</v>
      </c>
      <c r="G87" s="160">
        <f>ОИ1!G3</f>
        <v>0</v>
      </c>
      <c r="H87" s="160">
        <f>ОИ1!H3</f>
        <v>0</v>
      </c>
      <c r="I87" s="160">
        <f>ОИ1!I3</f>
        <v>0</v>
      </c>
      <c r="J87" s="160">
        <f>ОИ1!J3</f>
        <v>0</v>
      </c>
      <c r="K87" s="160">
        <f>ОИ1!K3</f>
        <v>0</v>
      </c>
      <c r="L87" s="160">
        <f>ОИ1!L3</f>
        <v>0</v>
      </c>
      <c r="M87" s="160">
        <f>ОИ1!M3</f>
        <v>0</v>
      </c>
      <c r="N87" s="160">
        <f>ОИ1!N3</f>
        <v>0</v>
      </c>
      <c r="O87" s="160">
        <f>ОИ1!O3</f>
        <v>0</v>
      </c>
      <c r="P87" s="160">
        <f>ОИ1!P3</f>
        <v>0</v>
      </c>
      <c r="Q87" s="160">
        <f>ОИ1!Q3</f>
        <v>0</v>
      </c>
      <c r="R87" s="160">
        <f>ОИ1!R3</f>
        <v>0.50292317916731966</v>
      </c>
    </row>
    <row r="88" spans="1:18" ht="15.75" x14ac:dyDescent="0.25">
      <c r="A88" s="85">
        <v>3</v>
      </c>
      <c r="B88" s="84" t="s">
        <v>3</v>
      </c>
      <c r="C88" s="160" t="e">
        <f>ОИ1!C4</f>
        <v>#REF!</v>
      </c>
      <c r="D88" s="160" t="e">
        <f>ОИ1!D4</f>
        <v>#REF!</v>
      </c>
      <c r="E88" s="160">
        <f>ОИ1!E4</f>
        <v>0</v>
      </c>
      <c r="F88" s="160">
        <f>ОИ1!F4</f>
        <v>0</v>
      </c>
      <c r="G88" s="160">
        <f>ОИ1!G4</f>
        <v>0</v>
      </c>
      <c r="H88" s="160">
        <f>ОИ1!H4</f>
        <v>0</v>
      </c>
      <c r="I88" s="160">
        <f>ОИ1!I4</f>
        <v>0</v>
      </c>
      <c r="J88" s="160">
        <f>ОИ1!J4</f>
        <v>0</v>
      </c>
      <c r="K88" s="160">
        <f>ОИ1!K4</f>
        <v>0</v>
      </c>
      <c r="L88" s="160">
        <f>ОИ1!L4</f>
        <v>0</v>
      </c>
      <c r="M88" s="160">
        <f>ОИ1!M4</f>
        <v>0</v>
      </c>
      <c r="N88" s="160">
        <f>ОИ1!N4</f>
        <v>0</v>
      </c>
      <c r="O88" s="160">
        <f>ОИ1!O4</f>
        <v>0</v>
      </c>
      <c r="P88" s="160">
        <f>ОИ1!P4</f>
        <v>0</v>
      </c>
      <c r="Q88" s="160">
        <f>ОИ1!Q4</f>
        <v>0</v>
      </c>
      <c r="R88" s="160">
        <f>ОИ1!R4</f>
        <v>0.58712800150045774</v>
      </c>
    </row>
    <row r="89" spans="1:18" ht="15.75" x14ac:dyDescent="0.25">
      <c r="A89" s="85">
        <v>4</v>
      </c>
      <c r="B89" s="84" t="s">
        <v>4</v>
      </c>
      <c r="C89" s="160" t="e">
        <f>ОИ1!C5</f>
        <v>#REF!</v>
      </c>
      <c r="D89" s="160" t="e">
        <f>ОИ1!D5</f>
        <v>#REF!</v>
      </c>
      <c r="E89" s="160">
        <f>ОИ1!E5</f>
        <v>0</v>
      </c>
      <c r="F89" s="160">
        <f>ОИ1!F5</f>
        <v>0</v>
      </c>
      <c r="G89" s="160">
        <f>ОИ1!G5</f>
        <v>0</v>
      </c>
      <c r="H89" s="160">
        <f>ОИ1!H5</f>
        <v>0</v>
      </c>
      <c r="I89" s="160">
        <f>ОИ1!I5</f>
        <v>0</v>
      </c>
      <c r="J89" s="160">
        <f>ОИ1!J5</f>
        <v>0</v>
      </c>
      <c r="K89" s="160">
        <f>ОИ1!K5</f>
        <v>0</v>
      </c>
      <c r="L89" s="160">
        <f>ОИ1!L5</f>
        <v>0</v>
      </c>
      <c r="M89" s="160">
        <f>ОИ1!M5</f>
        <v>0</v>
      </c>
      <c r="N89" s="160">
        <f>ОИ1!N5</f>
        <v>0</v>
      </c>
      <c r="O89" s="160">
        <f>ОИ1!O5</f>
        <v>0</v>
      </c>
      <c r="P89" s="160">
        <f>ОИ1!P5</f>
        <v>0</v>
      </c>
      <c r="Q89" s="160">
        <f>ОИ1!Q5</f>
        <v>0</v>
      </c>
      <c r="R89" s="160">
        <f>ОИ1!R5</f>
        <v>0.5854009179540306</v>
      </c>
    </row>
    <row r="90" spans="1:18" ht="15.75" x14ac:dyDescent="0.25">
      <c r="A90" s="85">
        <v>5</v>
      </c>
      <c r="B90" s="84" t="s">
        <v>5</v>
      </c>
      <c r="C90" s="160" t="e">
        <f>ОИ1!C6</f>
        <v>#REF!</v>
      </c>
      <c r="D90" s="160" t="e">
        <f>ОИ1!D6</f>
        <v>#REF!</v>
      </c>
      <c r="E90" s="160">
        <f>ОИ1!E6</f>
        <v>0</v>
      </c>
      <c r="F90" s="160">
        <f>ОИ1!F6</f>
        <v>0</v>
      </c>
      <c r="G90" s="160">
        <f>ОИ1!G6</f>
        <v>0</v>
      </c>
      <c r="H90" s="160">
        <f>ОИ1!H6</f>
        <v>0</v>
      </c>
      <c r="I90" s="160">
        <f>ОИ1!I6</f>
        <v>0</v>
      </c>
      <c r="J90" s="160">
        <f>ОИ1!J6</f>
        <v>0</v>
      </c>
      <c r="K90" s="160">
        <f>ОИ1!K6</f>
        <v>0</v>
      </c>
      <c r="L90" s="160">
        <f>ОИ1!L6</f>
        <v>0</v>
      </c>
      <c r="M90" s="160">
        <f>ОИ1!M6</f>
        <v>0</v>
      </c>
      <c r="N90" s="160">
        <f>ОИ1!N6</f>
        <v>0</v>
      </c>
      <c r="O90" s="160">
        <f>ОИ1!O6</f>
        <v>0</v>
      </c>
      <c r="P90" s="160">
        <f>ОИ1!P6</f>
        <v>0</v>
      </c>
      <c r="Q90" s="160">
        <f>ОИ1!Q6</f>
        <v>0</v>
      </c>
      <c r="R90" s="160">
        <f>ОИ1!R6</f>
        <v>0.5376647892732177</v>
      </c>
    </row>
    <row r="91" spans="1:18" ht="15.75" x14ac:dyDescent="0.25">
      <c r="A91" s="85">
        <v>6</v>
      </c>
      <c r="B91" s="84" t="s">
        <v>6</v>
      </c>
      <c r="C91" s="160" t="e">
        <f>ОИ1!C7</f>
        <v>#REF!</v>
      </c>
      <c r="D91" s="160" t="e">
        <f>ОИ1!D7</f>
        <v>#REF!</v>
      </c>
      <c r="E91" s="160">
        <f>ОИ1!E7</f>
        <v>0</v>
      </c>
      <c r="F91" s="160">
        <f>ОИ1!F7</f>
        <v>0</v>
      </c>
      <c r="G91" s="160">
        <f>ОИ1!G7</f>
        <v>0</v>
      </c>
      <c r="H91" s="160">
        <f>ОИ1!H7</f>
        <v>0</v>
      </c>
      <c r="I91" s="160">
        <f>ОИ1!I7</f>
        <v>0</v>
      </c>
      <c r="J91" s="160">
        <f>ОИ1!J7</f>
        <v>0</v>
      </c>
      <c r="K91" s="160">
        <f>ОИ1!K7</f>
        <v>0</v>
      </c>
      <c r="L91" s="160">
        <f>ОИ1!L7</f>
        <v>0</v>
      </c>
      <c r="M91" s="160">
        <f>ОИ1!M7</f>
        <v>0</v>
      </c>
      <c r="N91" s="160">
        <f>ОИ1!N7</f>
        <v>0</v>
      </c>
      <c r="O91" s="160">
        <f>ОИ1!O7</f>
        <v>0</v>
      </c>
      <c r="P91" s="160">
        <f>ОИ1!P7</f>
        <v>0</v>
      </c>
      <c r="Q91" s="160">
        <f>ОИ1!Q7</f>
        <v>0</v>
      </c>
      <c r="R91" s="160">
        <f>ОИ1!R7</f>
        <v>0.66607461098108856</v>
      </c>
    </row>
    <row r="92" spans="1:18" ht="15.75" x14ac:dyDescent="0.25">
      <c r="A92" s="85">
        <v>7</v>
      </c>
      <c r="B92" s="84" t="s">
        <v>7</v>
      </c>
      <c r="C92" s="160" t="e">
        <f>ОИ1!C8</f>
        <v>#REF!</v>
      </c>
      <c r="D92" s="160" t="e">
        <f>ОИ1!D8</f>
        <v>#REF!</v>
      </c>
      <c r="E92" s="160">
        <f>ОИ1!E8</f>
        <v>0</v>
      </c>
      <c r="F92" s="160">
        <f>ОИ1!F8</f>
        <v>0</v>
      </c>
      <c r="G92" s="160">
        <f>ОИ1!G8</f>
        <v>0</v>
      </c>
      <c r="H92" s="160">
        <f>ОИ1!H8</f>
        <v>0</v>
      </c>
      <c r="I92" s="160">
        <f>ОИ1!I8</f>
        <v>0</v>
      </c>
      <c r="J92" s="160">
        <f>ОИ1!J8</f>
        <v>0</v>
      </c>
      <c r="K92" s="160">
        <f>ОИ1!K8</f>
        <v>0</v>
      </c>
      <c r="L92" s="160">
        <f>ОИ1!L8</f>
        <v>0</v>
      </c>
      <c r="M92" s="160">
        <f>ОИ1!M8</f>
        <v>0</v>
      </c>
      <c r="N92" s="160">
        <f>ОИ1!N8</f>
        <v>0</v>
      </c>
      <c r="O92" s="160">
        <f>ОИ1!O8</f>
        <v>0</v>
      </c>
      <c r="P92" s="160">
        <f>ОИ1!P8</f>
        <v>0</v>
      </c>
      <c r="Q92" s="160">
        <f>ОИ1!Q8</f>
        <v>0</v>
      </c>
      <c r="R92" s="160">
        <f>ОИ1!R8</f>
        <v>0.58807578881150635</v>
      </c>
    </row>
    <row r="93" spans="1:18" ht="15.75" x14ac:dyDescent="0.25">
      <c r="A93" s="85">
        <v>8</v>
      </c>
      <c r="B93" s="84" t="s">
        <v>8</v>
      </c>
      <c r="C93" s="160" t="e">
        <f>ОИ1!C9</f>
        <v>#REF!</v>
      </c>
      <c r="D93" s="160" t="e">
        <f>ОИ1!D9</f>
        <v>#REF!</v>
      </c>
      <c r="E93" s="160">
        <f>ОИ1!E9</f>
        <v>0</v>
      </c>
      <c r="F93" s="160">
        <f>ОИ1!F9</f>
        <v>0</v>
      </c>
      <c r="G93" s="160">
        <f>ОИ1!G9</f>
        <v>0</v>
      </c>
      <c r="H93" s="160">
        <f>ОИ1!H9</f>
        <v>0</v>
      </c>
      <c r="I93" s="160">
        <f>ОИ1!I9</f>
        <v>0</v>
      </c>
      <c r="J93" s="160">
        <f>ОИ1!J9</f>
        <v>0</v>
      </c>
      <c r="K93" s="160">
        <f>ОИ1!K9</f>
        <v>0</v>
      </c>
      <c r="L93" s="160">
        <f>ОИ1!L9</f>
        <v>0</v>
      </c>
      <c r="M93" s="160">
        <f>ОИ1!M9</f>
        <v>0</v>
      </c>
      <c r="N93" s="160">
        <f>ОИ1!N9</f>
        <v>0</v>
      </c>
      <c r="O93" s="160">
        <f>ОИ1!O9</f>
        <v>0</v>
      </c>
      <c r="P93" s="160">
        <f>ОИ1!P9</f>
        <v>0</v>
      </c>
      <c r="Q93" s="160">
        <f>ОИ1!Q9</f>
        <v>0</v>
      </c>
      <c r="R93" s="160">
        <f>ОИ1!R9</f>
        <v>0.51978623044410799</v>
      </c>
    </row>
    <row r="94" spans="1:18" ht="15.75" x14ac:dyDescent="0.25">
      <c r="A94" s="85">
        <v>9</v>
      </c>
      <c r="B94" s="84" t="s">
        <v>9</v>
      </c>
      <c r="C94" s="160" t="e">
        <f>ОИ1!C10</f>
        <v>#REF!</v>
      </c>
      <c r="D94" s="160" t="e">
        <f>ОИ1!D10</f>
        <v>#REF!</v>
      </c>
      <c r="E94" s="160">
        <f>ОИ1!E10</f>
        <v>0</v>
      </c>
      <c r="F94" s="160">
        <f>ОИ1!F10</f>
        <v>0</v>
      </c>
      <c r="G94" s="160">
        <f>ОИ1!G10</f>
        <v>0</v>
      </c>
      <c r="H94" s="160">
        <f>ОИ1!H10</f>
        <v>0</v>
      </c>
      <c r="I94" s="160">
        <f>ОИ1!I10</f>
        <v>0</v>
      </c>
      <c r="J94" s="160">
        <f>ОИ1!J10</f>
        <v>0</v>
      </c>
      <c r="K94" s="160">
        <f>ОИ1!K10</f>
        <v>0</v>
      </c>
      <c r="L94" s="160">
        <f>ОИ1!L10</f>
        <v>0</v>
      </c>
      <c r="M94" s="160">
        <f>ОИ1!M10</f>
        <v>0</v>
      </c>
      <c r="N94" s="160">
        <f>ОИ1!N10</f>
        <v>0</v>
      </c>
      <c r="O94" s="160">
        <f>ОИ1!O10</f>
        <v>0</v>
      </c>
      <c r="P94" s="160">
        <f>ОИ1!P10</f>
        <v>0</v>
      </c>
      <c r="Q94" s="160">
        <f>ОИ1!Q10</f>
        <v>0</v>
      </c>
      <c r="R94" s="160">
        <f>ОИ1!R10</f>
        <v>0.49837400788806918</v>
      </c>
    </row>
    <row r="95" spans="1:18" ht="15.75" x14ac:dyDescent="0.25">
      <c r="A95" s="85">
        <v>10</v>
      </c>
      <c r="B95" s="84" t="s">
        <v>10</v>
      </c>
      <c r="C95" s="160" t="e">
        <f>ОИ1!C11</f>
        <v>#REF!</v>
      </c>
      <c r="D95" s="160" t="e">
        <f>ОИ1!D11</f>
        <v>#REF!</v>
      </c>
      <c r="E95" s="160">
        <f>ОИ1!E11</f>
        <v>0</v>
      </c>
      <c r="F95" s="160">
        <f>ОИ1!F11</f>
        <v>0</v>
      </c>
      <c r="G95" s="160">
        <f>ОИ1!G11</f>
        <v>0</v>
      </c>
      <c r="H95" s="160">
        <f>ОИ1!H11</f>
        <v>0</v>
      </c>
      <c r="I95" s="160">
        <f>ОИ1!I11</f>
        <v>0</v>
      </c>
      <c r="J95" s="160">
        <f>ОИ1!J11</f>
        <v>0</v>
      </c>
      <c r="K95" s="160">
        <f>ОИ1!K11</f>
        <v>0</v>
      </c>
      <c r="L95" s="160">
        <f>ОИ1!L11</f>
        <v>0</v>
      </c>
      <c r="M95" s="160">
        <f>ОИ1!M11</f>
        <v>0</v>
      </c>
      <c r="N95" s="160">
        <f>ОИ1!N11</f>
        <v>0</v>
      </c>
      <c r="O95" s="160">
        <f>ОИ1!O11</f>
        <v>0</v>
      </c>
      <c r="P95" s="160">
        <f>ОИ1!P11</f>
        <v>0</v>
      </c>
      <c r="Q95" s="160">
        <f>ОИ1!Q11</f>
        <v>0</v>
      </c>
      <c r="R95" s="160">
        <f>ОИ1!R11</f>
        <v>0.6959608199870625</v>
      </c>
    </row>
    <row r="96" spans="1:18" ht="15.75" x14ac:dyDescent="0.25">
      <c r="A96" s="85">
        <v>11</v>
      </c>
      <c r="B96" s="84" t="s">
        <v>11</v>
      </c>
      <c r="C96" s="160" t="e">
        <f>ОИ1!C12</f>
        <v>#REF!</v>
      </c>
      <c r="D96" s="160" t="e">
        <f>ОИ1!D12</f>
        <v>#REF!</v>
      </c>
      <c r="E96" s="160">
        <f>ОИ1!E12</f>
        <v>0</v>
      </c>
      <c r="F96" s="160">
        <f>ОИ1!F12</f>
        <v>0</v>
      </c>
      <c r="G96" s="160">
        <f>ОИ1!G12</f>
        <v>0</v>
      </c>
      <c r="H96" s="160">
        <f>ОИ1!H12</f>
        <v>0</v>
      </c>
      <c r="I96" s="160">
        <f>ОИ1!I12</f>
        <v>0</v>
      </c>
      <c r="J96" s="160">
        <f>ОИ1!J12</f>
        <v>0</v>
      </c>
      <c r="K96" s="160">
        <f>ОИ1!K12</f>
        <v>0</v>
      </c>
      <c r="L96" s="160">
        <f>ОИ1!L12</f>
        <v>0</v>
      </c>
      <c r="M96" s="160">
        <f>ОИ1!M12</f>
        <v>0</v>
      </c>
      <c r="N96" s="160">
        <f>ОИ1!N12</f>
        <v>0</v>
      </c>
      <c r="O96" s="160">
        <f>ОИ1!O12</f>
        <v>0</v>
      </c>
      <c r="P96" s="160">
        <f>ОИ1!P12</f>
        <v>0</v>
      </c>
      <c r="Q96" s="160">
        <f>ОИ1!Q12</f>
        <v>0</v>
      </c>
      <c r="R96" s="160">
        <f>ОИ1!R12</f>
        <v>0.53670868672685434</v>
      </c>
    </row>
    <row r="97" spans="1:18" ht="15.75" x14ac:dyDescent="0.25">
      <c r="A97" s="85">
        <v>12</v>
      </c>
      <c r="B97" s="84" t="s">
        <v>12</v>
      </c>
      <c r="C97" s="160" t="e">
        <f>ОИ1!C13</f>
        <v>#REF!</v>
      </c>
      <c r="D97" s="160" t="e">
        <f>ОИ1!D13</f>
        <v>#REF!</v>
      </c>
      <c r="E97" s="160">
        <f>ОИ1!E13</f>
        <v>0</v>
      </c>
      <c r="F97" s="160">
        <f>ОИ1!F13</f>
        <v>0</v>
      </c>
      <c r="G97" s="160">
        <f>ОИ1!G13</f>
        <v>0</v>
      </c>
      <c r="H97" s="160">
        <f>ОИ1!H13</f>
        <v>0</v>
      </c>
      <c r="I97" s="160">
        <f>ОИ1!I13</f>
        <v>0</v>
      </c>
      <c r="J97" s="160">
        <f>ОИ1!J13</f>
        <v>0</v>
      </c>
      <c r="K97" s="160">
        <f>ОИ1!K13</f>
        <v>0</v>
      </c>
      <c r="L97" s="160">
        <f>ОИ1!L13</f>
        <v>0</v>
      </c>
      <c r="M97" s="160">
        <f>ОИ1!M13</f>
        <v>0</v>
      </c>
      <c r="N97" s="160">
        <f>ОИ1!N13</f>
        <v>0</v>
      </c>
      <c r="O97" s="160">
        <f>ОИ1!O13</f>
        <v>0</v>
      </c>
      <c r="P97" s="160">
        <f>ОИ1!P13</f>
        <v>0</v>
      </c>
      <c r="Q97" s="160">
        <f>ОИ1!Q13</f>
        <v>0</v>
      </c>
      <c r="R97" s="160">
        <f>ОИ1!R13</f>
        <v>0.6641801579103449</v>
      </c>
    </row>
    <row r="98" spans="1:18" ht="15.75" x14ac:dyDescent="0.25">
      <c r="A98" s="85">
        <v>13</v>
      </c>
      <c r="B98" s="84" t="s">
        <v>13</v>
      </c>
      <c r="C98" s="160" t="e">
        <f>ОИ1!C14</f>
        <v>#REF!</v>
      </c>
      <c r="D98" s="160" t="e">
        <f>ОИ1!D14</f>
        <v>#REF!</v>
      </c>
      <c r="E98" s="160">
        <f>ОИ1!E14</f>
        <v>0</v>
      </c>
      <c r="F98" s="160">
        <f>ОИ1!F14</f>
        <v>0</v>
      </c>
      <c r="G98" s="160">
        <f>ОИ1!G14</f>
        <v>0</v>
      </c>
      <c r="H98" s="160">
        <f>ОИ1!H14</f>
        <v>0</v>
      </c>
      <c r="I98" s="160">
        <f>ОИ1!I14</f>
        <v>0</v>
      </c>
      <c r="J98" s="160">
        <f>ОИ1!J14</f>
        <v>0</v>
      </c>
      <c r="K98" s="160">
        <f>ОИ1!K14</f>
        <v>0</v>
      </c>
      <c r="L98" s="160">
        <f>ОИ1!L14</f>
        <v>0</v>
      </c>
      <c r="M98" s="160">
        <f>ОИ1!M14</f>
        <v>0</v>
      </c>
      <c r="N98" s="160">
        <f>ОИ1!N14</f>
        <v>0</v>
      </c>
      <c r="O98" s="160">
        <f>ОИ1!O14</f>
        <v>0</v>
      </c>
      <c r="P98" s="160">
        <f>ОИ1!P14</f>
        <v>0</v>
      </c>
      <c r="Q98" s="160">
        <f>ОИ1!Q14</f>
        <v>0</v>
      </c>
      <c r="R98" s="160">
        <f>ОИ1!R14</f>
        <v>0.56642946918381443</v>
      </c>
    </row>
    <row r="99" spans="1:18" ht="15.75" x14ac:dyDescent="0.25">
      <c r="A99" s="85">
        <v>14</v>
      </c>
      <c r="B99" s="84" t="s">
        <v>14</v>
      </c>
      <c r="C99" s="160" t="e">
        <f>ОИ1!C15</f>
        <v>#REF!</v>
      </c>
      <c r="D99" s="160" t="e">
        <f>ОИ1!D15</f>
        <v>#REF!</v>
      </c>
      <c r="E99" s="160">
        <f>ОИ1!E15</f>
        <v>0</v>
      </c>
      <c r="F99" s="160">
        <f>ОИ1!F15</f>
        <v>0</v>
      </c>
      <c r="G99" s="160">
        <f>ОИ1!G15</f>
        <v>0</v>
      </c>
      <c r="H99" s="160">
        <f>ОИ1!H15</f>
        <v>0</v>
      </c>
      <c r="I99" s="160">
        <f>ОИ1!I15</f>
        <v>0</v>
      </c>
      <c r="J99" s="160">
        <f>ОИ1!J15</f>
        <v>0</v>
      </c>
      <c r="K99" s="160">
        <f>ОИ1!K15</f>
        <v>0</v>
      </c>
      <c r="L99" s="160">
        <f>ОИ1!L15</f>
        <v>0</v>
      </c>
      <c r="M99" s="160">
        <f>ОИ1!M15</f>
        <v>0</v>
      </c>
      <c r="N99" s="160">
        <f>ОИ1!N15</f>
        <v>0</v>
      </c>
      <c r="O99" s="160">
        <f>ОИ1!O15</f>
        <v>0</v>
      </c>
      <c r="P99" s="160">
        <f>ОИ1!P15</f>
        <v>0</v>
      </c>
      <c r="Q99" s="160">
        <f>ОИ1!Q15</f>
        <v>0</v>
      </c>
      <c r="R99" s="160">
        <f>ОИ1!R15</f>
        <v>0.47847945915184553</v>
      </c>
    </row>
    <row r="100" spans="1:18" ht="15.75" x14ac:dyDescent="0.25">
      <c r="A100" s="85">
        <v>15</v>
      </c>
      <c r="B100" s="84" t="s">
        <v>15</v>
      </c>
      <c r="C100" s="160" t="e">
        <f>ОИ1!C16</f>
        <v>#REF!</v>
      </c>
      <c r="D100" s="160" t="e">
        <f>ОИ1!D16</f>
        <v>#REF!</v>
      </c>
      <c r="E100" s="160">
        <f>ОИ1!E16</f>
        <v>0</v>
      </c>
      <c r="F100" s="160">
        <f>ОИ1!F16</f>
        <v>0</v>
      </c>
      <c r="G100" s="160">
        <f>ОИ1!G16</f>
        <v>0</v>
      </c>
      <c r="H100" s="160">
        <f>ОИ1!H16</f>
        <v>0</v>
      </c>
      <c r="I100" s="160">
        <f>ОИ1!I16</f>
        <v>0</v>
      </c>
      <c r="J100" s="160">
        <f>ОИ1!J16</f>
        <v>0</v>
      </c>
      <c r="K100" s="160">
        <f>ОИ1!K16</f>
        <v>0</v>
      </c>
      <c r="L100" s="160">
        <f>ОИ1!L16</f>
        <v>0</v>
      </c>
      <c r="M100" s="160">
        <f>ОИ1!M16</f>
        <v>0</v>
      </c>
      <c r="N100" s="160">
        <f>ОИ1!N16</f>
        <v>0</v>
      </c>
      <c r="O100" s="160">
        <f>ОИ1!O16</f>
        <v>0</v>
      </c>
      <c r="P100" s="160">
        <f>ОИ1!P16</f>
        <v>0</v>
      </c>
      <c r="Q100" s="160">
        <f>ОИ1!Q16</f>
        <v>0</v>
      </c>
      <c r="R100" s="160">
        <f>ОИ1!R16</f>
        <v>0.58210623990823518</v>
      </c>
    </row>
    <row r="101" spans="1:18" ht="15.75" x14ac:dyDescent="0.25">
      <c r="A101" s="85">
        <v>16</v>
      </c>
      <c r="B101" s="84" t="s">
        <v>16</v>
      </c>
      <c r="C101" s="160" t="e">
        <f>ОИ1!C17</f>
        <v>#REF!</v>
      </c>
      <c r="D101" s="160" t="e">
        <f>ОИ1!D17</f>
        <v>#REF!</v>
      </c>
      <c r="E101" s="160">
        <f>ОИ1!E17</f>
        <v>0</v>
      </c>
      <c r="F101" s="160">
        <f>ОИ1!F17</f>
        <v>0</v>
      </c>
      <c r="G101" s="160">
        <f>ОИ1!G17</f>
        <v>0</v>
      </c>
      <c r="H101" s="160">
        <f>ОИ1!H17</f>
        <v>0</v>
      </c>
      <c r="I101" s="160">
        <f>ОИ1!I17</f>
        <v>0</v>
      </c>
      <c r="J101" s="160">
        <f>ОИ1!J17</f>
        <v>0</v>
      </c>
      <c r="K101" s="160">
        <f>ОИ1!K17</f>
        <v>0</v>
      </c>
      <c r="L101" s="160">
        <f>ОИ1!L17</f>
        <v>0</v>
      </c>
      <c r="M101" s="160">
        <f>ОИ1!M17</f>
        <v>0</v>
      </c>
      <c r="N101" s="160">
        <f>ОИ1!N17</f>
        <v>0</v>
      </c>
      <c r="O101" s="160">
        <f>ОИ1!O17</f>
        <v>0</v>
      </c>
      <c r="P101" s="160">
        <f>ОИ1!P17</f>
        <v>0</v>
      </c>
      <c r="Q101" s="160">
        <f>ОИ1!Q17</f>
        <v>0</v>
      </c>
      <c r="R101" s="160">
        <f>ОИ1!R17</f>
        <v>0.58216072900123172</v>
      </c>
    </row>
    <row r="102" spans="1:18" ht="15.75" x14ac:dyDescent="0.25">
      <c r="A102" s="85">
        <v>17</v>
      </c>
      <c r="B102" s="84" t="s">
        <v>17</v>
      </c>
      <c r="C102" s="160" t="e">
        <f>ОИ1!C18</f>
        <v>#REF!</v>
      </c>
      <c r="D102" s="160" t="e">
        <f>ОИ1!D18</f>
        <v>#REF!</v>
      </c>
      <c r="E102" s="160">
        <f>ОИ1!E18</f>
        <v>0</v>
      </c>
      <c r="F102" s="160">
        <f>ОИ1!F18</f>
        <v>0</v>
      </c>
      <c r="G102" s="160">
        <f>ОИ1!G18</f>
        <v>0</v>
      </c>
      <c r="H102" s="160">
        <f>ОИ1!H18</f>
        <v>0</v>
      </c>
      <c r="I102" s="160">
        <f>ОИ1!I18</f>
        <v>0</v>
      </c>
      <c r="J102" s="160">
        <f>ОИ1!J18</f>
        <v>0</v>
      </c>
      <c r="K102" s="160">
        <f>ОИ1!K18</f>
        <v>0</v>
      </c>
      <c r="L102" s="160">
        <f>ОИ1!L18</f>
        <v>0</v>
      </c>
      <c r="M102" s="160">
        <f>ОИ1!M18</f>
        <v>0</v>
      </c>
      <c r="N102" s="160">
        <f>ОИ1!N18</f>
        <v>0</v>
      </c>
      <c r="O102" s="160">
        <f>ОИ1!O18</f>
        <v>0</v>
      </c>
      <c r="P102" s="160">
        <f>ОИ1!P18</f>
        <v>0</v>
      </c>
      <c r="Q102" s="160">
        <f>ОИ1!Q18</f>
        <v>0</v>
      </c>
      <c r="R102" s="160">
        <f>ОИ1!R18</f>
        <v>0.63353421508030161</v>
      </c>
    </row>
    <row r="103" spans="1:18" ht="15.75" x14ac:dyDescent="0.25">
      <c r="A103" s="85">
        <v>18</v>
      </c>
      <c r="B103" s="84" t="s">
        <v>18</v>
      </c>
      <c r="C103" s="160" t="e">
        <f>ОИ1!C19</f>
        <v>#REF!</v>
      </c>
      <c r="D103" s="160" t="e">
        <f>ОИ1!D19</f>
        <v>#REF!</v>
      </c>
      <c r="E103" s="160">
        <f>ОИ1!E19</f>
        <v>0</v>
      </c>
      <c r="F103" s="160">
        <f>ОИ1!F19</f>
        <v>0</v>
      </c>
      <c r="G103" s="160">
        <f>ОИ1!G19</f>
        <v>0</v>
      </c>
      <c r="H103" s="160">
        <f>ОИ1!H19</f>
        <v>0</v>
      </c>
      <c r="I103" s="160">
        <f>ОИ1!I19</f>
        <v>0</v>
      </c>
      <c r="J103" s="160">
        <f>ОИ1!J19</f>
        <v>0</v>
      </c>
      <c r="K103" s="160">
        <f>ОИ1!K19</f>
        <v>0</v>
      </c>
      <c r="L103" s="160">
        <f>ОИ1!L19</f>
        <v>0</v>
      </c>
      <c r="M103" s="160">
        <f>ОИ1!M19</f>
        <v>0</v>
      </c>
      <c r="N103" s="160">
        <f>ОИ1!N19</f>
        <v>0</v>
      </c>
      <c r="O103" s="160">
        <f>ОИ1!O19</f>
        <v>0</v>
      </c>
      <c r="P103" s="160">
        <f>ОИ1!P19</f>
        <v>0</v>
      </c>
      <c r="Q103" s="160">
        <f>ОИ1!Q19</f>
        <v>0</v>
      </c>
      <c r="R103" s="160">
        <f>ОИ1!R19</f>
        <v>0.80372667016276733</v>
      </c>
    </row>
    <row r="106" spans="1:18" ht="15.75" x14ac:dyDescent="0.25">
      <c r="A106" s="145"/>
      <c r="B106" s="146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</row>
    <row r="107" spans="1:18" ht="15.75" x14ac:dyDescent="0.25">
      <c r="A107" s="148"/>
      <c r="B107" s="149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</row>
    <row r="108" spans="1:18" ht="15.75" x14ac:dyDescent="0.25">
      <c r="A108" s="148"/>
      <c r="B108" s="149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</row>
    <row r="109" spans="1:18" ht="15.75" x14ac:dyDescent="0.25">
      <c r="A109" s="148"/>
      <c r="B109" s="149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</row>
    <row r="110" spans="1:18" ht="15.75" x14ac:dyDescent="0.25">
      <c r="A110" s="148"/>
      <c r="B110" s="149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</row>
    <row r="111" spans="1:18" ht="15.75" x14ac:dyDescent="0.25">
      <c r="A111" s="148"/>
      <c r="B111" s="149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</row>
    <row r="112" spans="1:18" ht="15.75" x14ac:dyDescent="0.25">
      <c r="A112" s="148"/>
      <c r="B112" s="149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</row>
    <row r="113" spans="1:18" ht="15.75" x14ac:dyDescent="0.25">
      <c r="A113" s="148"/>
      <c r="B113" s="149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</row>
    <row r="114" spans="1:18" ht="15.75" x14ac:dyDescent="0.25">
      <c r="A114" s="148"/>
      <c r="B114" s="149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</row>
    <row r="115" spans="1:18" ht="15.75" x14ac:dyDescent="0.25">
      <c r="A115" s="148"/>
      <c r="B115" s="149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</row>
    <row r="116" spans="1:18" ht="15.75" x14ac:dyDescent="0.25">
      <c r="A116" s="148"/>
      <c r="B116" s="149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</row>
    <row r="117" spans="1:18" ht="15.75" x14ac:dyDescent="0.25">
      <c r="A117" s="148"/>
      <c r="B117" s="149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</row>
    <row r="118" spans="1:18" ht="15.75" x14ac:dyDescent="0.25">
      <c r="A118" s="148"/>
      <c r="B118" s="149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</row>
    <row r="119" spans="1:18" ht="15.75" x14ac:dyDescent="0.25">
      <c r="A119" s="148"/>
      <c r="B119" s="149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</row>
    <row r="120" spans="1:18" ht="15.75" x14ac:dyDescent="0.25">
      <c r="A120" s="148"/>
      <c r="B120" s="149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</row>
    <row r="121" spans="1:18" ht="15.75" x14ac:dyDescent="0.25">
      <c r="A121" s="148"/>
      <c r="B121" s="149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</row>
    <row r="122" spans="1:18" ht="15.75" x14ac:dyDescent="0.25">
      <c r="A122" s="148"/>
      <c r="B122" s="149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</row>
    <row r="123" spans="1:18" ht="15.75" x14ac:dyDescent="0.25">
      <c r="A123" s="148"/>
      <c r="B123" s="149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</row>
    <row r="124" spans="1:18" ht="15.75" x14ac:dyDescent="0.25">
      <c r="A124" s="148"/>
      <c r="B124" s="149"/>
      <c r="C124" s="150"/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</row>
    <row r="126" spans="1:18" ht="15.75" x14ac:dyDescent="0.25">
      <c r="A126" s="84" t="s">
        <v>0</v>
      </c>
      <c r="B126" s="84"/>
      <c r="C126" s="84">
        <v>2005</v>
      </c>
      <c r="D126" s="84">
        <v>2006</v>
      </c>
      <c r="E126" s="84">
        <v>2007</v>
      </c>
      <c r="F126" s="84">
        <v>2008</v>
      </c>
      <c r="G126" s="84">
        <v>2009</v>
      </c>
      <c r="H126" s="84">
        <v>2010</v>
      </c>
      <c r="I126" s="84">
        <v>2011</v>
      </c>
      <c r="J126" s="84">
        <v>2012</v>
      </c>
      <c r="K126" s="84">
        <v>2013</v>
      </c>
      <c r="L126" s="84">
        <v>2014</v>
      </c>
      <c r="M126" s="84">
        <v>2015</v>
      </c>
      <c r="N126" s="84">
        <v>2016</v>
      </c>
      <c r="O126" s="84">
        <v>2017</v>
      </c>
      <c r="P126" s="84">
        <v>2018</v>
      </c>
      <c r="Q126" s="84">
        <v>2019</v>
      </c>
      <c r="R126" s="84">
        <v>2020</v>
      </c>
    </row>
    <row r="127" spans="1:18" ht="15.75" x14ac:dyDescent="0.25">
      <c r="A127" s="84">
        <v>1</v>
      </c>
      <c r="B127" s="84" t="s">
        <v>1</v>
      </c>
      <c r="C127" s="160" t="e">
        <f>ОИ2!C2</f>
        <v>#REF!</v>
      </c>
      <c r="D127" s="160" t="e">
        <f>ОИ2!D2</f>
        <v>#REF!</v>
      </c>
      <c r="E127" s="160">
        <f>ОИ2!E2</f>
        <v>0</v>
      </c>
      <c r="F127" s="160">
        <f>ОИ2!F2</f>
        <v>0</v>
      </c>
      <c r="G127" s="160">
        <f>ОИ2!G2</f>
        <v>0</v>
      </c>
      <c r="H127" s="160">
        <f>ОИ2!H2</f>
        <v>0</v>
      </c>
      <c r="I127" s="160">
        <f>ОИ2!I2</f>
        <v>0</v>
      </c>
      <c r="J127" s="160">
        <f>ОИ2!J2</f>
        <v>0</v>
      </c>
      <c r="K127" s="160">
        <f>ОИ2!K2</f>
        <v>0</v>
      </c>
      <c r="L127" s="160">
        <f>ОИ2!L2</f>
        <v>0</v>
      </c>
      <c r="M127" s="160">
        <f>ОИ2!M2</f>
        <v>0</v>
      </c>
      <c r="N127" s="160">
        <f>ОИ2!N2</f>
        <v>0</v>
      </c>
      <c r="O127" s="160">
        <f>ОИ2!O2</f>
        <v>0</v>
      </c>
      <c r="P127" s="160">
        <f>ОИ2!P2</f>
        <v>0</v>
      </c>
      <c r="Q127" s="160">
        <f>ОИ2!Q2</f>
        <v>0</v>
      </c>
      <c r="R127" s="160">
        <f>ОИ2!R2</f>
        <v>0.3738361227835732</v>
      </c>
    </row>
    <row r="128" spans="1:18" ht="15.75" x14ac:dyDescent="0.25">
      <c r="A128" s="84">
        <v>2</v>
      </c>
      <c r="B128" s="84" t="s">
        <v>2</v>
      </c>
      <c r="C128" s="160" t="e">
        <f>ОИ2!C3</f>
        <v>#REF!</v>
      </c>
      <c r="D128" s="160" t="e">
        <f>ОИ2!D3</f>
        <v>#REF!</v>
      </c>
      <c r="E128" s="160">
        <f>ОИ2!E3</f>
        <v>0</v>
      </c>
      <c r="F128" s="160">
        <f>ОИ2!F3</f>
        <v>0</v>
      </c>
      <c r="G128" s="160">
        <f>ОИ2!G3</f>
        <v>0</v>
      </c>
      <c r="H128" s="160">
        <f>ОИ2!H3</f>
        <v>0</v>
      </c>
      <c r="I128" s="160">
        <f>ОИ2!I3</f>
        <v>0</v>
      </c>
      <c r="J128" s="160">
        <f>ОИ2!J3</f>
        <v>0</v>
      </c>
      <c r="K128" s="160">
        <f>ОИ2!K3</f>
        <v>0</v>
      </c>
      <c r="L128" s="160">
        <f>ОИ2!L3</f>
        <v>0</v>
      </c>
      <c r="M128" s="160">
        <f>ОИ2!M3</f>
        <v>0</v>
      </c>
      <c r="N128" s="160">
        <f>ОИ2!N3</f>
        <v>0</v>
      </c>
      <c r="O128" s="160">
        <f>ОИ2!O3</f>
        <v>0</v>
      </c>
      <c r="P128" s="160">
        <f>ОИ2!P3</f>
        <v>0</v>
      </c>
      <c r="Q128" s="160">
        <f>ОИ2!Q3</f>
        <v>0</v>
      </c>
      <c r="R128" s="160">
        <f>ОИ2!R3</f>
        <v>0.21513431841542474</v>
      </c>
    </row>
    <row r="129" spans="1:18" ht="15.75" x14ac:dyDescent="0.25">
      <c r="A129" s="84">
        <v>3</v>
      </c>
      <c r="B129" s="84" t="s">
        <v>3</v>
      </c>
      <c r="C129" s="160" t="e">
        <f>ОИ2!C4</f>
        <v>#REF!</v>
      </c>
      <c r="D129" s="160" t="e">
        <f>ОИ2!D4</f>
        <v>#REF!</v>
      </c>
      <c r="E129" s="160">
        <f>ОИ2!E4</f>
        <v>0</v>
      </c>
      <c r="F129" s="160">
        <f>ОИ2!F4</f>
        <v>0</v>
      </c>
      <c r="G129" s="160">
        <f>ОИ2!G4</f>
        <v>0</v>
      </c>
      <c r="H129" s="160">
        <f>ОИ2!H4</f>
        <v>0</v>
      </c>
      <c r="I129" s="160">
        <f>ОИ2!I4</f>
        <v>0</v>
      </c>
      <c r="J129" s="160">
        <f>ОИ2!J4</f>
        <v>0</v>
      </c>
      <c r="K129" s="160">
        <f>ОИ2!K4</f>
        <v>0</v>
      </c>
      <c r="L129" s="160">
        <f>ОИ2!L4</f>
        <v>0</v>
      </c>
      <c r="M129" s="160">
        <f>ОИ2!M4</f>
        <v>0</v>
      </c>
      <c r="N129" s="160">
        <f>ОИ2!N4</f>
        <v>0</v>
      </c>
      <c r="O129" s="160">
        <f>ОИ2!O4</f>
        <v>0</v>
      </c>
      <c r="P129" s="160">
        <f>ОИ2!P4</f>
        <v>0</v>
      </c>
      <c r="Q129" s="160">
        <f>ОИ2!Q4</f>
        <v>0</v>
      </c>
      <c r="R129" s="160">
        <f>ОИ2!R4</f>
        <v>0.27608907728987958</v>
      </c>
    </row>
    <row r="130" spans="1:18" ht="15.75" x14ac:dyDescent="0.25">
      <c r="A130" s="84">
        <v>4</v>
      </c>
      <c r="B130" s="84" t="s">
        <v>4</v>
      </c>
      <c r="C130" s="160" t="e">
        <f>ОИ2!C5</f>
        <v>#REF!</v>
      </c>
      <c r="D130" s="160" t="e">
        <f>ОИ2!D5</f>
        <v>#REF!</v>
      </c>
      <c r="E130" s="160">
        <f>ОИ2!E5</f>
        <v>0</v>
      </c>
      <c r="F130" s="160">
        <f>ОИ2!F5</f>
        <v>0</v>
      </c>
      <c r="G130" s="160">
        <f>ОИ2!G5</f>
        <v>0</v>
      </c>
      <c r="H130" s="160">
        <f>ОИ2!H5</f>
        <v>0</v>
      </c>
      <c r="I130" s="160">
        <f>ОИ2!I5</f>
        <v>0</v>
      </c>
      <c r="J130" s="160">
        <f>ОИ2!J5</f>
        <v>0</v>
      </c>
      <c r="K130" s="160">
        <f>ОИ2!K5</f>
        <v>0</v>
      </c>
      <c r="L130" s="160">
        <f>ОИ2!L5</f>
        <v>0</v>
      </c>
      <c r="M130" s="160">
        <f>ОИ2!M5</f>
        <v>0</v>
      </c>
      <c r="N130" s="160">
        <f>ОИ2!N5</f>
        <v>0</v>
      </c>
      <c r="O130" s="160">
        <f>ОИ2!O5</f>
        <v>0</v>
      </c>
      <c r="P130" s="160">
        <f>ОИ2!P5</f>
        <v>0</v>
      </c>
      <c r="Q130" s="160">
        <f>ОИ2!Q5</f>
        <v>0</v>
      </c>
      <c r="R130" s="160">
        <f>ОИ2!R5</f>
        <v>0.35446682927419221</v>
      </c>
    </row>
    <row r="131" spans="1:18" ht="15.75" x14ac:dyDescent="0.25">
      <c r="A131" s="84">
        <v>5</v>
      </c>
      <c r="B131" s="84" t="s">
        <v>5</v>
      </c>
      <c r="C131" s="160" t="e">
        <f>ОИ2!C6</f>
        <v>#REF!</v>
      </c>
      <c r="D131" s="160" t="e">
        <f>ОИ2!D6</f>
        <v>#REF!</v>
      </c>
      <c r="E131" s="160">
        <f>ОИ2!E6</f>
        <v>0</v>
      </c>
      <c r="F131" s="160">
        <f>ОИ2!F6</f>
        <v>0</v>
      </c>
      <c r="G131" s="160">
        <f>ОИ2!G6</f>
        <v>0</v>
      </c>
      <c r="H131" s="160">
        <f>ОИ2!H6</f>
        <v>0</v>
      </c>
      <c r="I131" s="160">
        <f>ОИ2!I6</f>
        <v>0</v>
      </c>
      <c r="J131" s="160">
        <f>ОИ2!J6</f>
        <v>0</v>
      </c>
      <c r="K131" s="160">
        <f>ОИ2!K6</f>
        <v>0</v>
      </c>
      <c r="L131" s="160">
        <f>ОИ2!L6</f>
        <v>0</v>
      </c>
      <c r="M131" s="160">
        <f>ОИ2!M6</f>
        <v>0</v>
      </c>
      <c r="N131" s="160">
        <f>ОИ2!N6</f>
        <v>0</v>
      </c>
      <c r="O131" s="160">
        <f>ОИ2!O6</f>
        <v>0</v>
      </c>
      <c r="P131" s="160">
        <f>ОИ2!P6</f>
        <v>0</v>
      </c>
      <c r="Q131" s="160">
        <f>ОИ2!Q6</f>
        <v>0</v>
      </c>
      <c r="R131" s="160">
        <f>ОИ2!R6</f>
        <v>0.17681925268044418</v>
      </c>
    </row>
    <row r="132" spans="1:18" ht="15.75" x14ac:dyDescent="0.25">
      <c r="A132" s="84">
        <v>6</v>
      </c>
      <c r="B132" s="84" t="s">
        <v>6</v>
      </c>
      <c r="C132" s="160" t="e">
        <f>ОИ2!C7</f>
        <v>#REF!</v>
      </c>
      <c r="D132" s="160" t="e">
        <f>ОИ2!D7</f>
        <v>#REF!</v>
      </c>
      <c r="E132" s="160">
        <f>ОИ2!E7</f>
        <v>0</v>
      </c>
      <c r="F132" s="160">
        <f>ОИ2!F7</f>
        <v>0</v>
      </c>
      <c r="G132" s="160">
        <f>ОИ2!G7</f>
        <v>0</v>
      </c>
      <c r="H132" s="160">
        <f>ОИ2!H7</f>
        <v>0</v>
      </c>
      <c r="I132" s="160">
        <f>ОИ2!I7</f>
        <v>0</v>
      </c>
      <c r="J132" s="160">
        <f>ОИ2!J7</f>
        <v>0</v>
      </c>
      <c r="K132" s="160">
        <f>ОИ2!K7</f>
        <v>0</v>
      </c>
      <c r="L132" s="160">
        <f>ОИ2!L7</f>
        <v>0</v>
      </c>
      <c r="M132" s="160">
        <f>ОИ2!M7</f>
        <v>0</v>
      </c>
      <c r="N132" s="160">
        <f>ОИ2!N7</f>
        <v>0</v>
      </c>
      <c r="O132" s="160">
        <f>ОИ2!O7</f>
        <v>0</v>
      </c>
      <c r="P132" s="160">
        <f>ОИ2!P7</f>
        <v>0</v>
      </c>
      <c r="Q132" s="160">
        <f>ОИ2!Q7</f>
        <v>0</v>
      </c>
      <c r="R132" s="160">
        <f>ОИ2!R7</f>
        <v>0.1385419561741594</v>
      </c>
    </row>
    <row r="133" spans="1:18" ht="15.75" x14ac:dyDescent="0.25">
      <c r="A133" s="84">
        <v>7</v>
      </c>
      <c r="B133" s="84" t="s">
        <v>7</v>
      </c>
      <c r="C133" s="160" t="e">
        <f>ОИ2!C8</f>
        <v>#REF!</v>
      </c>
      <c r="D133" s="160" t="e">
        <f>ОИ2!D8</f>
        <v>#REF!</v>
      </c>
      <c r="E133" s="160">
        <f>ОИ2!E8</f>
        <v>0</v>
      </c>
      <c r="F133" s="160">
        <f>ОИ2!F8</f>
        <v>0</v>
      </c>
      <c r="G133" s="160">
        <f>ОИ2!G8</f>
        <v>0</v>
      </c>
      <c r="H133" s="160">
        <f>ОИ2!H8</f>
        <v>0</v>
      </c>
      <c r="I133" s="160">
        <f>ОИ2!I8</f>
        <v>0</v>
      </c>
      <c r="J133" s="160">
        <f>ОИ2!J8</f>
        <v>0</v>
      </c>
      <c r="K133" s="160">
        <f>ОИ2!K8</f>
        <v>0</v>
      </c>
      <c r="L133" s="160">
        <f>ОИ2!L8</f>
        <v>0</v>
      </c>
      <c r="M133" s="160">
        <f>ОИ2!M8</f>
        <v>0</v>
      </c>
      <c r="N133" s="160">
        <f>ОИ2!N8</f>
        <v>0</v>
      </c>
      <c r="O133" s="160">
        <f>ОИ2!O8</f>
        <v>0</v>
      </c>
      <c r="P133" s="160">
        <f>ОИ2!P8</f>
        <v>0</v>
      </c>
      <c r="Q133" s="160">
        <f>ОИ2!Q8</f>
        <v>0</v>
      </c>
      <c r="R133" s="160">
        <f>ОИ2!R8</f>
        <v>5.6761712161970533E-2</v>
      </c>
    </row>
    <row r="134" spans="1:18" ht="15.75" x14ac:dyDescent="0.25">
      <c r="A134" s="84">
        <v>8</v>
      </c>
      <c r="B134" s="84" t="s">
        <v>8</v>
      </c>
      <c r="C134" s="160" t="e">
        <f>ОИ2!C9</f>
        <v>#REF!</v>
      </c>
      <c r="D134" s="160" t="e">
        <f>ОИ2!D9</f>
        <v>#REF!</v>
      </c>
      <c r="E134" s="160">
        <f>ОИ2!E9</f>
        <v>0</v>
      </c>
      <c r="F134" s="160">
        <f>ОИ2!F9</f>
        <v>0</v>
      </c>
      <c r="G134" s="160">
        <f>ОИ2!G9</f>
        <v>0</v>
      </c>
      <c r="H134" s="160">
        <f>ОИ2!H9</f>
        <v>0</v>
      </c>
      <c r="I134" s="160">
        <f>ОИ2!I9</f>
        <v>0</v>
      </c>
      <c r="J134" s="160">
        <f>ОИ2!J9</f>
        <v>0</v>
      </c>
      <c r="K134" s="160">
        <f>ОИ2!K9</f>
        <v>0</v>
      </c>
      <c r="L134" s="160">
        <f>ОИ2!L9</f>
        <v>0</v>
      </c>
      <c r="M134" s="160">
        <f>ОИ2!M9</f>
        <v>0</v>
      </c>
      <c r="N134" s="160">
        <f>ОИ2!N9</f>
        <v>0</v>
      </c>
      <c r="O134" s="160">
        <f>ОИ2!O9</f>
        <v>0</v>
      </c>
      <c r="P134" s="160">
        <f>ОИ2!P9</f>
        <v>0</v>
      </c>
      <c r="Q134" s="160">
        <f>ОИ2!Q9</f>
        <v>0</v>
      </c>
      <c r="R134" s="160">
        <f>ОИ2!R9</f>
        <v>8.6671991474946308E-2</v>
      </c>
    </row>
    <row r="135" spans="1:18" ht="15.75" x14ac:dyDescent="0.25">
      <c r="A135" s="84">
        <v>9</v>
      </c>
      <c r="B135" s="84" t="s">
        <v>9</v>
      </c>
      <c r="C135" s="160" t="e">
        <f>ОИ2!C10</f>
        <v>#REF!</v>
      </c>
      <c r="D135" s="160" t="e">
        <f>ОИ2!D10</f>
        <v>#REF!</v>
      </c>
      <c r="E135" s="160">
        <f>ОИ2!E10</f>
        <v>0</v>
      </c>
      <c r="F135" s="160">
        <f>ОИ2!F10</f>
        <v>0</v>
      </c>
      <c r="G135" s="160">
        <f>ОИ2!G10</f>
        <v>0</v>
      </c>
      <c r="H135" s="160">
        <f>ОИ2!H10</f>
        <v>0</v>
      </c>
      <c r="I135" s="160">
        <f>ОИ2!I10</f>
        <v>0</v>
      </c>
      <c r="J135" s="160">
        <f>ОИ2!J10</f>
        <v>0</v>
      </c>
      <c r="K135" s="160">
        <f>ОИ2!K10</f>
        <v>0</v>
      </c>
      <c r="L135" s="160">
        <f>ОИ2!L10</f>
        <v>0</v>
      </c>
      <c r="M135" s="160">
        <f>ОИ2!M10</f>
        <v>0</v>
      </c>
      <c r="N135" s="160">
        <f>ОИ2!N10</f>
        <v>0</v>
      </c>
      <c r="O135" s="160">
        <f>ОИ2!O10</f>
        <v>0</v>
      </c>
      <c r="P135" s="160">
        <f>ОИ2!P10</f>
        <v>0</v>
      </c>
      <c r="Q135" s="160">
        <f>ОИ2!Q10</f>
        <v>0</v>
      </c>
      <c r="R135" s="160">
        <f>ОИ2!R10</f>
        <v>0.35014052241400795</v>
      </c>
    </row>
    <row r="136" spans="1:18" ht="15.75" x14ac:dyDescent="0.25">
      <c r="A136" s="84">
        <v>10</v>
      </c>
      <c r="B136" s="84" t="s">
        <v>10</v>
      </c>
      <c r="C136" s="160" t="e">
        <f>ОИ2!C11</f>
        <v>#REF!</v>
      </c>
      <c r="D136" s="160" t="e">
        <f>ОИ2!D11</f>
        <v>#REF!</v>
      </c>
      <c r="E136" s="160">
        <f>ОИ2!E11</f>
        <v>0</v>
      </c>
      <c r="F136" s="160">
        <f>ОИ2!F11</f>
        <v>0</v>
      </c>
      <c r="G136" s="160">
        <f>ОИ2!G11</f>
        <v>0</v>
      </c>
      <c r="H136" s="160">
        <f>ОИ2!H11</f>
        <v>0</v>
      </c>
      <c r="I136" s="160">
        <f>ОИ2!I11</f>
        <v>0</v>
      </c>
      <c r="J136" s="160">
        <f>ОИ2!J11</f>
        <v>0</v>
      </c>
      <c r="K136" s="160">
        <f>ОИ2!K11</f>
        <v>0</v>
      </c>
      <c r="L136" s="160">
        <f>ОИ2!L11</f>
        <v>0</v>
      </c>
      <c r="M136" s="160">
        <f>ОИ2!M11</f>
        <v>0</v>
      </c>
      <c r="N136" s="160">
        <f>ОИ2!N11</f>
        <v>0</v>
      </c>
      <c r="O136" s="160">
        <f>ОИ2!O11</f>
        <v>0</v>
      </c>
      <c r="P136" s="160">
        <f>ОИ2!P11</f>
        <v>0</v>
      </c>
      <c r="Q136" s="160">
        <f>ОИ2!Q11</f>
        <v>0</v>
      </c>
      <c r="R136" s="160">
        <f>ОИ2!R11</f>
        <v>0.35702107000709038</v>
      </c>
    </row>
    <row r="137" spans="1:18" ht="15.75" x14ac:dyDescent="0.25">
      <c r="A137" s="84">
        <v>11</v>
      </c>
      <c r="B137" s="84" t="s">
        <v>11</v>
      </c>
      <c r="C137" s="160" t="e">
        <f>ОИ2!C12</f>
        <v>#REF!</v>
      </c>
      <c r="D137" s="160" t="e">
        <f>ОИ2!D12</f>
        <v>#REF!</v>
      </c>
      <c r="E137" s="160">
        <f>ОИ2!E12</f>
        <v>0</v>
      </c>
      <c r="F137" s="160">
        <f>ОИ2!F12</f>
        <v>0</v>
      </c>
      <c r="G137" s="160">
        <f>ОИ2!G12</f>
        <v>0</v>
      </c>
      <c r="H137" s="160">
        <f>ОИ2!H12</f>
        <v>0</v>
      </c>
      <c r="I137" s="160">
        <f>ОИ2!I12</f>
        <v>0</v>
      </c>
      <c r="J137" s="160">
        <f>ОИ2!J12</f>
        <v>0</v>
      </c>
      <c r="K137" s="160">
        <f>ОИ2!K12</f>
        <v>0</v>
      </c>
      <c r="L137" s="160">
        <f>ОИ2!L12</f>
        <v>0</v>
      </c>
      <c r="M137" s="160">
        <f>ОИ2!M12</f>
        <v>0</v>
      </c>
      <c r="N137" s="160">
        <f>ОИ2!N12</f>
        <v>0</v>
      </c>
      <c r="O137" s="160">
        <f>ОИ2!O12</f>
        <v>0</v>
      </c>
      <c r="P137" s="160">
        <f>ОИ2!P12</f>
        <v>0</v>
      </c>
      <c r="Q137" s="160">
        <f>ОИ2!Q12</f>
        <v>0</v>
      </c>
      <c r="R137" s="160">
        <f>ОИ2!R12</f>
        <v>0.15184017378346321</v>
      </c>
    </row>
    <row r="138" spans="1:18" ht="15.75" x14ac:dyDescent="0.25">
      <c r="A138" s="84">
        <v>12</v>
      </c>
      <c r="B138" s="84" t="s">
        <v>12</v>
      </c>
      <c r="C138" s="160" t="e">
        <f>ОИ2!C13</f>
        <v>#REF!</v>
      </c>
      <c r="D138" s="160" t="e">
        <f>ОИ2!D13</f>
        <v>#REF!</v>
      </c>
      <c r="E138" s="160">
        <f>ОИ2!E13</f>
        <v>0</v>
      </c>
      <c r="F138" s="160">
        <f>ОИ2!F13</f>
        <v>0</v>
      </c>
      <c r="G138" s="160">
        <f>ОИ2!G13</f>
        <v>0</v>
      </c>
      <c r="H138" s="160">
        <f>ОИ2!H13</f>
        <v>0</v>
      </c>
      <c r="I138" s="160">
        <f>ОИ2!I13</f>
        <v>0</v>
      </c>
      <c r="J138" s="160">
        <f>ОИ2!J13</f>
        <v>0</v>
      </c>
      <c r="K138" s="160">
        <f>ОИ2!K13</f>
        <v>0</v>
      </c>
      <c r="L138" s="160">
        <f>ОИ2!L13</f>
        <v>0</v>
      </c>
      <c r="M138" s="160">
        <f>ОИ2!M13</f>
        <v>0</v>
      </c>
      <c r="N138" s="160">
        <f>ОИ2!N13</f>
        <v>0</v>
      </c>
      <c r="O138" s="160">
        <f>ОИ2!O13</f>
        <v>0</v>
      </c>
      <c r="P138" s="160">
        <f>ОИ2!P13</f>
        <v>0</v>
      </c>
      <c r="Q138" s="160">
        <f>ОИ2!Q13</f>
        <v>0</v>
      </c>
      <c r="R138" s="160">
        <f>ОИ2!R13</f>
        <v>0.15719122786908793</v>
      </c>
    </row>
    <row r="139" spans="1:18" ht="15.75" x14ac:dyDescent="0.25">
      <c r="A139" s="84">
        <v>13</v>
      </c>
      <c r="B139" s="84" t="s">
        <v>13</v>
      </c>
      <c r="C139" s="160" t="e">
        <f>ОИ2!C14</f>
        <v>#REF!</v>
      </c>
      <c r="D139" s="160" t="e">
        <f>ОИ2!D14</f>
        <v>#REF!</v>
      </c>
      <c r="E139" s="160">
        <f>ОИ2!E14</f>
        <v>0</v>
      </c>
      <c r="F139" s="160">
        <f>ОИ2!F14</f>
        <v>0</v>
      </c>
      <c r="G139" s="160">
        <f>ОИ2!G14</f>
        <v>0</v>
      </c>
      <c r="H139" s="160">
        <f>ОИ2!H14</f>
        <v>0</v>
      </c>
      <c r="I139" s="160">
        <f>ОИ2!I14</f>
        <v>0</v>
      </c>
      <c r="J139" s="160">
        <f>ОИ2!J14</f>
        <v>0</v>
      </c>
      <c r="K139" s="160">
        <f>ОИ2!K14</f>
        <v>0</v>
      </c>
      <c r="L139" s="160">
        <f>ОИ2!L14</f>
        <v>0</v>
      </c>
      <c r="M139" s="160">
        <f>ОИ2!M14</f>
        <v>0</v>
      </c>
      <c r="N139" s="160">
        <f>ОИ2!N14</f>
        <v>0</v>
      </c>
      <c r="O139" s="160">
        <f>ОИ2!O14</f>
        <v>0</v>
      </c>
      <c r="P139" s="160">
        <f>ОИ2!P14</f>
        <v>0</v>
      </c>
      <c r="Q139" s="160">
        <f>ОИ2!Q14</f>
        <v>0</v>
      </c>
      <c r="R139" s="160">
        <f>ОИ2!R14</f>
        <v>0.10437625815966949</v>
      </c>
    </row>
    <row r="140" spans="1:18" ht="15.75" x14ac:dyDescent="0.25">
      <c r="A140" s="84">
        <v>14</v>
      </c>
      <c r="B140" s="84" t="s">
        <v>14</v>
      </c>
      <c r="C140" s="160" t="e">
        <f>ОИ2!C15</f>
        <v>#REF!</v>
      </c>
      <c r="D140" s="160" t="e">
        <f>ОИ2!D15</f>
        <v>#REF!</v>
      </c>
      <c r="E140" s="160">
        <f>ОИ2!E15</f>
        <v>0</v>
      </c>
      <c r="F140" s="160">
        <f>ОИ2!F15</f>
        <v>0</v>
      </c>
      <c r="G140" s="160">
        <f>ОИ2!G15</f>
        <v>0</v>
      </c>
      <c r="H140" s="160">
        <f>ОИ2!H15</f>
        <v>0</v>
      </c>
      <c r="I140" s="160">
        <f>ОИ2!I15</f>
        <v>0</v>
      </c>
      <c r="J140" s="160">
        <f>ОИ2!J15</f>
        <v>0</v>
      </c>
      <c r="K140" s="160">
        <f>ОИ2!K15</f>
        <v>0</v>
      </c>
      <c r="L140" s="160">
        <f>ОИ2!L15</f>
        <v>0</v>
      </c>
      <c r="M140" s="160">
        <f>ОИ2!M15</f>
        <v>0</v>
      </c>
      <c r="N140" s="160">
        <f>ОИ2!N15</f>
        <v>0</v>
      </c>
      <c r="O140" s="160">
        <f>ОИ2!O15</f>
        <v>0</v>
      </c>
      <c r="P140" s="160">
        <f>ОИ2!P15</f>
        <v>0</v>
      </c>
      <c r="Q140" s="160">
        <f>ОИ2!Q15</f>
        <v>0</v>
      </c>
      <c r="R140" s="160">
        <f>ОИ2!R15</f>
        <v>0.18694536111558804</v>
      </c>
    </row>
    <row r="141" spans="1:18" ht="15.75" x14ac:dyDescent="0.25">
      <c r="A141" s="84">
        <v>15</v>
      </c>
      <c r="B141" s="84" t="s">
        <v>15</v>
      </c>
      <c r="C141" s="160" t="e">
        <f>ОИ2!C16</f>
        <v>#REF!</v>
      </c>
      <c r="D141" s="160" t="e">
        <f>ОИ2!D16</f>
        <v>#REF!</v>
      </c>
      <c r="E141" s="160">
        <f>ОИ2!E16</f>
        <v>0</v>
      </c>
      <c r="F141" s="160">
        <f>ОИ2!F16</f>
        <v>0</v>
      </c>
      <c r="G141" s="160">
        <f>ОИ2!G16</f>
        <v>0</v>
      </c>
      <c r="H141" s="160">
        <f>ОИ2!H16</f>
        <v>0</v>
      </c>
      <c r="I141" s="160">
        <f>ОИ2!I16</f>
        <v>0</v>
      </c>
      <c r="J141" s="160">
        <f>ОИ2!J16</f>
        <v>0</v>
      </c>
      <c r="K141" s="160">
        <f>ОИ2!K16</f>
        <v>0</v>
      </c>
      <c r="L141" s="160">
        <f>ОИ2!L16</f>
        <v>0</v>
      </c>
      <c r="M141" s="160">
        <f>ОИ2!M16</f>
        <v>0</v>
      </c>
      <c r="N141" s="160">
        <f>ОИ2!N16</f>
        <v>0</v>
      </c>
      <c r="O141" s="160">
        <f>ОИ2!O16</f>
        <v>0</v>
      </c>
      <c r="P141" s="160">
        <f>ОИ2!P16</f>
        <v>0</v>
      </c>
      <c r="Q141" s="160">
        <f>ОИ2!Q16</f>
        <v>0</v>
      </c>
      <c r="R141" s="160">
        <f>ОИ2!R16</f>
        <v>0.22573983853582535</v>
      </c>
    </row>
    <row r="142" spans="1:18" ht="15.75" x14ac:dyDescent="0.25">
      <c r="A142" s="84">
        <v>16</v>
      </c>
      <c r="B142" s="84" t="s">
        <v>16</v>
      </c>
      <c r="C142" s="160" t="e">
        <f>ОИ2!C17</f>
        <v>#REF!</v>
      </c>
      <c r="D142" s="160" t="e">
        <f>ОИ2!D17</f>
        <v>#REF!</v>
      </c>
      <c r="E142" s="160">
        <f>ОИ2!E17</f>
        <v>0</v>
      </c>
      <c r="F142" s="160">
        <f>ОИ2!F17</f>
        <v>0</v>
      </c>
      <c r="G142" s="160">
        <f>ОИ2!G17</f>
        <v>0</v>
      </c>
      <c r="H142" s="160">
        <f>ОИ2!H17</f>
        <v>0</v>
      </c>
      <c r="I142" s="160">
        <f>ОИ2!I17</f>
        <v>0</v>
      </c>
      <c r="J142" s="160">
        <f>ОИ2!J17</f>
        <v>0</v>
      </c>
      <c r="K142" s="160">
        <f>ОИ2!K17</f>
        <v>0</v>
      </c>
      <c r="L142" s="160">
        <f>ОИ2!L17</f>
        <v>0</v>
      </c>
      <c r="M142" s="160">
        <f>ОИ2!M17</f>
        <v>0</v>
      </c>
      <c r="N142" s="160">
        <f>ОИ2!N17</f>
        <v>0</v>
      </c>
      <c r="O142" s="160">
        <f>ОИ2!O17</f>
        <v>0</v>
      </c>
      <c r="P142" s="160">
        <f>ОИ2!P17</f>
        <v>0</v>
      </c>
      <c r="Q142" s="160">
        <f>ОИ2!Q17</f>
        <v>0</v>
      </c>
      <c r="R142" s="160">
        <f>ОИ2!R17</f>
        <v>0.4258444189417836</v>
      </c>
    </row>
    <row r="143" spans="1:18" ht="15.75" x14ac:dyDescent="0.25">
      <c r="A143" s="84">
        <v>17</v>
      </c>
      <c r="B143" s="84" t="s">
        <v>17</v>
      </c>
      <c r="C143" s="160" t="e">
        <f>ОИ2!C18</f>
        <v>#REF!</v>
      </c>
      <c r="D143" s="160" t="e">
        <f>ОИ2!D18</f>
        <v>#REF!</v>
      </c>
      <c r="E143" s="160">
        <f>ОИ2!E18</f>
        <v>0</v>
      </c>
      <c r="F143" s="160">
        <f>ОИ2!F18</f>
        <v>0</v>
      </c>
      <c r="G143" s="160">
        <f>ОИ2!G18</f>
        <v>0</v>
      </c>
      <c r="H143" s="160">
        <f>ОИ2!H18</f>
        <v>0</v>
      </c>
      <c r="I143" s="160">
        <f>ОИ2!I18</f>
        <v>0</v>
      </c>
      <c r="J143" s="160">
        <f>ОИ2!J18</f>
        <v>0</v>
      </c>
      <c r="K143" s="160">
        <f>ОИ2!K18</f>
        <v>0</v>
      </c>
      <c r="L143" s="160">
        <f>ОИ2!L18</f>
        <v>0</v>
      </c>
      <c r="M143" s="160">
        <f>ОИ2!M18</f>
        <v>0</v>
      </c>
      <c r="N143" s="160">
        <f>ОИ2!N18</f>
        <v>0</v>
      </c>
      <c r="O143" s="160">
        <f>ОИ2!O18</f>
        <v>0</v>
      </c>
      <c r="P143" s="160">
        <f>ОИ2!P18</f>
        <v>0</v>
      </c>
      <c r="Q143" s="160">
        <f>ОИ2!Q18</f>
        <v>0</v>
      </c>
      <c r="R143" s="160">
        <f>ОИ2!R18</f>
        <v>0.20292018322393091</v>
      </c>
    </row>
    <row r="144" spans="1:18" ht="15.75" x14ac:dyDescent="0.25">
      <c r="A144" s="84">
        <v>18</v>
      </c>
      <c r="B144" s="84" t="s">
        <v>18</v>
      </c>
      <c r="C144" s="160" t="e">
        <f>ОИ2!C19</f>
        <v>#REF!</v>
      </c>
      <c r="D144" s="160" t="e">
        <f>ОИ2!D19</f>
        <v>#REF!</v>
      </c>
      <c r="E144" s="160">
        <f>ОИ2!E19</f>
        <v>0</v>
      </c>
      <c r="F144" s="160">
        <f>ОИ2!F19</f>
        <v>0</v>
      </c>
      <c r="G144" s="160">
        <f>ОИ2!G19</f>
        <v>0</v>
      </c>
      <c r="H144" s="160">
        <f>ОИ2!H19</f>
        <v>0</v>
      </c>
      <c r="I144" s="160">
        <f>ОИ2!I19</f>
        <v>0</v>
      </c>
      <c r="J144" s="160">
        <f>ОИ2!J19</f>
        <v>0</v>
      </c>
      <c r="K144" s="160">
        <f>ОИ2!K19</f>
        <v>0</v>
      </c>
      <c r="L144" s="160">
        <f>ОИ2!L19</f>
        <v>0</v>
      </c>
      <c r="M144" s="160">
        <f>ОИ2!M19</f>
        <v>0</v>
      </c>
      <c r="N144" s="160">
        <f>ОИ2!N19</f>
        <v>0</v>
      </c>
      <c r="O144" s="160">
        <f>ОИ2!O19</f>
        <v>0</v>
      </c>
      <c r="P144" s="160">
        <f>ОИ2!P19</f>
        <v>0</v>
      </c>
      <c r="Q144" s="160">
        <f>ОИ2!Q19</f>
        <v>0</v>
      </c>
      <c r="R144" s="160">
        <f>ОИ2!R19</f>
        <v>0.2948675894730593</v>
      </c>
    </row>
    <row r="151" ht="27" customHeight="1" x14ac:dyDescent="0.25"/>
    <row r="154" ht="32.25" customHeight="1" x14ac:dyDescent="0.25"/>
    <row r="157" ht="25.5" customHeight="1" x14ac:dyDescent="0.25"/>
    <row r="159" ht="21.75" customHeight="1" x14ac:dyDescent="0.25"/>
    <row r="161" spans="1:18" ht="24.75" customHeight="1" x14ac:dyDescent="0.25"/>
    <row r="163" spans="1:18" ht="23.25" customHeight="1" x14ac:dyDescent="0.25"/>
    <row r="166" spans="1:18" ht="15.75" x14ac:dyDescent="0.25">
      <c r="A166" s="84" t="s">
        <v>0</v>
      </c>
      <c r="B166" s="84"/>
      <c r="C166" s="84">
        <v>2005</v>
      </c>
      <c r="D166" s="84">
        <v>2006</v>
      </c>
      <c r="E166" s="84">
        <v>2007</v>
      </c>
      <c r="F166" s="84">
        <v>2008</v>
      </c>
      <c r="G166" s="84">
        <v>2009</v>
      </c>
      <c r="H166" s="84">
        <v>2010</v>
      </c>
      <c r="I166" s="84">
        <v>2011</v>
      </c>
      <c r="J166" s="84">
        <v>2012</v>
      </c>
      <c r="K166" s="84">
        <v>2013</v>
      </c>
      <c r="L166" s="84">
        <v>2014</v>
      </c>
      <c r="M166" s="84">
        <v>2015</v>
      </c>
      <c r="N166" s="84">
        <v>2016</v>
      </c>
      <c r="O166" s="84">
        <v>2017</v>
      </c>
      <c r="P166" s="84">
        <v>2018</v>
      </c>
      <c r="Q166" s="84">
        <v>2019</v>
      </c>
      <c r="R166" s="84">
        <v>2020</v>
      </c>
    </row>
    <row r="167" spans="1:18" ht="15.75" x14ac:dyDescent="0.25">
      <c r="A167" s="84">
        <v>1</v>
      </c>
      <c r="B167" s="84" t="s">
        <v>1</v>
      </c>
      <c r="C167" s="160" t="e">
        <f>ОИ3!C2</f>
        <v>#REF!</v>
      </c>
      <c r="D167" s="160" t="e">
        <f>ОИ3!D2</f>
        <v>#REF!</v>
      </c>
      <c r="E167" s="160">
        <f>ОИ3!E2</f>
        <v>0</v>
      </c>
      <c r="F167" s="160">
        <f>ОИ3!F2</f>
        <v>0</v>
      </c>
      <c r="G167" s="160">
        <f>ОИ3!G2</f>
        <v>0</v>
      </c>
      <c r="H167" s="160">
        <f>ОИ3!H2</f>
        <v>0</v>
      </c>
      <c r="I167" s="160">
        <f>ОИ3!I2</f>
        <v>0</v>
      </c>
      <c r="J167" s="160">
        <f>ОИ3!J2</f>
        <v>0</v>
      </c>
      <c r="K167" s="160">
        <f>ОИ3!K2</f>
        <v>0</v>
      </c>
      <c r="L167" s="160">
        <f>ОИ3!L2</f>
        <v>0</v>
      </c>
      <c r="M167" s="160">
        <f>ОИ3!M2</f>
        <v>0</v>
      </c>
      <c r="N167" s="160">
        <f>ОИ3!N2</f>
        <v>0</v>
      </c>
      <c r="O167" s="160">
        <f>ОИ3!O2</f>
        <v>0</v>
      </c>
      <c r="P167" s="160">
        <f>ОИ3!P2</f>
        <v>0</v>
      </c>
      <c r="Q167" s="160">
        <f>ОИ3!Q2</f>
        <v>0</v>
      </c>
      <c r="R167" s="160">
        <f>ОИ3!R2</f>
        <v>0.4147416306996492</v>
      </c>
    </row>
    <row r="168" spans="1:18" ht="15.75" x14ac:dyDescent="0.25">
      <c r="A168" s="84">
        <v>2</v>
      </c>
      <c r="B168" s="84" t="s">
        <v>2</v>
      </c>
      <c r="C168" s="160" t="e">
        <f>ОИ3!C3</f>
        <v>#REF!</v>
      </c>
      <c r="D168" s="160" t="e">
        <f>ОИ3!D3</f>
        <v>#REF!</v>
      </c>
      <c r="E168" s="160">
        <f>ОИ3!E3</f>
        <v>0</v>
      </c>
      <c r="F168" s="160">
        <f>ОИ3!F3</f>
        <v>0</v>
      </c>
      <c r="G168" s="160">
        <f>ОИ3!G3</f>
        <v>0</v>
      </c>
      <c r="H168" s="160">
        <f>ОИ3!H3</f>
        <v>0</v>
      </c>
      <c r="I168" s="160">
        <f>ОИ3!I3</f>
        <v>0</v>
      </c>
      <c r="J168" s="160">
        <f>ОИ3!J3</f>
        <v>0</v>
      </c>
      <c r="K168" s="160">
        <f>ОИ3!K3</f>
        <v>0</v>
      </c>
      <c r="L168" s="160">
        <f>ОИ3!L3</f>
        <v>0</v>
      </c>
      <c r="M168" s="160">
        <f>ОИ3!M3</f>
        <v>0</v>
      </c>
      <c r="N168" s="160">
        <f>ОИ3!N3</f>
        <v>0</v>
      </c>
      <c r="O168" s="160">
        <f>ОИ3!O3</f>
        <v>0</v>
      </c>
      <c r="P168" s="160">
        <f>ОИ3!P3</f>
        <v>0</v>
      </c>
      <c r="Q168" s="160">
        <f>ОИ3!Q3</f>
        <v>0</v>
      </c>
      <c r="R168" s="160">
        <f>ОИ3!R3</f>
        <v>0.40231894118776373</v>
      </c>
    </row>
    <row r="169" spans="1:18" ht="15.75" x14ac:dyDescent="0.25">
      <c r="A169" s="84">
        <v>3</v>
      </c>
      <c r="B169" s="84" t="s">
        <v>3</v>
      </c>
      <c r="C169" s="160" t="e">
        <f>ОИ3!C4</f>
        <v>#REF!</v>
      </c>
      <c r="D169" s="160" t="e">
        <f>ОИ3!D4</f>
        <v>#REF!</v>
      </c>
      <c r="E169" s="160">
        <f>ОИ3!E4</f>
        <v>0</v>
      </c>
      <c r="F169" s="160">
        <f>ОИ3!F4</f>
        <v>0</v>
      </c>
      <c r="G169" s="160">
        <f>ОИ3!G4</f>
        <v>0</v>
      </c>
      <c r="H169" s="160">
        <f>ОИ3!H4</f>
        <v>0</v>
      </c>
      <c r="I169" s="160">
        <f>ОИ3!I4</f>
        <v>0</v>
      </c>
      <c r="J169" s="160">
        <f>ОИ3!J4</f>
        <v>0</v>
      </c>
      <c r="K169" s="160">
        <f>ОИ3!K4</f>
        <v>0</v>
      </c>
      <c r="L169" s="160">
        <f>ОИ3!L4</f>
        <v>0</v>
      </c>
      <c r="M169" s="160">
        <f>ОИ3!M4</f>
        <v>0</v>
      </c>
      <c r="N169" s="160">
        <f>ОИ3!N4</f>
        <v>0</v>
      </c>
      <c r="O169" s="160">
        <f>ОИ3!O4</f>
        <v>0</v>
      </c>
      <c r="P169" s="160">
        <f>ОИ3!P4</f>
        <v>0</v>
      </c>
      <c r="Q169" s="160">
        <f>ОИ3!Q4</f>
        <v>0</v>
      </c>
      <c r="R169" s="160">
        <f>ОИ3!R4</f>
        <v>0.38194266727927345</v>
      </c>
    </row>
    <row r="170" spans="1:18" ht="15.75" x14ac:dyDescent="0.25">
      <c r="A170" s="84">
        <v>4</v>
      </c>
      <c r="B170" s="84" t="s">
        <v>4</v>
      </c>
      <c r="C170" s="160" t="e">
        <f>ОИ3!C5</f>
        <v>#REF!</v>
      </c>
      <c r="D170" s="160" t="e">
        <f>ОИ3!D5</f>
        <v>#REF!</v>
      </c>
      <c r="E170" s="160">
        <f>ОИ3!E5</f>
        <v>0</v>
      </c>
      <c r="F170" s="160">
        <f>ОИ3!F5</f>
        <v>0</v>
      </c>
      <c r="G170" s="160">
        <f>ОИ3!G5</f>
        <v>0</v>
      </c>
      <c r="H170" s="160">
        <f>ОИ3!H5</f>
        <v>0</v>
      </c>
      <c r="I170" s="160">
        <f>ОИ3!I5</f>
        <v>0</v>
      </c>
      <c r="J170" s="160">
        <f>ОИ3!J5</f>
        <v>0</v>
      </c>
      <c r="K170" s="160">
        <f>ОИ3!K5</f>
        <v>0</v>
      </c>
      <c r="L170" s="160">
        <f>ОИ3!L5</f>
        <v>0</v>
      </c>
      <c r="M170" s="160">
        <f>ОИ3!M5</f>
        <v>0</v>
      </c>
      <c r="N170" s="160">
        <f>ОИ3!N5</f>
        <v>0</v>
      </c>
      <c r="O170" s="160">
        <f>ОИ3!O5</f>
        <v>0</v>
      </c>
      <c r="P170" s="160">
        <f>ОИ3!P5</f>
        <v>0</v>
      </c>
      <c r="Q170" s="160">
        <f>ОИ3!Q5</f>
        <v>0</v>
      </c>
      <c r="R170" s="160">
        <f>ОИ3!R5</f>
        <v>0.41655715136526889</v>
      </c>
    </row>
    <row r="171" spans="1:18" ht="15.75" x14ac:dyDescent="0.25">
      <c r="A171" s="84">
        <v>5</v>
      </c>
      <c r="B171" s="84" t="s">
        <v>5</v>
      </c>
      <c r="C171" s="160" t="e">
        <f>ОИ3!C6</f>
        <v>#REF!</v>
      </c>
      <c r="D171" s="160" t="e">
        <f>ОИ3!D6</f>
        <v>#REF!</v>
      </c>
      <c r="E171" s="160">
        <f>ОИ3!E6</f>
        <v>0</v>
      </c>
      <c r="F171" s="160">
        <f>ОИ3!F6</f>
        <v>0</v>
      </c>
      <c r="G171" s="160">
        <f>ОИ3!G6</f>
        <v>0</v>
      </c>
      <c r="H171" s="160">
        <f>ОИ3!H6</f>
        <v>0</v>
      </c>
      <c r="I171" s="160">
        <f>ОИ3!I6</f>
        <v>0</v>
      </c>
      <c r="J171" s="160">
        <f>ОИ3!J6</f>
        <v>0</v>
      </c>
      <c r="K171" s="160">
        <f>ОИ3!K6</f>
        <v>0</v>
      </c>
      <c r="L171" s="160">
        <f>ОИ3!L6</f>
        <v>0</v>
      </c>
      <c r="M171" s="160">
        <f>ОИ3!M6</f>
        <v>0</v>
      </c>
      <c r="N171" s="160">
        <f>ОИ3!N6</f>
        <v>0</v>
      </c>
      <c r="O171" s="160">
        <f>ОИ3!O6</f>
        <v>0</v>
      </c>
      <c r="P171" s="160">
        <f>ОИ3!P6</f>
        <v>0</v>
      </c>
      <c r="Q171" s="160">
        <f>ОИ3!Q6</f>
        <v>0</v>
      </c>
      <c r="R171" s="160">
        <f>ОИ3!R6</f>
        <v>0.35904651470618482</v>
      </c>
    </row>
    <row r="172" spans="1:18" ht="15.75" x14ac:dyDescent="0.25">
      <c r="A172" s="84">
        <v>6</v>
      </c>
      <c r="B172" s="84" t="s">
        <v>6</v>
      </c>
      <c r="C172" s="160" t="e">
        <f>ОИ3!C7</f>
        <v>#REF!</v>
      </c>
      <c r="D172" s="160" t="e">
        <f>ОИ3!D7</f>
        <v>#REF!</v>
      </c>
      <c r="E172" s="160">
        <f>ОИ3!E7</f>
        <v>0</v>
      </c>
      <c r="F172" s="160">
        <f>ОИ3!F7</f>
        <v>0</v>
      </c>
      <c r="G172" s="160">
        <f>ОИ3!G7</f>
        <v>0</v>
      </c>
      <c r="H172" s="160">
        <f>ОИ3!H7</f>
        <v>0</v>
      </c>
      <c r="I172" s="160">
        <f>ОИ3!I7</f>
        <v>0</v>
      </c>
      <c r="J172" s="160">
        <f>ОИ3!J7</f>
        <v>0</v>
      </c>
      <c r="K172" s="160">
        <f>ОИ3!K7</f>
        <v>0</v>
      </c>
      <c r="L172" s="160">
        <f>ОИ3!L7</f>
        <v>0</v>
      </c>
      <c r="M172" s="160">
        <f>ОИ3!M7</f>
        <v>0</v>
      </c>
      <c r="N172" s="160">
        <f>ОИ3!N7</f>
        <v>0</v>
      </c>
      <c r="O172" s="160">
        <f>ОИ3!O7</f>
        <v>0</v>
      </c>
      <c r="P172" s="160">
        <f>ОИ3!P7</f>
        <v>0</v>
      </c>
      <c r="Q172" s="160">
        <f>ОИ3!Q7</f>
        <v>0</v>
      </c>
      <c r="R172" s="160">
        <f>ОИ3!R7</f>
        <v>0.4360968638113436</v>
      </c>
    </row>
    <row r="173" spans="1:18" ht="15.75" x14ac:dyDescent="0.25">
      <c r="A173" s="84">
        <v>7</v>
      </c>
      <c r="B173" s="84" t="s">
        <v>7</v>
      </c>
      <c r="C173" s="160" t="e">
        <f>ОИ3!C8</f>
        <v>#REF!</v>
      </c>
      <c r="D173" s="160" t="e">
        <f>ОИ3!D8</f>
        <v>#REF!</v>
      </c>
      <c r="E173" s="160">
        <f>ОИ3!E8</f>
        <v>0</v>
      </c>
      <c r="F173" s="160">
        <f>ОИ3!F8</f>
        <v>0</v>
      </c>
      <c r="G173" s="160">
        <f>ОИ3!G8</f>
        <v>0</v>
      </c>
      <c r="H173" s="160">
        <f>ОИ3!H8</f>
        <v>0</v>
      </c>
      <c r="I173" s="160">
        <f>ОИ3!I8</f>
        <v>0</v>
      </c>
      <c r="J173" s="160">
        <f>ОИ3!J8</f>
        <v>0</v>
      </c>
      <c r="K173" s="160">
        <f>ОИ3!K8</f>
        <v>0</v>
      </c>
      <c r="L173" s="160">
        <f>ОИ3!L8</f>
        <v>0</v>
      </c>
      <c r="M173" s="160">
        <f>ОИ3!M8</f>
        <v>0</v>
      </c>
      <c r="N173" s="160">
        <f>ОИ3!N8</f>
        <v>0</v>
      </c>
      <c r="O173" s="160">
        <f>ОИ3!O8</f>
        <v>0</v>
      </c>
      <c r="P173" s="160">
        <f>ОИ3!P8</f>
        <v>0</v>
      </c>
      <c r="Q173" s="160">
        <f>ОИ3!Q8</f>
        <v>0</v>
      </c>
      <c r="R173" s="160">
        <f>ОИ3!R8</f>
        <v>0.34127791101960431</v>
      </c>
    </row>
    <row r="174" spans="1:18" ht="15.75" x14ac:dyDescent="0.25">
      <c r="A174" s="84">
        <v>8</v>
      </c>
      <c r="B174" s="84" t="s">
        <v>8</v>
      </c>
      <c r="C174" s="160" t="e">
        <f>ОИ3!C9</f>
        <v>#REF!</v>
      </c>
      <c r="D174" s="160" t="e">
        <f>ОИ3!D9</f>
        <v>#REF!</v>
      </c>
      <c r="E174" s="160">
        <f>ОИ3!E9</f>
        <v>0</v>
      </c>
      <c r="F174" s="160">
        <f>ОИ3!F9</f>
        <v>0</v>
      </c>
      <c r="G174" s="160">
        <f>ОИ3!G9</f>
        <v>0</v>
      </c>
      <c r="H174" s="160">
        <f>ОИ3!H9</f>
        <v>0</v>
      </c>
      <c r="I174" s="160">
        <f>ОИ3!I9</f>
        <v>0</v>
      </c>
      <c r="J174" s="160">
        <f>ОИ3!J9</f>
        <v>0</v>
      </c>
      <c r="K174" s="160">
        <f>ОИ3!K9</f>
        <v>0</v>
      </c>
      <c r="L174" s="160">
        <f>ОИ3!L9</f>
        <v>0</v>
      </c>
      <c r="M174" s="160">
        <f>ОИ3!M9</f>
        <v>0</v>
      </c>
      <c r="N174" s="160">
        <f>ОИ3!N9</f>
        <v>0</v>
      </c>
      <c r="O174" s="160">
        <f>ОИ3!O9</f>
        <v>0</v>
      </c>
      <c r="P174" s="160">
        <f>ОИ3!P9</f>
        <v>0</v>
      </c>
      <c r="Q174" s="160">
        <f>ОИ3!Q9</f>
        <v>0</v>
      </c>
      <c r="R174" s="160">
        <f>ОИ3!R9</f>
        <v>0.36861978583174509</v>
      </c>
    </row>
    <row r="175" spans="1:18" ht="15.75" x14ac:dyDescent="0.25">
      <c r="A175" s="84">
        <v>9</v>
      </c>
      <c r="B175" s="84" t="s">
        <v>9</v>
      </c>
      <c r="C175" s="160" t="e">
        <f>ОИ3!C10</f>
        <v>#REF!</v>
      </c>
      <c r="D175" s="160" t="e">
        <f>ОИ3!D10</f>
        <v>#REF!</v>
      </c>
      <c r="E175" s="160">
        <f>ОИ3!E10</f>
        <v>0</v>
      </c>
      <c r="F175" s="160">
        <f>ОИ3!F10</f>
        <v>0</v>
      </c>
      <c r="G175" s="160">
        <f>ОИ3!G10</f>
        <v>0</v>
      </c>
      <c r="H175" s="160">
        <f>ОИ3!H10</f>
        <v>0</v>
      </c>
      <c r="I175" s="160">
        <f>ОИ3!I10</f>
        <v>0</v>
      </c>
      <c r="J175" s="160">
        <f>ОИ3!J10</f>
        <v>0</v>
      </c>
      <c r="K175" s="160">
        <f>ОИ3!K10</f>
        <v>0</v>
      </c>
      <c r="L175" s="160">
        <f>ОИ3!L10</f>
        <v>0</v>
      </c>
      <c r="M175" s="160">
        <f>ОИ3!M10</f>
        <v>0</v>
      </c>
      <c r="N175" s="160">
        <f>ОИ3!N10</f>
        <v>0</v>
      </c>
      <c r="O175" s="160">
        <f>ОИ3!O10</f>
        <v>0</v>
      </c>
      <c r="P175" s="160">
        <f>ОИ3!P10</f>
        <v>0</v>
      </c>
      <c r="Q175" s="160">
        <f>ОИ3!Q10</f>
        <v>0</v>
      </c>
      <c r="R175" s="160">
        <f>ОИ3!R10</f>
        <v>0.41001453815215694</v>
      </c>
    </row>
    <row r="176" spans="1:18" ht="15.75" x14ac:dyDescent="0.25">
      <c r="A176" s="84">
        <v>10</v>
      </c>
      <c r="B176" s="84" t="s">
        <v>10</v>
      </c>
      <c r="C176" s="160" t="e">
        <f>ОИ3!C11</f>
        <v>#REF!</v>
      </c>
      <c r="D176" s="160" t="e">
        <f>ОИ3!D11</f>
        <v>#REF!</v>
      </c>
      <c r="E176" s="160">
        <f>ОИ3!E11</f>
        <v>0</v>
      </c>
      <c r="F176" s="160">
        <f>ОИ3!F11</f>
        <v>0</v>
      </c>
      <c r="G176" s="160">
        <f>ОИ3!G11</f>
        <v>0</v>
      </c>
      <c r="H176" s="160">
        <f>ОИ3!H11</f>
        <v>0</v>
      </c>
      <c r="I176" s="160">
        <f>ОИ3!I11</f>
        <v>0</v>
      </c>
      <c r="J176" s="160">
        <f>ОИ3!J11</f>
        <v>0</v>
      </c>
      <c r="K176" s="160">
        <f>ОИ3!K11</f>
        <v>0</v>
      </c>
      <c r="L176" s="160">
        <f>ОИ3!L11</f>
        <v>0</v>
      </c>
      <c r="M176" s="160">
        <f>ОИ3!M11</f>
        <v>0</v>
      </c>
      <c r="N176" s="160">
        <f>ОИ3!N11</f>
        <v>0</v>
      </c>
      <c r="O176" s="160">
        <f>ОИ3!O11</f>
        <v>0</v>
      </c>
      <c r="P176" s="160">
        <f>ОИ3!P11</f>
        <v>0</v>
      </c>
      <c r="Q176" s="160">
        <f>ОИ3!Q11</f>
        <v>0</v>
      </c>
      <c r="R176" s="160">
        <f>ОИ3!R11</f>
        <v>0.55568139567437125</v>
      </c>
    </row>
    <row r="177" spans="1:18" ht="15.75" x14ac:dyDescent="0.25">
      <c r="A177" s="84">
        <v>11</v>
      </c>
      <c r="B177" s="84" t="s">
        <v>11</v>
      </c>
      <c r="C177" s="160" t="e">
        <f>ОИ3!C12</f>
        <v>#REF!</v>
      </c>
      <c r="D177" s="160" t="e">
        <f>ОИ3!D12</f>
        <v>#REF!</v>
      </c>
      <c r="E177" s="160">
        <f>ОИ3!E12</f>
        <v>0</v>
      </c>
      <c r="F177" s="160">
        <f>ОИ3!F12</f>
        <v>0</v>
      </c>
      <c r="G177" s="160">
        <f>ОИ3!G12</f>
        <v>0</v>
      </c>
      <c r="H177" s="160">
        <f>ОИ3!H12</f>
        <v>0</v>
      </c>
      <c r="I177" s="160">
        <f>ОИ3!I12</f>
        <v>0</v>
      </c>
      <c r="J177" s="160">
        <f>ОИ3!J12</f>
        <v>0</v>
      </c>
      <c r="K177" s="160">
        <f>ОИ3!K12</f>
        <v>0</v>
      </c>
      <c r="L177" s="160">
        <f>ОИ3!L12</f>
        <v>0</v>
      </c>
      <c r="M177" s="160">
        <f>ОИ3!M12</f>
        <v>0</v>
      </c>
      <c r="N177" s="160">
        <f>ОИ3!N12</f>
        <v>0</v>
      </c>
      <c r="O177" s="160">
        <f>ОИ3!O12</f>
        <v>0</v>
      </c>
      <c r="P177" s="160">
        <f>ОИ3!P12</f>
        <v>0</v>
      </c>
      <c r="Q177" s="160">
        <f>ОИ3!Q12</f>
        <v>0</v>
      </c>
      <c r="R177" s="160">
        <f>ОИ3!R12</f>
        <v>0.33761546676456017</v>
      </c>
    </row>
    <row r="178" spans="1:18" ht="15.75" x14ac:dyDescent="0.25">
      <c r="A178" s="84">
        <v>12</v>
      </c>
      <c r="B178" s="84" t="s">
        <v>12</v>
      </c>
      <c r="C178" s="160" t="e">
        <f>ОИ3!C13</f>
        <v>#REF!</v>
      </c>
      <c r="D178" s="160" t="e">
        <f>ОИ3!D13</f>
        <v>#REF!</v>
      </c>
      <c r="E178" s="160">
        <f>ОИ3!E13</f>
        <v>0</v>
      </c>
      <c r="F178" s="160">
        <f>ОИ3!F13</f>
        <v>0</v>
      </c>
      <c r="G178" s="160">
        <f>ОИ3!G13</f>
        <v>0</v>
      </c>
      <c r="H178" s="160">
        <f>ОИ3!H13</f>
        <v>0</v>
      </c>
      <c r="I178" s="160">
        <f>ОИ3!I13</f>
        <v>0</v>
      </c>
      <c r="J178" s="160">
        <f>ОИ3!J13</f>
        <v>0</v>
      </c>
      <c r="K178" s="160">
        <f>ОИ3!K13</f>
        <v>0</v>
      </c>
      <c r="L178" s="160">
        <f>ОИ3!L13</f>
        <v>0</v>
      </c>
      <c r="M178" s="160">
        <f>ОИ3!M13</f>
        <v>0</v>
      </c>
      <c r="N178" s="160">
        <f>ОИ3!N13</f>
        <v>0</v>
      </c>
      <c r="O178" s="160">
        <f>ОИ3!O13</f>
        <v>0</v>
      </c>
      <c r="P178" s="160">
        <f>ОИ3!P13</f>
        <v>0</v>
      </c>
      <c r="Q178" s="160">
        <f>ОИ3!Q13</f>
        <v>0</v>
      </c>
      <c r="R178" s="160">
        <f>ОИ3!R13</f>
        <v>0.36963118698147407</v>
      </c>
    </row>
    <row r="179" spans="1:18" ht="15.75" x14ac:dyDescent="0.25">
      <c r="A179" s="84">
        <v>13</v>
      </c>
      <c r="B179" s="84" t="s">
        <v>13</v>
      </c>
      <c r="C179" s="160" t="e">
        <f>ОИ3!C14</f>
        <v>#REF!</v>
      </c>
      <c r="D179" s="160" t="e">
        <f>ОИ3!D14</f>
        <v>#REF!</v>
      </c>
      <c r="E179" s="160">
        <f>ОИ3!E14</f>
        <v>0</v>
      </c>
      <c r="F179" s="160">
        <f>ОИ3!F14</f>
        <v>0</v>
      </c>
      <c r="G179" s="160">
        <f>ОИ3!G14</f>
        <v>0</v>
      </c>
      <c r="H179" s="160">
        <f>ОИ3!H14</f>
        <v>0</v>
      </c>
      <c r="I179" s="160">
        <f>ОИ3!I14</f>
        <v>0</v>
      </c>
      <c r="J179" s="160">
        <f>ОИ3!J14</f>
        <v>0</v>
      </c>
      <c r="K179" s="160">
        <f>ОИ3!K14</f>
        <v>0</v>
      </c>
      <c r="L179" s="160">
        <f>ОИ3!L14</f>
        <v>0</v>
      </c>
      <c r="M179" s="160">
        <f>ОИ3!M14</f>
        <v>0</v>
      </c>
      <c r="N179" s="160">
        <f>ОИ3!N14</f>
        <v>0</v>
      </c>
      <c r="O179" s="160">
        <f>ОИ3!O14</f>
        <v>0</v>
      </c>
      <c r="P179" s="160">
        <f>ОИ3!P14</f>
        <v>0</v>
      </c>
      <c r="Q179" s="160">
        <f>ОИ3!Q14</f>
        <v>0</v>
      </c>
      <c r="R179" s="160">
        <f>ОИ3!R14</f>
        <v>0.32889039021487765</v>
      </c>
    </row>
    <row r="180" spans="1:18" ht="15.75" x14ac:dyDescent="0.25">
      <c r="A180" s="84">
        <v>14</v>
      </c>
      <c r="B180" s="84" t="s">
        <v>14</v>
      </c>
      <c r="C180" s="160" t="e">
        <f>ОИ3!C15</f>
        <v>#REF!</v>
      </c>
      <c r="D180" s="160" t="e">
        <f>ОИ3!D15</f>
        <v>#REF!</v>
      </c>
      <c r="E180" s="160">
        <f>ОИ3!E15</f>
        <v>0</v>
      </c>
      <c r="F180" s="160">
        <f>ОИ3!F15</f>
        <v>0</v>
      </c>
      <c r="G180" s="160">
        <f>ОИ3!G15</f>
        <v>0</v>
      </c>
      <c r="H180" s="160">
        <f>ОИ3!H15</f>
        <v>0</v>
      </c>
      <c r="I180" s="160">
        <f>ОИ3!I15</f>
        <v>0</v>
      </c>
      <c r="J180" s="160">
        <f>ОИ3!J15</f>
        <v>0</v>
      </c>
      <c r="K180" s="160">
        <f>ОИ3!K15</f>
        <v>0</v>
      </c>
      <c r="L180" s="160">
        <f>ОИ3!L15</f>
        <v>0</v>
      </c>
      <c r="M180" s="160">
        <f>ОИ3!M15</f>
        <v>0</v>
      </c>
      <c r="N180" s="160">
        <f>ОИ3!N15</f>
        <v>0</v>
      </c>
      <c r="O180" s="160">
        <f>ОИ3!O15</f>
        <v>0</v>
      </c>
      <c r="P180" s="160">
        <f>ОИ3!P15</f>
        <v>0</v>
      </c>
      <c r="Q180" s="160">
        <f>ОИ3!Q15</f>
        <v>0</v>
      </c>
      <c r="R180" s="160">
        <f>ОИ3!R15</f>
        <v>0.36460027770598141</v>
      </c>
    </row>
    <row r="181" spans="1:18" ht="15.75" x14ac:dyDescent="0.25">
      <c r="A181" s="84">
        <v>15</v>
      </c>
      <c r="B181" s="84" t="s">
        <v>15</v>
      </c>
      <c r="C181" s="160" t="e">
        <f>ОИ3!C16</f>
        <v>#REF!</v>
      </c>
      <c r="D181" s="160" t="e">
        <f>ОИ3!D16</f>
        <v>#REF!</v>
      </c>
      <c r="E181" s="160">
        <f>ОИ3!E16</f>
        <v>0</v>
      </c>
      <c r="F181" s="160">
        <f>ОИ3!F16</f>
        <v>0</v>
      </c>
      <c r="G181" s="160">
        <f>ОИ3!G16</f>
        <v>0</v>
      </c>
      <c r="H181" s="160">
        <f>ОИ3!H16</f>
        <v>0</v>
      </c>
      <c r="I181" s="160">
        <f>ОИ3!I16</f>
        <v>0</v>
      </c>
      <c r="J181" s="160">
        <f>ОИ3!J16</f>
        <v>0</v>
      </c>
      <c r="K181" s="160">
        <f>ОИ3!K16</f>
        <v>0</v>
      </c>
      <c r="L181" s="160">
        <f>ОИ3!L16</f>
        <v>0</v>
      </c>
      <c r="M181" s="160">
        <f>ОИ3!M16</f>
        <v>0</v>
      </c>
      <c r="N181" s="160">
        <f>ОИ3!N16</f>
        <v>0</v>
      </c>
      <c r="O181" s="160">
        <f>ОИ3!O16</f>
        <v>0</v>
      </c>
      <c r="P181" s="160">
        <f>ОИ3!P16</f>
        <v>0</v>
      </c>
      <c r="Q181" s="160">
        <f>ОИ3!Q16</f>
        <v>0</v>
      </c>
      <c r="R181" s="160">
        <f>ОИ3!R16</f>
        <v>0.37066768809738204</v>
      </c>
    </row>
    <row r="182" spans="1:18" ht="15.75" x14ac:dyDescent="0.25">
      <c r="A182" s="84">
        <v>16</v>
      </c>
      <c r="B182" s="84" t="s">
        <v>16</v>
      </c>
      <c r="C182" s="160" t="e">
        <f>ОИ3!C17</f>
        <v>#REF!</v>
      </c>
      <c r="D182" s="160" t="e">
        <f>ОИ3!D17</f>
        <v>#REF!</v>
      </c>
      <c r="E182" s="160">
        <f>ОИ3!E17</f>
        <v>0</v>
      </c>
      <c r="F182" s="160">
        <f>ОИ3!F17</f>
        <v>0</v>
      </c>
      <c r="G182" s="160">
        <f>ОИ3!G17</f>
        <v>0</v>
      </c>
      <c r="H182" s="160">
        <f>ОИ3!H17</f>
        <v>0</v>
      </c>
      <c r="I182" s="160">
        <f>ОИ3!I17</f>
        <v>0</v>
      </c>
      <c r="J182" s="160">
        <f>ОИ3!J17</f>
        <v>0</v>
      </c>
      <c r="K182" s="160">
        <f>ОИ3!K17</f>
        <v>0</v>
      </c>
      <c r="L182" s="160">
        <f>ОИ3!L17</f>
        <v>0</v>
      </c>
      <c r="M182" s="160">
        <f>ОИ3!M17</f>
        <v>0</v>
      </c>
      <c r="N182" s="160">
        <f>ОИ3!N17</f>
        <v>0</v>
      </c>
      <c r="O182" s="160">
        <f>ОИ3!O17</f>
        <v>0</v>
      </c>
      <c r="P182" s="160">
        <f>ОИ3!P17</f>
        <v>0</v>
      </c>
      <c r="Q182" s="160">
        <f>ОИ3!Q17</f>
        <v>0</v>
      </c>
      <c r="R182" s="160">
        <f>ОИ3!R17</f>
        <v>0.3700498618305561</v>
      </c>
    </row>
    <row r="183" spans="1:18" ht="15.75" x14ac:dyDescent="0.25">
      <c r="A183" s="84">
        <v>17</v>
      </c>
      <c r="B183" s="84" t="s">
        <v>17</v>
      </c>
      <c r="C183" s="160" t="e">
        <f>ОИ3!C18</f>
        <v>#REF!</v>
      </c>
      <c r="D183" s="160" t="e">
        <f>ОИ3!D18</f>
        <v>#REF!</v>
      </c>
      <c r="E183" s="160">
        <f>ОИ3!E18</f>
        <v>0</v>
      </c>
      <c r="F183" s="160">
        <f>ОИ3!F18</f>
        <v>0</v>
      </c>
      <c r="G183" s="160">
        <f>ОИ3!G18</f>
        <v>0</v>
      </c>
      <c r="H183" s="160">
        <f>ОИ3!H18</f>
        <v>0</v>
      </c>
      <c r="I183" s="160">
        <f>ОИ3!I18</f>
        <v>0</v>
      </c>
      <c r="J183" s="160">
        <f>ОИ3!J18</f>
        <v>0</v>
      </c>
      <c r="K183" s="160">
        <f>ОИ3!K18</f>
        <v>0</v>
      </c>
      <c r="L183" s="160">
        <f>ОИ3!L18</f>
        <v>0</v>
      </c>
      <c r="M183" s="160">
        <f>ОИ3!M18</f>
        <v>0</v>
      </c>
      <c r="N183" s="160">
        <f>ОИ3!N18</f>
        <v>0</v>
      </c>
      <c r="O183" s="160">
        <f>ОИ3!O18</f>
        <v>0</v>
      </c>
      <c r="P183" s="160">
        <f>ОИ3!P18</f>
        <v>0</v>
      </c>
      <c r="Q183" s="160">
        <f>ОИ3!Q18</f>
        <v>0</v>
      </c>
      <c r="R183" s="160">
        <f>ОИ3!R18</f>
        <v>0.43230829502435419</v>
      </c>
    </row>
    <row r="184" spans="1:18" ht="15.75" x14ac:dyDescent="0.25">
      <c r="A184" s="84">
        <v>18</v>
      </c>
      <c r="B184" s="84" t="s">
        <v>18</v>
      </c>
      <c r="C184" s="160" t="e">
        <f>ОИ3!C19</f>
        <v>#REF!</v>
      </c>
      <c r="D184" s="160" t="e">
        <f>ОИ3!D19</f>
        <v>#REF!</v>
      </c>
      <c r="E184" s="160">
        <f>ОИ3!E19</f>
        <v>0</v>
      </c>
      <c r="F184" s="160">
        <f>ОИ3!F19</f>
        <v>0</v>
      </c>
      <c r="G184" s="160">
        <f>ОИ3!G19</f>
        <v>0</v>
      </c>
      <c r="H184" s="160">
        <f>ОИ3!H19</f>
        <v>0</v>
      </c>
      <c r="I184" s="160">
        <f>ОИ3!I19</f>
        <v>0</v>
      </c>
      <c r="J184" s="160">
        <f>ОИ3!J19</f>
        <v>0</v>
      </c>
      <c r="K184" s="160">
        <f>ОИ3!K19</f>
        <v>0</v>
      </c>
      <c r="L184" s="160">
        <f>ОИ3!L19</f>
        <v>0</v>
      </c>
      <c r="M184" s="160">
        <f>ОИ3!M19</f>
        <v>0</v>
      </c>
      <c r="N184" s="160">
        <f>ОИ3!N19</f>
        <v>0</v>
      </c>
      <c r="O184" s="160">
        <f>ОИ3!O19</f>
        <v>0</v>
      </c>
      <c r="P184" s="160">
        <f>ОИ3!P19</f>
        <v>0</v>
      </c>
      <c r="Q184" s="160">
        <f>ОИ3!Q19</f>
        <v>0</v>
      </c>
      <c r="R184" s="160">
        <f>ОИ3!R19</f>
        <v>0.68469225323536465</v>
      </c>
    </row>
    <row r="195" spans="1:18" ht="24.75" customHeight="1" x14ac:dyDescent="0.25"/>
    <row r="198" spans="1:18" ht="27" customHeight="1" x14ac:dyDescent="0.25"/>
    <row r="199" spans="1:18" ht="39.75" customHeight="1" x14ac:dyDescent="0.25"/>
    <row r="206" spans="1:18" ht="15.75" x14ac:dyDescent="0.25">
      <c r="A206" s="84" t="s">
        <v>0</v>
      </c>
      <c r="B206" s="84"/>
      <c r="C206" s="84">
        <v>2005</v>
      </c>
      <c r="D206" s="84">
        <v>2006</v>
      </c>
      <c r="E206" s="84">
        <v>2007</v>
      </c>
      <c r="F206" s="84">
        <v>2008</v>
      </c>
      <c r="G206" s="84">
        <v>2009</v>
      </c>
      <c r="H206" s="84">
        <v>2010</v>
      </c>
      <c r="I206" s="84">
        <v>2011</v>
      </c>
      <c r="J206" s="84">
        <v>2012</v>
      </c>
      <c r="K206" s="84">
        <v>2013</v>
      </c>
      <c r="L206" s="84">
        <v>2014</v>
      </c>
      <c r="M206" s="84">
        <v>2015</v>
      </c>
      <c r="N206" s="84">
        <v>2016</v>
      </c>
      <c r="O206" s="84">
        <v>2017</v>
      </c>
      <c r="P206" s="84">
        <v>2018</v>
      </c>
      <c r="Q206" s="84">
        <v>2019</v>
      </c>
      <c r="R206" s="84">
        <v>2020</v>
      </c>
    </row>
    <row r="207" spans="1:18" ht="15.75" x14ac:dyDescent="0.25">
      <c r="A207" s="84">
        <v>1</v>
      </c>
      <c r="B207" s="84" t="s">
        <v>1</v>
      </c>
      <c r="C207" s="160" t="e">
        <f>ОИ4!C2</f>
        <v>#REF!</v>
      </c>
      <c r="D207" s="160" t="e">
        <f>ОИ4!D2</f>
        <v>#REF!</v>
      </c>
      <c r="E207" s="160">
        <f>ОИ4!E2</f>
        <v>0</v>
      </c>
      <c r="F207" s="160">
        <f>ОИ4!F2</f>
        <v>0</v>
      </c>
      <c r="G207" s="160">
        <f>ОИ4!G2</f>
        <v>0</v>
      </c>
      <c r="H207" s="160">
        <f>ОИ4!H2</f>
        <v>0</v>
      </c>
      <c r="I207" s="160">
        <f>ОИ4!I2</f>
        <v>0</v>
      </c>
      <c r="J207" s="160">
        <f>ОИ4!J2</f>
        <v>0</v>
      </c>
      <c r="K207" s="160">
        <f>ОИ4!K2</f>
        <v>0</v>
      </c>
      <c r="L207" s="160">
        <f>ОИ4!L2</f>
        <v>0</v>
      </c>
      <c r="M207" s="160">
        <f>ОИ4!M2</f>
        <v>0</v>
      </c>
      <c r="N207" s="160">
        <f>ОИ4!N2</f>
        <v>0</v>
      </c>
      <c r="O207" s="160">
        <f>ОИ4!O2</f>
        <v>0</v>
      </c>
      <c r="P207" s="160">
        <f>ОИ4!P2</f>
        <v>0</v>
      </c>
      <c r="Q207" s="160">
        <f>ОИ4!Q2</f>
        <v>0</v>
      </c>
      <c r="R207" s="160">
        <f>ОИ4!R2</f>
        <v>0.51483202085986812</v>
      </c>
    </row>
    <row r="208" spans="1:18" ht="15.75" x14ac:dyDescent="0.25">
      <c r="A208" s="84">
        <v>2</v>
      </c>
      <c r="B208" s="84" t="s">
        <v>2</v>
      </c>
      <c r="C208" s="160" t="e">
        <f>ОИ4!C3</f>
        <v>#REF!</v>
      </c>
      <c r="D208" s="160" t="e">
        <f>ОИ4!D3</f>
        <v>#REF!</v>
      </c>
      <c r="E208" s="160">
        <f>ОИ4!E3</f>
        <v>0</v>
      </c>
      <c r="F208" s="160">
        <f>ОИ4!F3</f>
        <v>0</v>
      </c>
      <c r="G208" s="160">
        <f>ОИ4!G3</f>
        <v>0</v>
      </c>
      <c r="H208" s="160">
        <f>ОИ4!H3</f>
        <v>0</v>
      </c>
      <c r="I208" s="160">
        <f>ОИ4!I3</f>
        <v>0</v>
      </c>
      <c r="J208" s="160">
        <f>ОИ4!J3</f>
        <v>0</v>
      </c>
      <c r="K208" s="160">
        <f>ОИ4!K3</f>
        <v>0</v>
      </c>
      <c r="L208" s="160">
        <f>ОИ4!L3</f>
        <v>0</v>
      </c>
      <c r="M208" s="160">
        <f>ОИ4!M3</f>
        <v>0</v>
      </c>
      <c r="N208" s="160">
        <f>ОИ4!N3</f>
        <v>0</v>
      </c>
      <c r="O208" s="160">
        <f>ОИ4!O3</f>
        <v>0</v>
      </c>
      <c r="P208" s="160">
        <f>ОИ4!P3</f>
        <v>0</v>
      </c>
      <c r="Q208" s="160">
        <f>ОИ4!Q3</f>
        <v>0</v>
      </c>
      <c r="R208" s="160">
        <f>ОИ4!R3</f>
        <v>0.42724244308158049</v>
      </c>
    </row>
    <row r="209" spans="1:18" ht="15.75" x14ac:dyDescent="0.25">
      <c r="A209" s="84">
        <v>3</v>
      </c>
      <c r="B209" s="84" t="s">
        <v>3</v>
      </c>
      <c r="C209" s="160" t="e">
        <f>ОИ4!C4</f>
        <v>#REF!</v>
      </c>
      <c r="D209" s="160" t="e">
        <f>ОИ4!D4</f>
        <v>#REF!</v>
      </c>
      <c r="E209" s="160">
        <f>ОИ4!E4</f>
        <v>0</v>
      </c>
      <c r="F209" s="160">
        <f>ОИ4!F4</f>
        <v>0</v>
      </c>
      <c r="G209" s="160">
        <f>ОИ4!G4</f>
        <v>0</v>
      </c>
      <c r="H209" s="160">
        <f>ОИ4!H4</f>
        <v>0</v>
      </c>
      <c r="I209" s="160">
        <f>ОИ4!I4</f>
        <v>0</v>
      </c>
      <c r="J209" s="160">
        <f>ОИ4!J4</f>
        <v>0</v>
      </c>
      <c r="K209" s="160">
        <f>ОИ4!K4</f>
        <v>0</v>
      </c>
      <c r="L209" s="160">
        <f>ОИ4!L4</f>
        <v>0</v>
      </c>
      <c r="M209" s="160">
        <f>ОИ4!M4</f>
        <v>0</v>
      </c>
      <c r="N209" s="160">
        <f>ОИ4!N4</f>
        <v>0</v>
      </c>
      <c r="O209" s="160">
        <f>ОИ4!O4</f>
        <v>0</v>
      </c>
      <c r="P209" s="160">
        <f>ОИ4!P4</f>
        <v>0</v>
      </c>
      <c r="Q209" s="160">
        <f>ОИ4!Q4</f>
        <v>0</v>
      </c>
      <c r="R209" s="160">
        <f>ОИ4!R4</f>
        <v>0.50622887741978473</v>
      </c>
    </row>
    <row r="210" spans="1:18" ht="15.75" x14ac:dyDescent="0.25">
      <c r="A210" s="84">
        <v>4</v>
      </c>
      <c r="B210" s="84" t="s">
        <v>4</v>
      </c>
      <c r="C210" s="160" t="e">
        <f>ОИ4!C5</f>
        <v>#REF!</v>
      </c>
      <c r="D210" s="160" t="e">
        <f>ОИ4!D5</f>
        <v>#REF!</v>
      </c>
      <c r="E210" s="160">
        <f>ОИ4!E5</f>
        <v>0</v>
      </c>
      <c r="F210" s="160">
        <f>ОИ4!F5</f>
        <v>0</v>
      </c>
      <c r="G210" s="160">
        <f>ОИ4!G5</f>
        <v>0</v>
      </c>
      <c r="H210" s="160">
        <f>ОИ4!H5</f>
        <v>0</v>
      </c>
      <c r="I210" s="160">
        <f>ОИ4!I5</f>
        <v>0</v>
      </c>
      <c r="J210" s="160">
        <f>ОИ4!J5</f>
        <v>0</v>
      </c>
      <c r="K210" s="160">
        <f>ОИ4!K5</f>
        <v>0</v>
      </c>
      <c r="L210" s="160">
        <f>ОИ4!L5</f>
        <v>0</v>
      </c>
      <c r="M210" s="160">
        <f>ОИ4!M5</f>
        <v>0</v>
      </c>
      <c r="N210" s="160">
        <f>ОИ4!N5</f>
        <v>0</v>
      </c>
      <c r="O210" s="160">
        <f>ОИ4!O5</f>
        <v>0</v>
      </c>
      <c r="P210" s="160">
        <f>ОИ4!P5</f>
        <v>0</v>
      </c>
      <c r="Q210" s="160">
        <f>ОИ4!Q5</f>
        <v>0</v>
      </c>
      <c r="R210" s="160">
        <f>ОИ4!R5</f>
        <v>0.54436171495537811</v>
      </c>
    </row>
    <row r="211" spans="1:18" ht="15.75" x14ac:dyDescent="0.25">
      <c r="A211" s="84">
        <v>5</v>
      </c>
      <c r="B211" s="84" t="s">
        <v>5</v>
      </c>
      <c r="C211" s="160" t="e">
        <f>ОИ4!C6</f>
        <v>#REF!</v>
      </c>
      <c r="D211" s="160" t="e">
        <f>ОИ4!D6</f>
        <v>#REF!</v>
      </c>
      <c r="E211" s="160">
        <f>ОИ4!E6</f>
        <v>0</v>
      </c>
      <c r="F211" s="160">
        <f>ОИ4!F6</f>
        <v>0</v>
      </c>
      <c r="G211" s="160">
        <f>ОИ4!G6</f>
        <v>0</v>
      </c>
      <c r="H211" s="160">
        <f>ОИ4!H6</f>
        <v>0</v>
      </c>
      <c r="I211" s="160">
        <f>ОИ4!I6</f>
        <v>0</v>
      </c>
      <c r="J211" s="160">
        <f>ОИ4!J6</f>
        <v>0</v>
      </c>
      <c r="K211" s="160">
        <f>ОИ4!K6</f>
        <v>0</v>
      </c>
      <c r="L211" s="160">
        <f>ОИ4!L6</f>
        <v>0</v>
      </c>
      <c r="M211" s="160">
        <f>ОИ4!M6</f>
        <v>0</v>
      </c>
      <c r="N211" s="160">
        <f>ОИ4!N6</f>
        <v>0</v>
      </c>
      <c r="O211" s="160">
        <f>ОИ4!O6</f>
        <v>0</v>
      </c>
      <c r="P211" s="160">
        <f>ОИ4!P6</f>
        <v>0</v>
      </c>
      <c r="Q211" s="160">
        <f>ОИ4!Q6</f>
        <v>0</v>
      </c>
      <c r="R211" s="160">
        <f>ОИ4!R6</f>
        <v>0.43378698642498409</v>
      </c>
    </row>
    <row r="212" spans="1:18" ht="15.75" x14ac:dyDescent="0.25">
      <c r="A212" s="84">
        <v>6</v>
      </c>
      <c r="B212" s="84" t="s">
        <v>6</v>
      </c>
      <c r="C212" s="160" t="e">
        <f>ОИ4!C7</f>
        <v>#REF!</v>
      </c>
      <c r="D212" s="160" t="e">
        <f>ОИ4!D7</f>
        <v>#REF!</v>
      </c>
      <c r="E212" s="160">
        <f>ОИ4!E7</f>
        <v>0</v>
      </c>
      <c r="F212" s="160">
        <f>ОИ4!F7</f>
        <v>0</v>
      </c>
      <c r="G212" s="160">
        <f>ОИ4!G7</f>
        <v>0</v>
      </c>
      <c r="H212" s="160">
        <f>ОИ4!H7</f>
        <v>0</v>
      </c>
      <c r="I212" s="160">
        <f>ОИ4!I7</f>
        <v>0</v>
      </c>
      <c r="J212" s="160">
        <f>ОИ4!J7</f>
        <v>0</v>
      </c>
      <c r="K212" s="160">
        <f>ОИ4!K7</f>
        <v>0</v>
      </c>
      <c r="L212" s="160">
        <f>ОИ4!L7</f>
        <v>0</v>
      </c>
      <c r="M212" s="160">
        <f>ОИ4!M7</f>
        <v>0</v>
      </c>
      <c r="N212" s="160">
        <f>ОИ4!N7</f>
        <v>0</v>
      </c>
      <c r="O212" s="160">
        <f>ОИ4!O7</f>
        <v>0</v>
      </c>
      <c r="P212" s="160">
        <f>ОИ4!P7</f>
        <v>0</v>
      </c>
      <c r="Q212" s="160">
        <f>ОИ4!Q7</f>
        <v>0</v>
      </c>
      <c r="R212" s="160">
        <f>ОИ4!R7</f>
        <v>0.52769202178157448</v>
      </c>
    </row>
    <row r="213" spans="1:18" ht="15.75" x14ac:dyDescent="0.25">
      <c r="A213" s="84">
        <v>7</v>
      </c>
      <c r="B213" s="84" t="s">
        <v>7</v>
      </c>
      <c r="C213" s="160" t="e">
        <f>ОИ4!C8</f>
        <v>#REF!</v>
      </c>
      <c r="D213" s="160" t="e">
        <f>ОИ4!D8</f>
        <v>#REF!</v>
      </c>
      <c r="E213" s="160">
        <f>ОИ4!E8</f>
        <v>0</v>
      </c>
      <c r="F213" s="160">
        <f>ОИ4!F8</f>
        <v>0</v>
      </c>
      <c r="G213" s="160">
        <f>ОИ4!G8</f>
        <v>0</v>
      </c>
      <c r="H213" s="160">
        <f>ОИ4!H8</f>
        <v>0</v>
      </c>
      <c r="I213" s="160">
        <f>ОИ4!I8</f>
        <v>0</v>
      </c>
      <c r="J213" s="160">
        <f>ОИ4!J8</f>
        <v>0</v>
      </c>
      <c r="K213" s="160">
        <f>ОИ4!K8</f>
        <v>0</v>
      </c>
      <c r="L213" s="160">
        <f>ОИ4!L8</f>
        <v>0</v>
      </c>
      <c r="M213" s="160">
        <f>ОИ4!M8</f>
        <v>0</v>
      </c>
      <c r="N213" s="160">
        <f>ОИ4!N8</f>
        <v>0</v>
      </c>
      <c r="O213" s="160">
        <f>ОИ4!O8</f>
        <v>0</v>
      </c>
      <c r="P213" s="160">
        <f>ОИ4!P8</f>
        <v>0</v>
      </c>
      <c r="Q213" s="160">
        <f>ОИ4!Q8</f>
        <v>0</v>
      </c>
      <c r="R213" s="160">
        <f>ОИ4!R8</f>
        <v>0.43628938667173905</v>
      </c>
    </row>
    <row r="214" spans="1:18" ht="15.75" x14ac:dyDescent="0.25">
      <c r="A214" s="84">
        <v>8</v>
      </c>
      <c r="B214" s="84" t="s">
        <v>8</v>
      </c>
      <c r="C214" s="160" t="e">
        <f>ОИ4!C9</f>
        <v>#REF!</v>
      </c>
      <c r="D214" s="160" t="e">
        <f>ОИ4!D9</f>
        <v>#REF!</v>
      </c>
      <c r="E214" s="160">
        <f>ОИ4!E9</f>
        <v>0</v>
      </c>
      <c r="F214" s="160">
        <f>ОИ4!F9</f>
        <v>0</v>
      </c>
      <c r="G214" s="160">
        <f>ОИ4!G9</f>
        <v>0</v>
      </c>
      <c r="H214" s="160">
        <f>ОИ4!H9</f>
        <v>0</v>
      </c>
      <c r="I214" s="160">
        <f>ОИ4!I9</f>
        <v>0</v>
      </c>
      <c r="J214" s="160">
        <f>ОИ4!J9</f>
        <v>0</v>
      </c>
      <c r="K214" s="160">
        <f>ОИ4!K9</f>
        <v>0</v>
      </c>
      <c r="L214" s="160">
        <f>ОИ4!L9</f>
        <v>0</v>
      </c>
      <c r="M214" s="160">
        <f>ОИ4!M9</f>
        <v>0</v>
      </c>
      <c r="N214" s="160">
        <f>ОИ4!N9</f>
        <v>0</v>
      </c>
      <c r="O214" s="160">
        <f>ОИ4!O9</f>
        <v>0</v>
      </c>
      <c r="P214" s="160">
        <f>ОИ4!P9</f>
        <v>0</v>
      </c>
      <c r="Q214" s="160">
        <f>ОИ4!Q9</f>
        <v>0</v>
      </c>
      <c r="R214" s="160">
        <f>ОИ4!R9</f>
        <v>0.45081417370310239</v>
      </c>
    </row>
    <row r="215" spans="1:18" ht="15.75" x14ac:dyDescent="0.25">
      <c r="A215" s="84">
        <v>9</v>
      </c>
      <c r="B215" s="84" t="s">
        <v>9</v>
      </c>
      <c r="C215" s="160" t="e">
        <f>ОИ4!C10</f>
        <v>#REF!</v>
      </c>
      <c r="D215" s="160" t="e">
        <f>ОИ4!D10</f>
        <v>#REF!</v>
      </c>
      <c r="E215" s="160">
        <f>ОИ4!E10</f>
        <v>0</v>
      </c>
      <c r="F215" s="160">
        <f>ОИ4!F10</f>
        <v>0</v>
      </c>
      <c r="G215" s="160">
        <f>ОИ4!G10</f>
        <v>0</v>
      </c>
      <c r="H215" s="160">
        <f>ОИ4!H10</f>
        <v>0</v>
      </c>
      <c r="I215" s="160">
        <f>ОИ4!I10</f>
        <v>0</v>
      </c>
      <c r="J215" s="160">
        <f>ОИ4!J10</f>
        <v>0</v>
      </c>
      <c r="K215" s="160">
        <f>ОИ4!K10</f>
        <v>0</v>
      </c>
      <c r="L215" s="160">
        <f>ОИ4!L10</f>
        <v>0</v>
      </c>
      <c r="M215" s="160">
        <f>ОИ4!M10</f>
        <v>0</v>
      </c>
      <c r="N215" s="160">
        <f>ОИ4!N10</f>
        <v>0</v>
      </c>
      <c r="O215" s="160">
        <f>ОИ4!O10</f>
        <v>0</v>
      </c>
      <c r="P215" s="160">
        <f>ОИ4!P10</f>
        <v>0</v>
      </c>
      <c r="Q215" s="160">
        <f>ОИ4!Q10</f>
        <v>0</v>
      </c>
      <c r="R215" s="160">
        <f>ОИ4!R10</f>
        <v>0.57004351190566382</v>
      </c>
    </row>
    <row r="216" spans="1:18" ht="15.75" x14ac:dyDescent="0.25">
      <c r="A216" s="84">
        <v>10</v>
      </c>
      <c r="B216" s="84" t="s">
        <v>10</v>
      </c>
      <c r="C216" s="160" t="e">
        <f>ОИ4!C11</f>
        <v>#REF!</v>
      </c>
      <c r="D216" s="160" t="e">
        <f>ОИ4!D11</f>
        <v>#REF!</v>
      </c>
      <c r="E216" s="160">
        <f>ОИ4!E11</f>
        <v>0</v>
      </c>
      <c r="F216" s="160">
        <f>ОИ4!F11</f>
        <v>0</v>
      </c>
      <c r="G216" s="160">
        <f>ОИ4!G11</f>
        <v>0</v>
      </c>
      <c r="H216" s="160">
        <f>ОИ4!H11</f>
        <v>0</v>
      </c>
      <c r="I216" s="160">
        <f>ОИ4!I11</f>
        <v>0</v>
      </c>
      <c r="J216" s="160">
        <f>ОИ4!J11</f>
        <v>0</v>
      </c>
      <c r="K216" s="160">
        <f>ОИ4!K11</f>
        <v>0</v>
      </c>
      <c r="L216" s="160">
        <f>ОИ4!L11</f>
        <v>0</v>
      </c>
      <c r="M216" s="160">
        <f>ОИ4!M11</f>
        <v>0</v>
      </c>
      <c r="N216" s="160">
        <f>ОИ4!N11</f>
        <v>0</v>
      </c>
      <c r="O216" s="160">
        <f>ОИ4!O11</f>
        <v>0</v>
      </c>
      <c r="P216" s="160">
        <f>ОИ4!P11</f>
        <v>0</v>
      </c>
      <c r="Q216" s="160">
        <f>ОИ4!Q11</f>
        <v>0</v>
      </c>
      <c r="R216" s="160">
        <f>ОИ4!R11</f>
        <v>0.58521927632933624</v>
      </c>
    </row>
    <row r="217" spans="1:18" ht="15.75" x14ac:dyDescent="0.25">
      <c r="A217" s="84">
        <v>11</v>
      </c>
      <c r="B217" s="84" t="s">
        <v>11</v>
      </c>
      <c r="C217" s="160" t="e">
        <f>ОИ4!C12</f>
        <v>#REF!</v>
      </c>
      <c r="D217" s="160" t="e">
        <f>ОИ4!D12</f>
        <v>#REF!</v>
      </c>
      <c r="E217" s="160">
        <f>ОИ4!E12</f>
        <v>0</v>
      </c>
      <c r="F217" s="160">
        <f>ОИ4!F12</f>
        <v>0</v>
      </c>
      <c r="G217" s="160">
        <f>ОИ4!G12</f>
        <v>0</v>
      </c>
      <c r="H217" s="160">
        <f>ОИ4!H12</f>
        <v>0</v>
      </c>
      <c r="I217" s="160">
        <f>ОИ4!I12</f>
        <v>0</v>
      </c>
      <c r="J217" s="160">
        <f>ОИ4!J12</f>
        <v>0</v>
      </c>
      <c r="K217" s="160">
        <f>ОИ4!K12</f>
        <v>0</v>
      </c>
      <c r="L217" s="160">
        <f>ОИ4!L12</f>
        <v>0</v>
      </c>
      <c r="M217" s="160">
        <f>ОИ4!M12</f>
        <v>0</v>
      </c>
      <c r="N217" s="160">
        <f>ОИ4!N12</f>
        <v>0</v>
      </c>
      <c r="O217" s="160">
        <f>ОИ4!O12</f>
        <v>0</v>
      </c>
      <c r="P217" s="160">
        <f>ОИ4!P12</f>
        <v>0</v>
      </c>
      <c r="Q217" s="160">
        <f>ОИ4!Q12</f>
        <v>0</v>
      </c>
      <c r="R217" s="160">
        <f>ОИ4!R12</f>
        <v>0.4982383312147034</v>
      </c>
    </row>
    <row r="218" spans="1:18" ht="15.75" x14ac:dyDescent="0.25">
      <c r="A218" s="84">
        <v>12</v>
      </c>
      <c r="B218" s="84" t="s">
        <v>12</v>
      </c>
      <c r="C218" s="160" t="e">
        <f>ОИ4!C13</f>
        <v>#REF!</v>
      </c>
      <c r="D218" s="160" t="e">
        <f>ОИ4!D13</f>
        <v>#REF!</v>
      </c>
      <c r="E218" s="160">
        <f>ОИ4!E13</f>
        <v>0</v>
      </c>
      <c r="F218" s="160">
        <f>ОИ4!F13</f>
        <v>0</v>
      </c>
      <c r="G218" s="160">
        <f>ОИ4!G13</f>
        <v>0</v>
      </c>
      <c r="H218" s="160">
        <f>ОИ4!H13</f>
        <v>0</v>
      </c>
      <c r="I218" s="160">
        <f>ОИ4!I13</f>
        <v>0</v>
      </c>
      <c r="J218" s="160">
        <f>ОИ4!J13</f>
        <v>0</v>
      </c>
      <c r="K218" s="160">
        <f>ОИ4!K13</f>
        <v>0</v>
      </c>
      <c r="L218" s="160">
        <f>ОИ4!L13</f>
        <v>0</v>
      </c>
      <c r="M218" s="160">
        <f>ОИ4!M13</f>
        <v>0</v>
      </c>
      <c r="N218" s="160">
        <f>ОИ4!N13</f>
        <v>0</v>
      </c>
      <c r="O218" s="160">
        <f>ОИ4!O13</f>
        <v>0</v>
      </c>
      <c r="P218" s="160">
        <f>ОИ4!P13</f>
        <v>0</v>
      </c>
      <c r="Q218" s="160">
        <f>ОИ4!Q13</f>
        <v>0</v>
      </c>
      <c r="R218" s="160">
        <f>ОИ4!R13</f>
        <v>0.53039533613711054</v>
      </c>
    </row>
    <row r="219" spans="1:18" ht="15.75" x14ac:dyDescent="0.25">
      <c r="A219" s="84">
        <v>13</v>
      </c>
      <c r="B219" s="84" t="s">
        <v>13</v>
      </c>
      <c r="C219" s="160" t="e">
        <f>ОИ4!C14</f>
        <v>#REF!</v>
      </c>
      <c r="D219" s="160" t="e">
        <f>ОИ4!D14</f>
        <v>#REF!</v>
      </c>
      <c r="E219" s="160">
        <f>ОИ4!E14</f>
        <v>0</v>
      </c>
      <c r="F219" s="160">
        <f>ОИ4!F14</f>
        <v>0</v>
      </c>
      <c r="G219" s="160">
        <f>ОИ4!G14</f>
        <v>0</v>
      </c>
      <c r="H219" s="160">
        <f>ОИ4!H14</f>
        <v>0</v>
      </c>
      <c r="I219" s="160">
        <f>ОИ4!I14</f>
        <v>0</v>
      </c>
      <c r="J219" s="160">
        <f>ОИ4!J14</f>
        <v>0</v>
      </c>
      <c r="K219" s="160">
        <f>ОИ4!K14</f>
        <v>0</v>
      </c>
      <c r="L219" s="160">
        <f>ОИ4!L14</f>
        <v>0</v>
      </c>
      <c r="M219" s="160">
        <f>ОИ4!M14</f>
        <v>0</v>
      </c>
      <c r="N219" s="160">
        <f>ОИ4!N14</f>
        <v>0</v>
      </c>
      <c r="O219" s="160">
        <f>ОИ4!O14</f>
        <v>0</v>
      </c>
      <c r="P219" s="160">
        <f>ОИ4!P14</f>
        <v>0</v>
      </c>
      <c r="Q219" s="160">
        <f>ОИ4!Q14</f>
        <v>0</v>
      </c>
      <c r="R219" s="160">
        <f>ОИ4!R14</f>
        <v>0.49052530998863109</v>
      </c>
    </row>
    <row r="220" spans="1:18" ht="15.75" x14ac:dyDescent="0.25">
      <c r="A220" s="84">
        <v>14</v>
      </c>
      <c r="B220" s="84" t="s">
        <v>14</v>
      </c>
      <c r="C220" s="160" t="e">
        <f>ОИ4!C15</f>
        <v>#REF!</v>
      </c>
      <c r="D220" s="160" t="e">
        <f>ОИ4!D15</f>
        <v>#REF!</v>
      </c>
      <c r="E220" s="160">
        <f>ОИ4!E15</f>
        <v>0</v>
      </c>
      <c r="F220" s="160">
        <f>ОИ4!F15</f>
        <v>0</v>
      </c>
      <c r="G220" s="160">
        <f>ОИ4!G15</f>
        <v>0</v>
      </c>
      <c r="H220" s="160">
        <f>ОИ4!H15</f>
        <v>0</v>
      </c>
      <c r="I220" s="160">
        <f>ОИ4!I15</f>
        <v>0</v>
      </c>
      <c r="J220" s="160">
        <f>ОИ4!J15</f>
        <v>0</v>
      </c>
      <c r="K220" s="160">
        <f>ОИ4!K15</f>
        <v>0</v>
      </c>
      <c r="L220" s="160">
        <f>ОИ4!L15</f>
        <v>0</v>
      </c>
      <c r="M220" s="160">
        <f>ОИ4!M15</f>
        <v>0</v>
      </c>
      <c r="N220" s="160">
        <f>ОИ4!N15</f>
        <v>0</v>
      </c>
      <c r="O220" s="160">
        <f>ОИ4!O15</f>
        <v>0</v>
      </c>
      <c r="P220" s="160">
        <f>ОИ4!P15</f>
        <v>0</v>
      </c>
      <c r="Q220" s="160">
        <f>ОИ4!Q15</f>
        <v>0</v>
      </c>
      <c r="R220" s="160">
        <f>ОИ4!R15</f>
        <v>0.52804308091383945</v>
      </c>
    </row>
    <row r="221" spans="1:18" ht="15.75" x14ac:dyDescent="0.25">
      <c r="A221" s="84">
        <v>15</v>
      </c>
      <c r="B221" s="84" t="s">
        <v>15</v>
      </c>
      <c r="C221" s="160" t="e">
        <f>ОИ4!C16</f>
        <v>#REF!</v>
      </c>
      <c r="D221" s="160" t="e">
        <f>ОИ4!D16</f>
        <v>#REF!</v>
      </c>
      <c r="E221" s="160">
        <f>ОИ4!E16</f>
        <v>0</v>
      </c>
      <c r="F221" s="160">
        <f>ОИ4!F16</f>
        <v>0</v>
      </c>
      <c r="G221" s="160">
        <f>ОИ4!G16</f>
        <v>0</v>
      </c>
      <c r="H221" s="160">
        <f>ОИ4!H16</f>
        <v>0</v>
      </c>
      <c r="I221" s="160">
        <f>ОИ4!I16</f>
        <v>0</v>
      </c>
      <c r="J221" s="160">
        <f>ОИ4!J16</f>
        <v>0</v>
      </c>
      <c r="K221" s="160">
        <f>ОИ4!K16</f>
        <v>0</v>
      </c>
      <c r="L221" s="160">
        <f>ОИ4!L16</f>
        <v>0</v>
      </c>
      <c r="M221" s="160">
        <f>ОИ4!M16</f>
        <v>0</v>
      </c>
      <c r="N221" s="160">
        <f>ОИ4!N16</f>
        <v>0</v>
      </c>
      <c r="O221" s="160">
        <f>ОИ4!O16</f>
        <v>0</v>
      </c>
      <c r="P221" s="160">
        <f>ОИ4!P16</f>
        <v>0</v>
      </c>
      <c r="Q221" s="160">
        <f>ОИ4!Q16</f>
        <v>0</v>
      </c>
      <c r="R221" s="160">
        <f>ОИ4!R16</f>
        <v>0.52017403677807783</v>
      </c>
    </row>
    <row r="222" spans="1:18" ht="15.75" x14ac:dyDescent="0.25">
      <c r="A222" s="84">
        <v>16</v>
      </c>
      <c r="B222" s="84" t="s">
        <v>16</v>
      </c>
      <c r="C222" s="160" t="e">
        <f>ОИ4!C17</f>
        <v>#REF!</v>
      </c>
      <c r="D222" s="160" t="e">
        <f>ОИ4!D17</f>
        <v>#REF!</v>
      </c>
      <c r="E222" s="160">
        <f>ОИ4!E17</f>
        <v>0</v>
      </c>
      <c r="F222" s="160">
        <f>ОИ4!F17</f>
        <v>0</v>
      </c>
      <c r="G222" s="160">
        <f>ОИ4!G17</f>
        <v>0</v>
      </c>
      <c r="H222" s="160">
        <f>ОИ4!H17</f>
        <v>0</v>
      </c>
      <c r="I222" s="160">
        <f>ОИ4!I17</f>
        <v>0</v>
      </c>
      <c r="J222" s="160">
        <f>ОИ4!J17</f>
        <v>0</v>
      </c>
      <c r="K222" s="160">
        <f>ОИ4!K17</f>
        <v>0</v>
      </c>
      <c r="L222" s="160">
        <f>ОИ4!L17</f>
        <v>0</v>
      </c>
      <c r="M222" s="160">
        <f>ОИ4!M17</f>
        <v>0</v>
      </c>
      <c r="N222" s="160">
        <f>ОИ4!N17</f>
        <v>0</v>
      </c>
      <c r="O222" s="160">
        <f>ОИ4!O17</f>
        <v>0</v>
      </c>
      <c r="P222" s="160">
        <f>ОИ4!P17</f>
        <v>0</v>
      </c>
      <c r="Q222" s="160">
        <f>ОИ4!Q17</f>
        <v>0</v>
      </c>
      <c r="R222" s="160">
        <f>ОИ4!R17</f>
        <v>0.4942976367367351</v>
      </c>
    </row>
    <row r="223" spans="1:18" ht="15.75" x14ac:dyDescent="0.25">
      <c r="A223" s="84">
        <v>17</v>
      </c>
      <c r="B223" s="84" t="s">
        <v>17</v>
      </c>
      <c r="C223" s="160" t="e">
        <f>ОИ4!C18</f>
        <v>#REF!</v>
      </c>
      <c r="D223" s="160" t="e">
        <f>ОИ4!D18</f>
        <v>#REF!</v>
      </c>
      <c r="E223" s="160">
        <f>ОИ4!E18</f>
        <v>0</v>
      </c>
      <c r="F223" s="160">
        <f>ОИ4!F18</f>
        <v>0</v>
      </c>
      <c r="G223" s="160">
        <f>ОИ4!G18</f>
        <v>0</v>
      </c>
      <c r="H223" s="160">
        <f>ОИ4!H18</f>
        <v>0</v>
      </c>
      <c r="I223" s="160">
        <f>ОИ4!I18</f>
        <v>0</v>
      </c>
      <c r="J223" s="160">
        <f>ОИ4!J18</f>
        <v>0</v>
      </c>
      <c r="K223" s="160">
        <f>ОИ4!K18</f>
        <v>0</v>
      </c>
      <c r="L223" s="160">
        <f>ОИ4!L18</f>
        <v>0</v>
      </c>
      <c r="M223" s="160">
        <f>ОИ4!M18</f>
        <v>0</v>
      </c>
      <c r="N223" s="160">
        <f>ОИ4!N18</f>
        <v>0</v>
      </c>
      <c r="O223" s="160">
        <f>ОИ4!O18</f>
        <v>0</v>
      </c>
      <c r="P223" s="160">
        <f>ОИ4!P18</f>
        <v>0</v>
      </c>
      <c r="Q223" s="160">
        <f>ОИ4!Q18</f>
        <v>0</v>
      </c>
      <c r="R223" s="160">
        <f>ОИ4!R18</f>
        <v>0.53335831836673808</v>
      </c>
    </row>
    <row r="224" spans="1:18" ht="15.75" x14ac:dyDescent="0.25">
      <c r="A224" s="84">
        <v>18</v>
      </c>
      <c r="B224" s="84" t="s">
        <v>18</v>
      </c>
      <c r="C224" s="160" t="e">
        <f>ОИ4!C19</f>
        <v>#REF!</v>
      </c>
      <c r="D224" s="160" t="e">
        <f>ОИ4!D19</f>
        <v>#REF!</v>
      </c>
      <c r="E224" s="160">
        <f>ОИ4!E19</f>
        <v>0</v>
      </c>
      <c r="F224" s="160">
        <f>ОИ4!F19</f>
        <v>0</v>
      </c>
      <c r="G224" s="160">
        <f>ОИ4!G19</f>
        <v>0</v>
      </c>
      <c r="H224" s="160">
        <f>ОИ4!H19</f>
        <v>0</v>
      </c>
      <c r="I224" s="160">
        <f>ОИ4!I19</f>
        <v>0</v>
      </c>
      <c r="J224" s="160">
        <f>ОИ4!J19</f>
        <v>0</v>
      </c>
      <c r="K224" s="160">
        <f>ОИ4!K19</f>
        <v>0</v>
      </c>
      <c r="L224" s="160">
        <f>ОИ4!L19</f>
        <v>0</v>
      </c>
      <c r="M224" s="160">
        <f>ОИ4!M19</f>
        <v>0</v>
      </c>
      <c r="N224" s="160">
        <f>ОИ4!N19</f>
        <v>0</v>
      </c>
      <c r="O224" s="160">
        <f>ОИ4!O19</f>
        <v>0</v>
      </c>
      <c r="P224" s="160">
        <f>ОИ4!P19</f>
        <v>0</v>
      </c>
      <c r="Q224" s="160">
        <f>ОИ4!Q19</f>
        <v>0</v>
      </c>
      <c r="R224" s="160">
        <f>ОИ4!R19</f>
        <v>0.42965089014569974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CC84"/>
  <sheetViews>
    <sheetView topLeftCell="AE1" workbookViewId="0">
      <selection activeCell="AE3" sqref="AE3"/>
    </sheetView>
  </sheetViews>
  <sheetFormatPr defaultRowHeight="15" x14ac:dyDescent="0.25"/>
  <cols>
    <col min="1" max="1" width="35.7109375" customWidth="1"/>
    <col min="5" max="6" width="9.7109375" customWidth="1"/>
    <col min="50" max="50" width="9.5703125" bestFit="1" customWidth="1"/>
    <col min="55" max="55" width="9.5703125" bestFit="1" customWidth="1"/>
    <col min="60" max="60" width="9.5703125" bestFit="1" customWidth="1"/>
    <col min="65" max="65" width="9.7109375" bestFit="1" customWidth="1"/>
    <col min="70" max="70" width="9.7109375" bestFit="1" customWidth="1"/>
    <col min="72" max="72" width="9.5703125" bestFit="1" customWidth="1"/>
    <col min="73" max="73" width="9.28515625" bestFit="1" customWidth="1"/>
    <col min="74" max="74" width="12.42578125" bestFit="1" customWidth="1"/>
    <col min="75" max="76" width="12.42578125" customWidth="1"/>
    <col min="77" max="77" width="11.28515625" bestFit="1" customWidth="1"/>
    <col min="80" max="80" width="9.7109375" bestFit="1" customWidth="1"/>
  </cols>
  <sheetData>
    <row r="1" spans="1:81" x14ac:dyDescent="0.25">
      <c r="B1" s="175">
        <v>2005</v>
      </c>
      <c r="C1" s="176"/>
      <c r="D1" s="176"/>
      <c r="E1" s="176"/>
      <c r="F1" s="177"/>
      <c r="G1" s="175">
        <v>2006</v>
      </c>
      <c r="H1" s="176"/>
      <c r="I1" s="176"/>
      <c r="J1" s="176"/>
      <c r="K1" s="177"/>
      <c r="L1" s="175">
        <v>2007</v>
      </c>
      <c r="M1" s="176"/>
      <c r="N1" s="176"/>
      <c r="O1" s="176"/>
      <c r="P1" s="177"/>
      <c r="Q1" s="176">
        <v>2008</v>
      </c>
      <c r="R1" s="176"/>
      <c r="S1" s="176"/>
      <c r="T1" s="176"/>
      <c r="U1" s="177"/>
      <c r="V1" s="175">
        <v>2009</v>
      </c>
      <c r="W1" s="176"/>
      <c r="X1" s="176"/>
      <c r="Y1" s="176"/>
      <c r="Z1" s="177"/>
      <c r="AA1" s="175">
        <v>2010</v>
      </c>
      <c r="AB1" s="176"/>
      <c r="AC1" s="176"/>
      <c r="AD1" s="176"/>
      <c r="AE1" s="177"/>
      <c r="AF1" s="175">
        <v>2011</v>
      </c>
      <c r="AG1" s="176"/>
      <c r="AH1" s="176"/>
      <c r="AI1" s="176"/>
      <c r="AJ1" s="177"/>
      <c r="AK1" s="178">
        <v>2012</v>
      </c>
      <c r="AL1" s="179"/>
      <c r="AM1" s="179"/>
      <c r="AN1" s="179"/>
      <c r="AO1" s="180"/>
      <c r="AP1" s="175">
        <v>2013</v>
      </c>
      <c r="AQ1" s="176"/>
      <c r="AR1" s="176"/>
      <c r="AS1" s="176"/>
      <c r="AT1" s="177"/>
      <c r="AU1" s="175">
        <v>2014</v>
      </c>
      <c r="AV1" s="176"/>
      <c r="AW1" s="176"/>
      <c r="AX1" s="176"/>
      <c r="AY1" s="177"/>
      <c r="AZ1" s="175">
        <v>2015</v>
      </c>
      <c r="BA1" s="176"/>
      <c r="BB1" s="176"/>
      <c r="BC1" s="176"/>
      <c r="BD1" s="177"/>
      <c r="BE1" s="175">
        <v>2016</v>
      </c>
      <c r="BF1" s="176"/>
      <c r="BG1" s="176"/>
      <c r="BH1" s="176"/>
      <c r="BI1" s="177"/>
      <c r="BJ1" s="175">
        <v>2017</v>
      </c>
      <c r="BK1" s="176"/>
      <c r="BL1" s="176"/>
      <c r="BM1" s="176"/>
      <c r="BN1" s="177"/>
      <c r="BO1" s="175">
        <v>2018</v>
      </c>
      <c r="BP1" s="176"/>
      <c r="BQ1" s="176"/>
      <c r="BR1" s="176"/>
      <c r="BS1" s="177"/>
      <c r="BT1" s="178">
        <v>2019</v>
      </c>
      <c r="BU1" s="179"/>
      <c r="BV1" s="179"/>
      <c r="BW1" s="179"/>
      <c r="BX1" s="179"/>
      <c r="BY1" s="175">
        <v>2020</v>
      </c>
      <c r="BZ1" s="176"/>
      <c r="CA1" s="176"/>
      <c r="CB1" s="176"/>
      <c r="CC1" s="177"/>
    </row>
    <row r="2" spans="1:81" x14ac:dyDescent="0.25">
      <c r="B2" s="24" t="s">
        <v>86</v>
      </c>
      <c r="C2" s="25" t="s">
        <v>89</v>
      </c>
      <c r="D2" s="26" t="s">
        <v>88</v>
      </c>
      <c r="E2" s="28" t="s">
        <v>90</v>
      </c>
      <c r="F2" s="28" t="s">
        <v>91</v>
      </c>
      <c r="G2" s="24" t="s">
        <v>86</v>
      </c>
      <c r="H2" s="25" t="s">
        <v>87</v>
      </c>
      <c r="I2" s="27" t="s">
        <v>88</v>
      </c>
      <c r="J2" s="29" t="s">
        <v>90</v>
      </c>
      <c r="K2" s="30" t="s">
        <v>91</v>
      </c>
      <c r="L2" s="24" t="s">
        <v>86</v>
      </c>
      <c r="M2" s="25" t="s">
        <v>87</v>
      </c>
      <c r="N2" s="26" t="s">
        <v>88</v>
      </c>
      <c r="O2" s="29" t="s">
        <v>90</v>
      </c>
      <c r="P2" s="30" t="s">
        <v>91</v>
      </c>
      <c r="Q2" s="27" t="s">
        <v>86</v>
      </c>
      <c r="R2" s="25" t="s">
        <v>87</v>
      </c>
      <c r="S2" s="26" t="s">
        <v>88</v>
      </c>
      <c r="T2" s="29" t="s">
        <v>90</v>
      </c>
      <c r="U2" s="30" t="s">
        <v>91</v>
      </c>
      <c r="V2" s="24" t="s">
        <v>86</v>
      </c>
      <c r="W2" s="25" t="s">
        <v>87</v>
      </c>
      <c r="X2" s="26" t="s">
        <v>88</v>
      </c>
      <c r="Y2" s="29" t="s">
        <v>90</v>
      </c>
      <c r="Z2" s="30" t="s">
        <v>91</v>
      </c>
      <c r="AA2" s="24" t="s">
        <v>86</v>
      </c>
      <c r="AB2" s="25" t="s">
        <v>87</v>
      </c>
      <c r="AC2" s="26" t="s">
        <v>88</v>
      </c>
      <c r="AD2" s="29" t="s">
        <v>90</v>
      </c>
      <c r="AE2" s="30" t="s">
        <v>91</v>
      </c>
      <c r="AF2" s="24" t="s">
        <v>86</v>
      </c>
      <c r="AG2" s="25" t="s">
        <v>87</v>
      </c>
      <c r="AH2" s="26" t="s">
        <v>88</v>
      </c>
      <c r="AI2" s="29" t="s">
        <v>90</v>
      </c>
      <c r="AJ2" s="30" t="s">
        <v>91</v>
      </c>
      <c r="AK2" s="24" t="s">
        <v>86</v>
      </c>
      <c r="AL2" s="25" t="s">
        <v>87</v>
      </c>
      <c r="AM2" s="27" t="s">
        <v>88</v>
      </c>
      <c r="AN2" s="29" t="s">
        <v>90</v>
      </c>
      <c r="AO2" s="30" t="s">
        <v>91</v>
      </c>
      <c r="AP2" s="24" t="s">
        <v>86</v>
      </c>
      <c r="AQ2" s="25" t="s">
        <v>87</v>
      </c>
      <c r="AR2" s="26" t="s">
        <v>88</v>
      </c>
      <c r="AS2" s="29" t="s">
        <v>90</v>
      </c>
      <c r="AT2" s="30" t="s">
        <v>91</v>
      </c>
      <c r="AU2" s="24" t="s">
        <v>86</v>
      </c>
      <c r="AV2" s="25" t="s">
        <v>87</v>
      </c>
      <c r="AW2" s="27" t="s">
        <v>88</v>
      </c>
      <c r="AX2" s="29" t="s">
        <v>90</v>
      </c>
      <c r="AY2" s="30" t="s">
        <v>91</v>
      </c>
      <c r="AZ2" s="27" t="s">
        <v>86</v>
      </c>
      <c r="BA2" s="25" t="s">
        <v>87</v>
      </c>
      <c r="BB2" s="27" t="s">
        <v>88</v>
      </c>
      <c r="BC2" s="29" t="s">
        <v>90</v>
      </c>
      <c r="BD2" s="30" t="s">
        <v>91</v>
      </c>
      <c r="BE2" s="27" t="s">
        <v>86</v>
      </c>
      <c r="BF2" s="25" t="s">
        <v>87</v>
      </c>
      <c r="BG2" s="26" t="s">
        <v>88</v>
      </c>
      <c r="BH2" s="29" t="s">
        <v>90</v>
      </c>
      <c r="BI2" s="30" t="s">
        <v>91</v>
      </c>
      <c r="BJ2" s="24" t="s">
        <v>86</v>
      </c>
      <c r="BK2" s="25" t="s">
        <v>87</v>
      </c>
      <c r="BL2" s="27" t="s">
        <v>88</v>
      </c>
      <c r="BM2" s="29" t="s">
        <v>90</v>
      </c>
      <c r="BN2" s="30" t="s">
        <v>91</v>
      </c>
      <c r="BO2" s="27" t="s">
        <v>86</v>
      </c>
      <c r="BP2" s="25" t="s">
        <v>87</v>
      </c>
      <c r="BQ2" s="27" t="s">
        <v>88</v>
      </c>
      <c r="BR2" s="29" t="s">
        <v>90</v>
      </c>
      <c r="BS2" s="30" t="s">
        <v>91</v>
      </c>
      <c r="BT2" s="24" t="s">
        <v>86</v>
      </c>
      <c r="BU2" s="25" t="s">
        <v>87</v>
      </c>
      <c r="BV2" s="27" t="s">
        <v>88</v>
      </c>
      <c r="BW2" s="29" t="s">
        <v>90</v>
      </c>
      <c r="BX2" s="30" t="s">
        <v>91</v>
      </c>
      <c r="BY2" s="27" t="s">
        <v>86</v>
      </c>
      <c r="BZ2" s="25" t="s">
        <v>87</v>
      </c>
      <c r="CA2" s="27" t="s">
        <v>88</v>
      </c>
      <c r="CB2" s="29" t="s">
        <v>90</v>
      </c>
      <c r="CC2" s="30" t="s">
        <v>91</v>
      </c>
    </row>
    <row r="3" spans="1:81" x14ac:dyDescent="0.25">
      <c r="A3" t="s">
        <v>1</v>
      </c>
      <c r="B3" s="8">
        <v>2206.9</v>
      </c>
      <c r="C3" s="9">
        <v>1.5</v>
      </c>
      <c r="D3" s="4">
        <f t="shared" ref="D3:D21" si="0">B3/C3*100</f>
        <v>147126.66666666666</v>
      </c>
      <c r="E3" s="9">
        <v>1204622</v>
      </c>
      <c r="F3">
        <f>D3/E3*100</f>
        <v>12.213513173980441</v>
      </c>
      <c r="G3" s="8">
        <v>1658.8</v>
      </c>
      <c r="H3" s="9">
        <v>0.9</v>
      </c>
      <c r="I3">
        <f>G3/H3*100</f>
        <v>184311.11111111109</v>
      </c>
      <c r="J3" s="8">
        <v>734637</v>
      </c>
      <c r="K3" s="4">
        <f t="shared" ref="K3:K31" si="1">J3/I3*100</f>
        <v>398.58530262840611</v>
      </c>
      <c r="L3" s="8">
        <v>13377.9</v>
      </c>
      <c r="M3" s="9">
        <v>5.3</v>
      </c>
      <c r="N3" s="4">
        <f>L3/M3*100</f>
        <v>252413.20754716982</v>
      </c>
      <c r="O3" s="9">
        <v>799094</v>
      </c>
      <c r="P3" s="4">
        <f>O3/N3*100</f>
        <v>316.58169069883911</v>
      </c>
      <c r="Q3" s="9">
        <v>32978.9</v>
      </c>
      <c r="R3" s="9">
        <v>10.4</v>
      </c>
      <c r="S3" s="4">
        <f>Q3/R3*100</f>
        <v>317104.80769230769</v>
      </c>
      <c r="T3" s="9">
        <v>1213.5999999999999</v>
      </c>
      <c r="U3">
        <f>T3/S3*100</f>
        <v>0.38271258289391097</v>
      </c>
      <c r="V3" s="8">
        <v>10437.5</v>
      </c>
      <c r="W3" s="9">
        <v>4.0999999999999996</v>
      </c>
      <c r="X3" s="4">
        <f>V3/W3*100</f>
        <v>254573.17073170733</v>
      </c>
      <c r="Y3" s="9">
        <v>1197.8</v>
      </c>
      <c r="Z3">
        <f>Y3/X3*100</f>
        <v>0.47051305389221554</v>
      </c>
      <c r="AA3" s="8">
        <v>9391.6</v>
      </c>
      <c r="AB3" s="10">
        <v>2.6</v>
      </c>
      <c r="AC3" s="4">
        <f>AA3/AB3*100</f>
        <v>361215.38461538462</v>
      </c>
      <c r="AD3" s="8">
        <v>3072.3</v>
      </c>
      <c r="AE3" s="4">
        <f>AD3/AC3*100</f>
        <v>0.85054516802248825</v>
      </c>
      <c r="AF3" s="8">
        <v>15457.4</v>
      </c>
      <c r="AG3" s="11">
        <v>3.7</v>
      </c>
      <c r="AH3" s="4">
        <f>AF3/AG3*100</f>
        <v>417767.56756756752</v>
      </c>
      <c r="AI3" s="8">
        <v>2136.6</v>
      </c>
      <c r="AJ3" s="4">
        <f>AI3/AH3*100</f>
        <v>0.5114327118402836</v>
      </c>
      <c r="AK3" s="8">
        <v>21683.4</v>
      </c>
      <c r="AL3" s="12">
        <v>4</v>
      </c>
      <c r="AM3">
        <f t="shared" ref="AM3:AM32" si="2">AK3/AL3*100</f>
        <v>542085</v>
      </c>
      <c r="AN3" s="8">
        <v>1629</v>
      </c>
      <c r="AO3" s="4">
        <f>AN3/AM3*100</f>
        <v>0.30050637815102799</v>
      </c>
      <c r="AP3" s="8">
        <v>21246.5</v>
      </c>
      <c r="AQ3" s="12">
        <v>4.3</v>
      </c>
      <c r="AR3" s="4">
        <f>AP3/AQ3*100</f>
        <v>494104.65116279072</v>
      </c>
      <c r="AS3" s="8">
        <v>1107.4000000000001</v>
      </c>
      <c r="AT3" s="4">
        <f>AS3/AR3*100</f>
        <v>0.22412256136304806</v>
      </c>
      <c r="AU3" s="8">
        <v>23098.3</v>
      </c>
      <c r="AV3" s="12">
        <v>4.4000000000000004</v>
      </c>
      <c r="AW3">
        <f>AU3/AV3*100</f>
        <v>524961.36363636365</v>
      </c>
      <c r="AX3" s="8">
        <v>4108.8</v>
      </c>
      <c r="AY3" s="4">
        <f>AX3/AW3*100</f>
        <v>0.78268617170960642</v>
      </c>
      <c r="AZ3" s="9">
        <v>29348.1</v>
      </c>
      <c r="BA3" s="10">
        <v>5</v>
      </c>
      <c r="BB3">
        <f>AZ3/BA3*100</f>
        <v>586962</v>
      </c>
      <c r="BC3" s="21">
        <v>2392.9</v>
      </c>
      <c r="BD3" s="4">
        <f>BC3/BB3*100</f>
        <v>0.40767545428835256</v>
      </c>
      <c r="BE3" s="9">
        <v>56411.5</v>
      </c>
      <c r="BF3" s="9">
        <v>7.3</v>
      </c>
      <c r="BG3">
        <f>BE3/BF3*100</f>
        <v>772760.27397260279</v>
      </c>
      <c r="BH3" s="8">
        <v>20339</v>
      </c>
      <c r="BI3" s="4">
        <f>BH3/BG3*100</f>
        <v>2.6319934765074495</v>
      </c>
      <c r="BJ3" s="9">
        <v>101169.60000000001</v>
      </c>
      <c r="BK3" s="10">
        <v>11.6</v>
      </c>
      <c r="BL3">
        <f>BJ3/BK3*100</f>
        <v>872151.72413793113</v>
      </c>
      <c r="BM3" s="36">
        <v>23852.391</v>
      </c>
      <c r="BN3" s="4">
        <f>BM3/BL3*100</f>
        <v>2.7348900816055415</v>
      </c>
      <c r="BO3" s="9">
        <v>139301.4</v>
      </c>
      <c r="BP3" s="10">
        <v>14.9</v>
      </c>
      <c r="BQ3">
        <f>BO3/BP3*100</f>
        <v>934908.72483221465</v>
      </c>
      <c r="BR3" s="36">
        <v>20703.163399999998</v>
      </c>
      <c r="BS3" s="4">
        <f>BR3/BQ3*100</f>
        <v>2.2144582513887157</v>
      </c>
      <c r="BT3" s="21">
        <v>150727.9</v>
      </c>
      <c r="BU3" s="10">
        <v>13.9</v>
      </c>
      <c r="BV3">
        <f>BT3/BU3*100</f>
        <v>1084373.3812949641</v>
      </c>
      <c r="BW3" s="2"/>
      <c r="BX3" s="42">
        <v>2.8</v>
      </c>
      <c r="BY3" s="32">
        <v>158024.27669999999</v>
      </c>
      <c r="BZ3" s="40">
        <v>14.070921047370369</v>
      </c>
      <c r="CA3">
        <f>BY3/BZ3*100</f>
        <v>1123055.6703999999</v>
      </c>
      <c r="CB3" s="36">
        <v>21540.9264</v>
      </c>
      <c r="CC3" s="4">
        <f>CB3/CA3*100</f>
        <v>1.9180639898579332</v>
      </c>
    </row>
    <row r="4" spans="1:81" x14ac:dyDescent="0.25">
      <c r="A4" t="s">
        <v>2</v>
      </c>
      <c r="B4" s="8">
        <v>4461.3999999999996</v>
      </c>
      <c r="C4" s="9">
        <v>11.3</v>
      </c>
      <c r="D4" s="4">
        <f t="shared" si="0"/>
        <v>39481.415929203533</v>
      </c>
      <c r="E4" s="9">
        <v>440022</v>
      </c>
      <c r="F4">
        <f t="shared" ref="F4:F21" si="3">E4/D4*100</f>
        <v>1114.5041018514369</v>
      </c>
      <c r="G4" s="8">
        <v>3591.7</v>
      </c>
      <c r="H4" s="9">
        <v>5.8</v>
      </c>
      <c r="I4">
        <f t="shared" ref="I4:I67" si="4">G4/H4*100</f>
        <v>61925.862068965514</v>
      </c>
      <c r="J4" s="8">
        <v>592243</v>
      </c>
      <c r="K4" s="4">
        <f t="shared" si="1"/>
        <v>956.37425174708358</v>
      </c>
      <c r="L4" s="8">
        <v>8161.4</v>
      </c>
      <c r="M4" s="9">
        <v>9.6</v>
      </c>
      <c r="N4" s="4">
        <f t="shared" ref="N4:N67" si="5">L4/M4*100</f>
        <v>85014.583333333343</v>
      </c>
      <c r="O4" s="9">
        <v>831287</v>
      </c>
      <c r="P4" s="4">
        <f t="shared" ref="P4:P65" si="6">O4/N4*100</f>
        <v>977.81694317151459</v>
      </c>
      <c r="Q4" s="9">
        <v>10155.1</v>
      </c>
      <c r="R4" s="9">
        <v>11.3</v>
      </c>
      <c r="S4" s="4">
        <f t="shared" ref="S4:S65" si="7">Q4/R4*100</f>
        <v>89868.14159292035</v>
      </c>
      <c r="T4" s="9">
        <v>718.1</v>
      </c>
      <c r="U4">
        <f t="shared" ref="U4:U65" si="8">T4/S4*100</f>
        <v>0.79905958582387171</v>
      </c>
      <c r="V4" s="8">
        <v>9913.6</v>
      </c>
      <c r="W4" s="9">
        <v>12.3</v>
      </c>
      <c r="X4" s="4">
        <f t="shared" ref="X4:X66" si="9">V4/W4*100</f>
        <v>80598.373983739846</v>
      </c>
      <c r="Y4" s="9">
        <v>415.7</v>
      </c>
      <c r="Z4">
        <f t="shared" ref="Z4:Z66" si="10">Y4/X4*100</f>
        <v>0.51576722885732729</v>
      </c>
      <c r="AA4" s="8">
        <v>4434.3999999999996</v>
      </c>
      <c r="AB4" s="10">
        <v>4.7</v>
      </c>
      <c r="AC4" s="4">
        <f t="shared" ref="AC4:AC66" si="11">AA4/AB4*100</f>
        <v>94348.93617021275</v>
      </c>
      <c r="AD4" s="8">
        <v>929.7</v>
      </c>
      <c r="AE4" s="4">
        <f t="shared" ref="AE4:AE66" si="12">AD4/AC4*100</f>
        <v>0.98538471946599326</v>
      </c>
      <c r="AF4" s="8">
        <v>5807.6</v>
      </c>
      <c r="AG4" s="11">
        <v>6</v>
      </c>
      <c r="AH4" s="4">
        <f t="shared" ref="AH4:AH67" si="13">AF4/AG4*100</f>
        <v>96793.333333333343</v>
      </c>
      <c r="AI4" s="8">
        <v>1368.4</v>
      </c>
      <c r="AJ4" s="4">
        <f t="shared" ref="AJ4:AJ67" si="14">AI4/AH4*100</f>
        <v>1.4137337282181968</v>
      </c>
      <c r="AK4" s="8">
        <v>11171.2</v>
      </c>
      <c r="AL4" s="12">
        <v>10.199999999999999</v>
      </c>
      <c r="AM4">
        <f t="shared" si="2"/>
        <v>109521.56862745101</v>
      </c>
      <c r="AN4" s="8">
        <v>2426.6999999999998</v>
      </c>
      <c r="AO4" s="4">
        <f t="shared" ref="AO4:AO67" si="15">AN4/AM4*100</f>
        <v>2.2157279432827264</v>
      </c>
      <c r="AP4" s="8">
        <v>6654.9</v>
      </c>
      <c r="AQ4" s="12">
        <v>5.4</v>
      </c>
      <c r="AR4" s="4">
        <f t="shared" ref="AR4:AR65" si="16">AP4/AQ4*100</f>
        <v>123238.88888888888</v>
      </c>
      <c r="AS4" s="8">
        <v>2080.3000000000002</v>
      </c>
      <c r="AT4" s="4">
        <f t="shared" ref="AT4:AT65" si="17">AS4/AR4*100</f>
        <v>1.6880223594644552</v>
      </c>
      <c r="AU4" s="8">
        <v>8312.2999999999993</v>
      </c>
      <c r="AV4" s="12">
        <v>6.5</v>
      </c>
      <c r="AW4">
        <f t="shared" ref="AW4:AW65" si="18">AU4/AV4*100</f>
        <v>127881.53846153845</v>
      </c>
      <c r="AX4" s="8">
        <v>1246.3</v>
      </c>
      <c r="AY4" s="4">
        <f t="shared" ref="AY4:AY65" si="19">AX4/AW4*100</f>
        <v>0.97457382433261541</v>
      </c>
      <c r="AZ4" s="9">
        <v>25445.200000000001</v>
      </c>
      <c r="BA4" s="10">
        <v>16.5</v>
      </c>
      <c r="BB4">
        <f t="shared" ref="BB4:BB67" si="20">AZ4/BA4*100</f>
        <v>154213.33333333334</v>
      </c>
      <c r="BC4" s="21">
        <v>1460.8</v>
      </c>
      <c r="BD4" s="4">
        <f t="shared" ref="BD4:BD67" si="21">BC4/BB4*100</f>
        <v>0.94725920802351715</v>
      </c>
      <c r="BE4" s="9">
        <v>30150.2</v>
      </c>
      <c r="BF4" s="9">
        <v>18.8</v>
      </c>
      <c r="BG4">
        <f t="shared" ref="BG4:BG67" si="22">BE4/BF4*100</f>
        <v>160373.40425531915</v>
      </c>
      <c r="BH4" s="8">
        <v>2789.9</v>
      </c>
      <c r="BI4" s="4">
        <f t="shared" ref="BI4:BI67" si="23">BH4/BG4*100</f>
        <v>1.7396275978268803</v>
      </c>
      <c r="BJ4" s="9">
        <v>12198.6</v>
      </c>
      <c r="BK4" s="10">
        <v>7.3</v>
      </c>
      <c r="BL4">
        <f t="shared" ref="BL4:BL67" si="24">BJ4/BK4*100</f>
        <v>167104.10958904109</v>
      </c>
      <c r="BM4" s="36">
        <v>1466.8642</v>
      </c>
      <c r="BN4" s="4">
        <f t="shared" ref="BN4:BN67" si="25">BM4/BL4*100</f>
        <v>0.87781455740822723</v>
      </c>
      <c r="BO4" s="9">
        <v>6235.7</v>
      </c>
      <c r="BP4" s="10">
        <v>3.3</v>
      </c>
      <c r="BQ4">
        <f t="shared" ref="BQ4:BQ67" si="26">BO4/BP4*100</f>
        <v>188960.60606060608</v>
      </c>
      <c r="BR4" s="36">
        <v>2164.5777000000003</v>
      </c>
      <c r="BS4" s="4">
        <f t="shared" ref="BS4:BS67" si="27">BR4/BQ4*100</f>
        <v>1.1455179707170007</v>
      </c>
      <c r="BT4" s="21">
        <v>16261</v>
      </c>
      <c r="BU4" s="10">
        <v>5.9</v>
      </c>
      <c r="BV4">
        <f t="shared" ref="BV4:BV67" si="28">BT4/BU4*100</f>
        <v>275610.16949152539</v>
      </c>
      <c r="BW4" s="2"/>
      <c r="BX4" s="42">
        <v>0.8</v>
      </c>
      <c r="BY4" s="32">
        <v>31792.658100000001</v>
      </c>
      <c r="BZ4" s="40">
        <v>9.6831815181120451</v>
      </c>
      <c r="CA4">
        <f t="shared" ref="CA4:CA67" si="29">BY4/BZ4*100</f>
        <v>328328.63910000003</v>
      </c>
      <c r="CB4" s="36">
        <v>3742.3265999999999</v>
      </c>
      <c r="CC4" s="4">
        <f t="shared" ref="CC4:CC67" si="30">CB4/CA4*100</f>
        <v>1.1398111996133813</v>
      </c>
    </row>
    <row r="5" spans="1:81" x14ac:dyDescent="0.25">
      <c r="A5" t="s">
        <v>3</v>
      </c>
      <c r="B5" s="8">
        <v>3390.6</v>
      </c>
      <c r="C5" s="9">
        <v>4</v>
      </c>
      <c r="D5" s="4">
        <f t="shared" si="0"/>
        <v>84765</v>
      </c>
      <c r="E5" s="9">
        <v>673517</v>
      </c>
      <c r="F5">
        <f t="shared" si="3"/>
        <v>794.56969267976172</v>
      </c>
      <c r="G5" s="8">
        <v>6849</v>
      </c>
      <c r="H5" s="9">
        <v>7.1</v>
      </c>
      <c r="I5">
        <f t="shared" si="4"/>
        <v>96464.788732394372</v>
      </c>
      <c r="J5" s="8">
        <v>1333860</v>
      </c>
      <c r="K5" s="4">
        <f t="shared" si="1"/>
        <v>1382.7428821725798</v>
      </c>
      <c r="L5" s="8">
        <v>7023.2</v>
      </c>
      <c r="M5" s="9">
        <v>5.5</v>
      </c>
      <c r="N5" s="4">
        <f t="shared" si="5"/>
        <v>127694.54545454546</v>
      </c>
      <c r="O5" s="9">
        <v>1857127</v>
      </c>
      <c r="P5" s="4">
        <f t="shared" si="6"/>
        <v>1454.3510792801003</v>
      </c>
      <c r="Q5" s="9">
        <v>5110.3999999999996</v>
      </c>
      <c r="R5" s="9">
        <v>3.1</v>
      </c>
      <c r="S5" s="4">
        <f t="shared" si="7"/>
        <v>164851.61290322579</v>
      </c>
      <c r="T5" s="9">
        <v>1962.8</v>
      </c>
      <c r="U5">
        <f t="shared" si="8"/>
        <v>1.190646524733876</v>
      </c>
      <c r="V5" s="8">
        <v>4665</v>
      </c>
      <c r="W5" s="9">
        <v>3.2</v>
      </c>
      <c r="X5" s="4">
        <f t="shared" si="9"/>
        <v>145781.25</v>
      </c>
      <c r="Y5" s="9">
        <v>3204</v>
      </c>
      <c r="Z5">
        <f t="shared" si="10"/>
        <v>2.1978135048231513</v>
      </c>
      <c r="AA5" s="8">
        <v>4958</v>
      </c>
      <c r="AB5" s="10">
        <v>2.2999999999999998</v>
      </c>
      <c r="AC5" s="4">
        <f t="shared" si="11"/>
        <v>215565.21739130435</v>
      </c>
      <c r="AD5" s="8">
        <v>2613.1</v>
      </c>
      <c r="AE5" s="4">
        <f t="shared" si="12"/>
        <v>1.2122085518354175</v>
      </c>
      <c r="AF5" s="8">
        <v>17029.900000000001</v>
      </c>
      <c r="AG5" s="11">
        <v>7.4</v>
      </c>
      <c r="AH5" s="4">
        <f t="shared" si="13"/>
        <v>230133.78378378379</v>
      </c>
      <c r="AI5" s="8">
        <v>3314.9</v>
      </c>
      <c r="AJ5" s="4">
        <f t="shared" si="14"/>
        <v>1.4404230206871445</v>
      </c>
      <c r="AK5" s="8">
        <v>26496.9</v>
      </c>
      <c r="AL5" s="12">
        <v>10.6</v>
      </c>
      <c r="AM5">
        <f t="shared" si="2"/>
        <v>249970.75471698117</v>
      </c>
      <c r="AN5" s="8">
        <v>3849.9</v>
      </c>
      <c r="AO5" s="4">
        <f t="shared" si="15"/>
        <v>1.5401401673403303</v>
      </c>
      <c r="AP5" s="8">
        <v>24829.9</v>
      </c>
      <c r="AQ5" s="12">
        <v>9.4</v>
      </c>
      <c r="AR5" s="4">
        <f t="shared" si="16"/>
        <v>264147.87234042556</v>
      </c>
      <c r="AS5" s="8">
        <v>4720.8</v>
      </c>
      <c r="AT5" s="4">
        <f t="shared" si="17"/>
        <v>1.7871807780136046</v>
      </c>
      <c r="AU5" s="8">
        <v>22782.1</v>
      </c>
      <c r="AV5" s="12">
        <v>8.3000000000000007</v>
      </c>
      <c r="AW5">
        <f t="shared" si="18"/>
        <v>274483.13253012043</v>
      </c>
      <c r="AX5" s="8">
        <v>5906.6</v>
      </c>
      <c r="AY5" s="4">
        <f t="shared" si="19"/>
        <v>2.1518990786626349</v>
      </c>
      <c r="AZ5" s="9">
        <v>27015.3</v>
      </c>
      <c r="BA5" s="10">
        <v>9.6</v>
      </c>
      <c r="BB5">
        <f t="shared" si="20"/>
        <v>281409.375</v>
      </c>
      <c r="BC5" s="21">
        <v>9978.7000000000007</v>
      </c>
      <c r="BD5" s="4">
        <f t="shared" si="21"/>
        <v>3.545972837614241</v>
      </c>
      <c r="BE5" s="9">
        <v>21262.5</v>
      </c>
      <c r="BF5" s="9">
        <v>5.8</v>
      </c>
      <c r="BG5">
        <f t="shared" si="22"/>
        <v>366594.82758620696</v>
      </c>
      <c r="BH5" s="8">
        <v>6734.6</v>
      </c>
      <c r="BI5" s="4">
        <f t="shared" si="23"/>
        <v>1.8370690182245735</v>
      </c>
      <c r="BJ5" s="9">
        <v>34029.9</v>
      </c>
      <c r="BK5" s="10">
        <v>8.1</v>
      </c>
      <c r="BL5">
        <f t="shared" si="24"/>
        <v>420122.22222222225</v>
      </c>
      <c r="BM5" s="36">
        <v>6077.5890999999992</v>
      </c>
      <c r="BN5" s="4">
        <f t="shared" si="25"/>
        <v>1.4466240485572979</v>
      </c>
      <c r="BO5" s="9">
        <v>17097.599999999999</v>
      </c>
      <c r="BP5" s="10">
        <v>3.6</v>
      </c>
      <c r="BQ5">
        <f t="shared" si="26"/>
        <v>474933.33333333331</v>
      </c>
      <c r="BR5" s="36">
        <v>7249.7788</v>
      </c>
      <c r="BS5" s="4">
        <f t="shared" si="27"/>
        <v>1.5264834643458731</v>
      </c>
      <c r="BT5" s="21">
        <v>34001.300000000003</v>
      </c>
      <c r="BU5" s="10">
        <v>6.5</v>
      </c>
      <c r="BV5">
        <f t="shared" si="28"/>
        <v>523096.92307692312</v>
      </c>
      <c r="BW5" s="2"/>
      <c r="BX5" s="42">
        <v>2.7</v>
      </c>
      <c r="BY5" s="32">
        <v>39150.613799999999</v>
      </c>
      <c r="BZ5" s="40">
        <v>7.0155652048219181</v>
      </c>
      <c r="CA5">
        <f t="shared" si="29"/>
        <v>558053.59450000001</v>
      </c>
      <c r="CB5" s="36">
        <v>11950.511199999999</v>
      </c>
      <c r="CC5" s="4">
        <f t="shared" si="30"/>
        <v>2.1414629916876198</v>
      </c>
    </row>
    <row r="6" spans="1:81" x14ac:dyDescent="0.25">
      <c r="A6" t="s">
        <v>4</v>
      </c>
      <c r="B6" s="8">
        <v>6407.7</v>
      </c>
      <c r="C6" s="9">
        <v>7.3</v>
      </c>
      <c r="D6" s="4">
        <f t="shared" si="0"/>
        <v>87776.712328767127</v>
      </c>
      <c r="E6" s="9">
        <v>1733864</v>
      </c>
      <c r="F6">
        <f t="shared" si="3"/>
        <v>1975.3120776565695</v>
      </c>
      <c r="G6" s="8">
        <v>4231.7</v>
      </c>
      <c r="H6" s="9">
        <v>3.9</v>
      </c>
      <c r="I6">
        <f t="shared" si="4"/>
        <v>108505.1282051282</v>
      </c>
      <c r="J6" s="8">
        <v>2097874</v>
      </c>
      <c r="K6" s="4">
        <f t="shared" si="1"/>
        <v>1933.4330410945956</v>
      </c>
      <c r="L6" s="8">
        <v>16037.5</v>
      </c>
      <c r="M6" s="9">
        <v>11.5</v>
      </c>
      <c r="N6" s="4">
        <f t="shared" si="5"/>
        <v>139456.52173913043</v>
      </c>
      <c r="O6" s="9">
        <v>2454560</v>
      </c>
      <c r="P6" s="4">
        <f t="shared" si="6"/>
        <v>1760.0897895557289</v>
      </c>
      <c r="Q6" s="9">
        <v>11196.4</v>
      </c>
      <c r="R6" s="9">
        <v>7.3</v>
      </c>
      <c r="S6" s="4">
        <f t="shared" si="7"/>
        <v>153375.34246575343</v>
      </c>
      <c r="T6" s="9">
        <v>6263.5</v>
      </c>
      <c r="U6">
        <f t="shared" si="8"/>
        <v>4.0837724625772562</v>
      </c>
      <c r="V6" s="8">
        <v>7505.1</v>
      </c>
      <c r="W6" s="9">
        <v>4.5999999999999996</v>
      </c>
      <c r="X6" s="4">
        <f t="shared" si="9"/>
        <v>163154.34782608697</v>
      </c>
      <c r="Y6" s="9">
        <v>4674.6000000000004</v>
      </c>
      <c r="Z6">
        <f t="shared" si="10"/>
        <v>2.8651397050005993</v>
      </c>
      <c r="AA6" s="8">
        <v>13431.8</v>
      </c>
      <c r="AB6" s="10">
        <v>7.1</v>
      </c>
      <c r="AC6" s="4">
        <f t="shared" si="11"/>
        <v>189180.28169014084</v>
      </c>
      <c r="AD6" s="8">
        <v>3190.3</v>
      </c>
      <c r="AE6" s="4">
        <f t="shared" si="12"/>
        <v>1.686380827588261</v>
      </c>
      <c r="AF6" s="8">
        <v>15588.5</v>
      </c>
      <c r="AG6" s="11">
        <v>6.3</v>
      </c>
      <c r="AH6" s="4">
        <f t="shared" si="13"/>
        <v>247436.50793650796</v>
      </c>
      <c r="AI6" s="8">
        <v>8995.2999999999993</v>
      </c>
      <c r="AJ6" s="4">
        <f t="shared" si="14"/>
        <v>3.6353972479712602</v>
      </c>
      <c r="AK6" s="8">
        <v>16169.4</v>
      </c>
      <c r="AL6" s="12">
        <v>5.6</v>
      </c>
      <c r="AM6">
        <f t="shared" si="2"/>
        <v>288739.28571428574</v>
      </c>
      <c r="AN6" s="8">
        <v>6608.9</v>
      </c>
      <c r="AO6" s="4">
        <f t="shared" si="15"/>
        <v>2.2888814674632325</v>
      </c>
      <c r="AP6" s="8">
        <v>13520.8</v>
      </c>
      <c r="AQ6" s="12">
        <v>4.5999999999999996</v>
      </c>
      <c r="AR6" s="4">
        <f t="shared" si="16"/>
        <v>293930.4347826087</v>
      </c>
      <c r="AS6" s="8">
        <v>7564.3</v>
      </c>
      <c r="AT6" s="4">
        <f t="shared" si="17"/>
        <v>2.5735000887521449</v>
      </c>
      <c r="AU6" s="8">
        <v>24742.400000000001</v>
      </c>
      <c r="AV6" s="12">
        <v>7.2</v>
      </c>
      <c r="AW6">
        <f t="shared" si="18"/>
        <v>343644.44444444444</v>
      </c>
      <c r="AX6" s="8">
        <v>6769.7</v>
      </c>
      <c r="AY6" s="4">
        <f t="shared" si="19"/>
        <v>1.9699721934816345</v>
      </c>
      <c r="AZ6" s="9">
        <v>50120.6</v>
      </c>
      <c r="BA6" s="10">
        <v>12.4</v>
      </c>
      <c r="BB6">
        <f t="shared" si="20"/>
        <v>404198.38709677412</v>
      </c>
      <c r="BC6" s="21">
        <v>9905.2000000000007</v>
      </c>
      <c r="BD6" s="4">
        <f t="shared" si="21"/>
        <v>2.4505788039249339</v>
      </c>
      <c r="BE6" s="9">
        <v>27123.599999999999</v>
      </c>
      <c r="BF6" s="9">
        <v>5.9</v>
      </c>
      <c r="BG6">
        <f t="shared" si="22"/>
        <v>459722.03389830503</v>
      </c>
      <c r="BH6" s="8">
        <v>7729.3</v>
      </c>
      <c r="BI6" s="4">
        <f t="shared" si="23"/>
        <v>1.6812985739356134</v>
      </c>
      <c r="BJ6" s="9">
        <v>32481.8</v>
      </c>
      <c r="BK6" s="10">
        <v>6.1</v>
      </c>
      <c r="BL6">
        <f t="shared" si="24"/>
        <v>532488.52459016396</v>
      </c>
      <c r="BM6" s="36">
        <v>13518.6942</v>
      </c>
      <c r="BN6" s="4">
        <f t="shared" si="25"/>
        <v>2.5387766262953408</v>
      </c>
      <c r="BO6" s="9">
        <v>36250.300000000003</v>
      </c>
      <c r="BP6" s="10">
        <v>5.9</v>
      </c>
      <c r="BQ6">
        <f t="shared" si="26"/>
        <v>614411.86440677964</v>
      </c>
      <c r="BR6" s="36">
        <v>12725.116199999999</v>
      </c>
      <c r="BS6" s="4">
        <f t="shared" si="27"/>
        <v>2.0711052206464498</v>
      </c>
      <c r="BT6" s="21">
        <v>57946.9</v>
      </c>
      <c r="BU6" s="10">
        <v>7.3</v>
      </c>
      <c r="BV6">
        <f t="shared" si="28"/>
        <v>793793.15068493155</v>
      </c>
      <c r="BW6" s="2"/>
      <c r="BX6" s="42">
        <v>2.8</v>
      </c>
      <c r="BY6" s="32">
        <v>43602.299200000001</v>
      </c>
      <c r="BZ6" s="40">
        <v>6.1519422797735137</v>
      </c>
      <c r="CA6">
        <f t="shared" si="29"/>
        <v>708756.63679999998</v>
      </c>
      <c r="CB6" s="36">
        <v>24847.902899999997</v>
      </c>
      <c r="CC6" s="4">
        <f t="shared" si="30"/>
        <v>3.5058441233350579</v>
      </c>
    </row>
    <row r="7" spans="1:81" x14ac:dyDescent="0.25">
      <c r="A7" t="s">
        <v>5</v>
      </c>
      <c r="B7" s="8">
        <v>452.3</v>
      </c>
      <c r="C7" s="9">
        <v>1.3</v>
      </c>
      <c r="D7" s="4">
        <f t="shared" si="0"/>
        <v>34792.307692307688</v>
      </c>
      <c r="E7" s="9">
        <v>494151</v>
      </c>
      <c r="F7">
        <f t="shared" si="3"/>
        <v>1420.2880831306657</v>
      </c>
      <c r="G7" s="8">
        <v>736.8</v>
      </c>
      <c r="H7" s="9">
        <v>1.5</v>
      </c>
      <c r="I7">
        <f t="shared" si="4"/>
        <v>49120</v>
      </c>
      <c r="J7" s="8">
        <v>134722</v>
      </c>
      <c r="K7" s="4">
        <f t="shared" si="1"/>
        <v>274.2711726384365</v>
      </c>
      <c r="L7" s="8">
        <v>2496</v>
      </c>
      <c r="M7" s="9">
        <v>4.3</v>
      </c>
      <c r="N7" s="4">
        <f t="shared" si="5"/>
        <v>58046.511627906977</v>
      </c>
      <c r="O7" s="9">
        <v>1003971</v>
      </c>
      <c r="P7" s="4">
        <f t="shared" si="6"/>
        <v>1729.5974759615383</v>
      </c>
      <c r="Q7" s="9">
        <v>2526.9</v>
      </c>
      <c r="R7" s="9">
        <v>4.4000000000000004</v>
      </c>
      <c r="S7" s="4">
        <f t="shared" si="7"/>
        <v>57429.545454545449</v>
      </c>
      <c r="T7" s="9">
        <v>636.5</v>
      </c>
      <c r="U7">
        <f t="shared" si="8"/>
        <v>1.1083145355969766</v>
      </c>
      <c r="V7" s="8">
        <v>1619.6</v>
      </c>
      <c r="W7" s="9">
        <v>3.2</v>
      </c>
      <c r="X7" s="4">
        <f t="shared" si="9"/>
        <v>50612.499999999993</v>
      </c>
      <c r="Y7" s="9">
        <v>4070.1</v>
      </c>
      <c r="Z7">
        <f t="shared" si="10"/>
        <v>8.0416893060014836</v>
      </c>
      <c r="AA7" s="8">
        <v>2479.9</v>
      </c>
      <c r="AB7" s="10">
        <v>3.5</v>
      </c>
      <c r="AC7" s="4">
        <f t="shared" si="11"/>
        <v>70854.285714285725</v>
      </c>
      <c r="AD7" s="8">
        <v>2519.5</v>
      </c>
      <c r="AE7" s="4">
        <f t="shared" si="12"/>
        <v>3.555889350377031</v>
      </c>
      <c r="AF7" s="8">
        <v>2492.8000000000002</v>
      </c>
      <c r="AG7" s="11">
        <v>3.1</v>
      </c>
      <c r="AH7" s="4">
        <f t="shared" si="13"/>
        <v>80412.903225806454</v>
      </c>
      <c r="AI7" s="8">
        <v>811.8</v>
      </c>
      <c r="AJ7" s="4">
        <f t="shared" si="14"/>
        <v>1.0095394736842103</v>
      </c>
      <c r="AK7" s="8">
        <v>514.70000000000005</v>
      </c>
      <c r="AL7" s="12">
        <v>0.6</v>
      </c>
      <c r="AM7">
        <f t="shared" si="2"/>
        <v>85783.333333333343</v>
      </c>
      <c r="AN7" s="8">
        <v>797.1</v>
      </c>
      <c r="AO7" s="4">
        <f t="shared" si="15"/>
        <v>0.92920147658830365</v>
      </c>
      <c r="AP7" s="8">
        <v>463.1</v>
      </c>
      <c r="AQ7" s="12">
        <v>0.5</v>
      </c>
      <c r="AR7" s="4">
        <f t="shared" si="16"/>
        <v>92620</v>
      </c>
      <c r="AS7" s="8">
        <v>377.8</v>
      </c>
      <c r="AT7" s="4">
        <f t="shared" si="17"/>
        <v>0.40790326063485205</v>
      </c>
      <c r="AU7" s="8">
        <v>795.2</v>
      </c>
      <c r="AV7" s="12">
        <v>0.9</v>
      </c>
      <c r="AW7">
        <f t="shared" si="18"/>
        <v>88355.555555555547</v>
      </c>
      <c r="AX7" s="8">
        <v>225</v>
      </c>
      <c r="AY7" s="4">
        <f t="shared" si="19"/>
        <v>0.25465291750503022</v>
      </c>
      <c r="AZ7" s="9">
        <v>1342.5</v>
      </c>
      <c r="BA7" s="10">
        <v>1.5</v>
      </c>
      <c r="BB7">
        <f t="shared" si="20"/>
        <v>89500</v>
      </c>
      <c r="BC7" s="21">
        <v>282.8</v>
      </c>
      <c r="BD7" s="4">
        <f t="shared" si="21"/>
        <v>0.31597765363128494</v>
      </c>
      <c r="BE7" s="9">
        <v>261.5</v>
      </c>
      <c r="BF7" s="9">
        <v>0.2</v>
      </c>
      <c r="BG7">
        <f t="shared" si="22"/>
        <v>130750</v>
      </c>
      <c r="BH7" s="8">
        <v>361</v>
      </c>
      <c r="BI7" s="4">
        <f t="shared" si="23"/>
        <v>0.27609942638623325</v>
      </c>
      <c r="BJ7" s="9">
        <v>219.2</v>
      </c>
      <c r="BK7" s="10">
        <v>0.2</v>
      </c>
      <c r="BL7">
        <f t="shared" si="24"/>
        <v>109599.99999999997</v>
      </c>
      <c r="BM7" s="36">
        <v>253.32570000000001</v>
      </c>
      <c r="BN7" s="4">
        <f t="shared" si="25"/>
        <v>0.23113658759124095</v>
      </c>
      <c r="BO7" s="9">
        <v>732.1</v>
      </c>
      <c r="BP7" s="10">
        <v>0.6</v>
      </c>
      <c r="BQ7">
        <f t="shared" si="26"/>
        <v>122016.66666666667</v>
      </c>
      <c r="BR7" s="36">
        <v>154.70400000000001</v>
      </c>
      <c r="BS7" s="4">
        <f t="shared" si="27"/>
        <v>0.12678923644310885</v>
      </c>
      <c r="BT7" s="21">
        <v>7938.1</v>
      </c>
      <c r="BU7" s="10">
        <v>4.5999999999999996</v>
      </c>
      <c r="BV7">
        <f t="shared" si="28"/>
        <v>172567.39130434784</v>
      </c>
      <c r="BW7" s="2"/>
      <c r="BX7" s="42">
        <v>0.1</v>
      </c>
      <c r="BY7" s="32">
        <v>5398.8689999999997</v>
      </c>
      <c r="BZ7" s="40">
        <v>2.8511244011422101</v>
      </c>
      <c r="CA7">
        <f t="shared" si="29"/>
        <v>189359.29269999999</v>
      </c>
      <c r="CB7" s="36">
        <v>1402.3951000000002</v>
      </c>
      <c r="CC7" s="4">
        <f t="shared" si="30"/>
        <v>0.74060009414050809</v>
      </c>
    </row>
    <row r="8" spans="1:81" x14ac:dyDescent="0.25">
      <c r="A8" t="s">
        <v>6</v>
      </c>
      <c r="B8" s="8">
        <v>2715.1</v>
      </c>
      <c r="C8" s="9">
        <v>5.3</v>
      </c>
      <c r="D8" s="4">
        <f t="shared" si="0"/>
        <v>51228.301886792455</v>
      </c>
      <c r="E8" s="9">
        <v>1020090</v>
      </c>
      <c r="F8">
        <f t="shared" si="3"/>
        <v>1991.2625685978417</v>
      </c>
      <c r="G8" s="8">
        <v>3549.6</v>
      </c>
      <c r="H8" s="9">
        <v>5</v>
      </c>
      <c r="I8">
        <f t="shared" si="4"/>
        <v>70992</v>
      </c>
      <c r="J8" s="8">
        <v>768521</v>
      </c>
      <c r="K8" s="4">
        <f t="shared" si="1"/>
        <v>1082.5459206671176</v>
      </c>
      <c r="L8" s="8">
        <v>4724.5</v>
      </c>
      <c r="M8" s="9">
        <v>5.4</v>
      </c>
      <c r="N8" s="4">
        <f t="shared" si="5"/>
        <v>87490.740740740745</v>
      </c>
      <c r="O8" s="9">
        <v>1229625</v>
      </c>
      <c r="P8" s="4">
        <f t="shared" si="6"/>
        <v>1405.4344375066144</v>
      </c>
      <c r="Q8" s="9">
        <v>4302</v>
      </c>
      <c r="R8" s="9">
        <v>3</v>
      </c>
      <c r="S8" s="4">
        <f t="shared" si="7"/>
        <v>143400</v>
      </c>
      <c r="T8" s="9">
        <v>1848.4</v>
      </c>
      <c r="U8">
        <f t="shared" si="8"/>
        <v>1.2889818688981869</v>
      </c>
      <c r="V8" s="8">
        <v>4386.6000000000004</v>
      </c>
      <c r="W8" s="9">
        <v>2.7</v>
      </c>
      <c r="X8" s="4">
        <f t="shared" si="9"/>
        <v>162466.66666666669</v>
      </c>
      <c r="Y8" s="9">
        <v>1360.3</v>
      </c>
      <c r="Z8">
        <f t="shared" si="10"/>
        <v>0.83727944193680748</v>
      </c>
      <c r="AA8" s="8">
        <v>7190.6</v>
      </c>
      <c r="AB8" s="10">
        <v>2.8</v>
      </c>
      <c r="AC8" s="4">
        <f t="shared" si="11"/>
        <v>256807.1428571429</v>
      </c>
      <c r="AD8" s="8">
        <v>5321.5</v>
      </c>
      <c r="AE8" s="4">
        <f t="shared" si="12"/>
        <v>2.0721775651545071</v>
      </c>
      <c r="AF8" s="8">
        <v>15667.6</v>
      </c>
      <c r="AG8" s="11">
        <v>4.5999999999999996</v>
      </c>
      <c r="AH8" s="4">
        <f t="shared" si="13"/>
        <v>340600.00000000006</v>
      </c>
      <c r="AI8" s="8">
        <v>8448.4</v>
      </c>
      <c r="AJ8" s="4">
        <f t="shared" si="14"/>
        <v>2.4804462712859654</v>
      </c>
      <c r="AK8" s="8">
        <v>19439.8</v>
      </c>
      <c r="AL8" s="12">
        <v>4.5</v>
      </c>
      <c r="AM8">
        <f t="shared" si="2"/>
        <v>431995.5555555555</v>
      </c>
      <c r="AN8" s="8">
        <v>6787.1</v>
      </c>
      <c r="AO8" s="4">
        <f t="shared" si="15"/>
        <v>1.5711041265856647</v>
      </c>
      <c r="AP8" s="8">
        <v>15924.8</v>
      </c>
      <c r="AQ8" s="12">
        <v>3.6</v>
      </c>
      <c r="AR8" s="4">
        <f t="shared" si="16"/>
        <v>442355.55555555556</v>
      </c>
      <c r="AS8" s="8">
        <v>15574.9</v>
      </c>
      <c r="AT8" s="4">
        <f t="shared" si="17"/>
        <v>3.5209007334472018</v>
      </c>
      <c r="AU8" s="8">
        <v>13724.3</v>
      </c>
      <c r="AV8" s="12">
        <v>2.7</v>
      </c>
      <c r="AW8">
        <f t="shared" si="18"/>
        <v>508307.40740740742</v>
      </c>
      <c r="AX8" s="8">
        <v>13492</v>
      </c>
      <c r="AY8" s="4">
        <f t="shared" si="19"/>
        <v>2.6542993085257534</v>
      </c>
      <c r="AZ8" s="9">
        <v>14833.8</v>
      </c>
      <c r="BA8" s="10">
        <v>3.2</v>
      </c>
      <c r="BB8">
        <f t="shared" si="20"/>
        <v>463556.24999999988</v>
      </c>
      <c r="BC8" s="21">
        <v>11604.9</v>
      </c>
      <c r="BD8" s="4">
        <f t="shared" si="21"/>
        <v>2.5034502285321367</v>
      </c>
      <c r="BE8" s="9">
        <v>13978</v>
      </c>
      <c r="BF8" s="9">
        <v>2.7</v>
      </c>
      <c r="BG8">
        <f t="shared" si="22"/>
        <v>517703.70370370365</v>
      </c>
      <c r="BH8" s="8">
        <v>9232.9</v>
      </c>
      <c r="BI8" s="4">
        <f t="shared" si="23"/>
        <v>1.7834332522535417</v>
      </c>
      <c r="BJ8" s="9">
        <v>16574.3</v>
      </c>
      <c r="BK8" s="10">
        <v>2.7</v>
      </c>
      <c r="BL8">
        <f t="shared" si="24"/>
        <v>613862.96296296292</v>
      </c>
      <c r="BM8" s="36">
        <v>10539.6734</v>
      </c>
      <c r="BN8" s="4">
        <f t="shared" si="25"/>
        <v>1.7169423855004435</v>
      </c>
      <c r="BO8" s="9">
        <v>21001.5</v>
      </c>
      <c r="BP8" s="10">
        <v>2.7</v>
      </c>
      <c r="BQ8">
        <f t="shared" si="26"/>
        <v>777833.33333333326</v>
      </c>
      <c r="BR8" s="36">
        <v>10401.347800000001</v>
      </c>
      <c r="BS8" s="4">
        <f t="shared" si="27"/>
        <v>1.3372206299550036</v>
      </c>
      <c r="BT8" s="21">
        <v>17575.5</v>
      </c>
      <c r="BU8" s="10">
        <v>1.8</v>
      </c>
      <c r="BV8">
        <f t="shared" si="28"/>
        <v>976416.66666666663</v>
      </c>
      <c r="BW8" s="2"/>
      <c r="BX8" s="42">
        <v>0.5</v>
      </c>
      <c r="BY8" s="32">
        <v>21706.778999999999</v>
      </c>
      <c r="BZ8" s="40">
        <v>0.98726532557126978</v>
      </c>
      <c r="CA8">
        <f t="shared" si="29"/>
        <v>2198677.3400999997</v>
      </c>
      <c r="CB8" s="36">
        <v>15471.034800000001</v>
      </c>
      <c r="CC8" s="4">
        <f t="shared" si="30"/>
        <v>0.70365189643044002</v>
      </c>
    </row>
    <row r="9" spans="1:81" x14ac:dyDescent="0.25">
      <c r="A9" t="s">
        <v>7</v>
      </c>
      <c r="B9" s="8">
        <v>1523.5</v>
      </c>
      <c r="C9" s="9">
        <v>4.8</v>
      </c>
      <c r="D9" s="4">
        <f t="shared" si="0"/>
        <v>31739.583333333336</v>
      </c>
      <c r="E9" s="9">
        <v>604517</v>
      </c>
      <c r="F9">
        <f t="shared" si="3"/>
        <v>1904.6154250082047</v>
      </c>
      <c r="G9" s="8">
        <v>662</v>
      </c>
      <c r="H9" s="9">
        <v>1.5</v>
      </c>
      <c r="I9">
        <f t="shared" si="4"/>
        <v>44133.333333333328</v>
      </c>
      <c r="J9" s="8">
        <v>423845</v>
      </c>
      <c r="K9" s="4">
        <f t="shared" si="1"/>
        <v>960.37386706948644</v>
      </c>
      <c r="L9" s="8">
        <v>980.7</v>
      </c>
      <c r="M9" s="9">
        <v>1.5</v>
      </c>
      <c r="N9" s="4">
        <f t="shared" si="5"/>
        <v>65380.000000000007</v>
      </c>
      <c r="O9" s="9">
        <v>233323</v>
      </c>
      <c r="P9" s="4">
        <f t="shared" si="6"/>
        <v>356.87213215050468</v>
      </c>
      <c r="Q9" s="9">
        <v>1695.7</v>
      </c>
      <c r="R9" s="9">
        <v>2.2999999999999998</v>
      </c>
      <c r="S9" s="4">
        <f t="shared" si="7"/>
        <v>73726.086956521744</v>
      </c>
      <c r="T9" s="9">
        <v>424.7</v>
      </c>
      <c r="U9">
        <f t="shared" si="8"/>
        <v>0.57605118829981716</v>
      </c>
      <c r="V9" s="8">
        <v>2095.8000000000002</v>
      </c>
      <c r="W9" s="9">
        <v>3.8</v>
      </c>
      <c r="X9" s="4">
        <f t="shared" si="9"/>
        <v>55152.631578947374</v>
      </c>
      <c r="Y9" s="9">
        <v>564</v>
      </c>
      <c r="Z9">
        <f t="shared" si="10"/>
        <v>1.022616661895219</v>
      </c>
      <c r="AA9" s="8">
        <v>2159.1999999999998</v>
      </c>
      <c r="AB9" s="10">
        <v>3.1</v>
      </c>
      <c r="AC9" s="4">
        <f t="shared" si="11"/>
        <v>69651.612903225789</v>
      </c>
      <c r="AD9" s="8">
        <v>827.6</v>
      </c>
      <c r="AE9" s="4">
        <f t="shared" si="12"/>
        <v>1.1881993330863287</v>
      </c>
      <c r="AF9" s="8">
        <v>3299</v>
      </c>
      <c r="AG9" s="11">
        <v>3.5</v>
      </c>
      <c r="AH9" s="4">
        <f t="shared" si="13"/>
        <v>94257.142857142855</v>
      </c>
      <c r="AI9" s="8">
        <v>459.9</v>
      </c>
      <c r="AJ9" s="4">
        <f t="shared" si="14"/>
        <v>0.4879205819945438</v>
      </c>
      <c r="AK9" s="8">
        <v>3451.8</v>
      </c>
      <c r="AL9" s="12">
        <v>3.1</v>
      </c>
      <c r="AM9">
        <f t="shared" si="2"/>
        <v>111348.3870967742</v>
      </c>
      <c r="AN9" s="8">
        <v>723</v>
      </c>
      <c r="AO9" s="4">
        <f t="shared" si="15"/>
        <v>0.64931340170345897</v>
      </c>
      <c r="AP9" s="8">
        <v>2272.1</v>
      </c>
      <c r="AQ9" s="12">
        <v>1.9</v>
      </c>
      <c r="AR9" s="4">
        <f t="shared" si="16"/>
        <v>119584.21052631579</v>
      </c>
      <c r="AS9" s="8">
        <v>504.5</v>
      </c>
      <c r="AT9" s="4">
        <f t="shared" si="17"/>
        <v>0.42187843844901191</v>
      </c>
      <c r="AU9" s="8">
        <v>2504.8000000000002</v>
      </c>
      <c r="AV9" s="12">
        <v>2</v>
      </c>
      <c r="AW9">
        <f t="shared" si="18"/>
        <v>125240.00000000001</v>
      </c>
      <c r="AX9" s="8">
        <v>486.4</v>
      </c>
      <c r="AY9" s="4">
        <f t="shared" si="19"/>
        <v>0.38837432130309796</v>
      </c>
      <c r="AZ9" s="9">
        <v>2198.4</v>
      </c>
      <c r="BA9" s="10">
        <v>1.8</v>
      </c>
      <c r="BB9">
        <f t="shared" si="20"/>
        <v>122133.33333333333</v>
      </c>
      <c r="BC9" s="21">
        <v>1706.5</v>
      </c>
      <c r="BD9" s="4">
        <f t="shared" si="21"/>
        <v>1.3972434497816595</v>
      </c>
      <c r="BE9" s="9">
        <v>9140</v>
      </c>
      <c r="BF9" s="9">
        <v>6.7</v>
      </c>
      <c r="BG9">
        <f t="shared" si="22"/>
        <v>136417.91044776118</v>
      </c>
      <c r="BH9" s="8">
        <v>1146.3</v>
      </c>
      <c r="BI9" s="4">
        <f t="shared" si="23"/>
        <v>0.84028555798687088</v>
      </c>
      <c r="BJ9" s="9">
        <v>14590.9</v>
      </c>
      <c r="BK9" s="10">
        <v>9.9</v>
      </c>
      <c r="BL9">
        <f t="shared" si="24"/>
        <v>147382.82828282827</v>
      </c>
      <c r="BM9" s="36">
        <v>559.60230000000001</v>
      </c>
      <c r="BN9" s="4">
        <f t="shared" si="25"/>
        <v>0.37969301208287365</v>
      </c>
      <c r="BO9" s="9">
        <v>11621.3</v>
      </c>
      <c r="BP9" s="10">
        <v>7.5</v>
      </c>
      <c r="BQ9">
        <f t="shared" si="26"/>
        <v>154950.66666666666</v>
      </c>
      <c r="BR9" s="36">
        <v>685.34780000000001</v>
      </c>
      <c r="BS9" s="4">
        <f t="shared" si="27"/>
        <v>0.44230064622718634</v>
      </c>
      <c r="BT9" s="21">
        <v>5376.4</v>
      </c>
      <c r="BU9" s="10">
        <v>3</v>
      </c>
      <c r="BV9">
        <f t="shared" si="28"/>
        <v>179213.33333333331</v>
      </c>
      <c r="BW9" s="2"/>
      <c r="BX9" s="42">
        <v>0.4</v>
      </c>
      <c r="BY9" s="32">
        <v>10341.0841</v>
      </c>
      <c r="BZ9" s="40">
        <v>5.91081339540907</v>
      </c>
      <c r="CA9">
        <f t="shared" si="29"/>
        <v>174951.96359999999</v>
      </c>
      <c r="CB9" s="36">
        <v>453.5222</v>
      </c>
      <c r="CC9" s="4">
        <f t="shared" si="30"/>
        <v>0.25922669895658151</v>
      </c>
    </row>
    <row r="10" spans="1:81" x14ac:dyDescent="0.25">
      <c r="A10" t="s">
        <v>8</v>
      </c>
      <c r="B10" s="8">
        <v>1428.8</v>
      </c>
      <c r="C10" s="9">
        <v>2</v>
      </c>
      <c r="D10" s="4">
        <f t="shared" si="0"/>
        <v>71440</v>
      </c>
      <c r="E10" s="9">
        <v>1080233</v>
      </c>
      <c r="F10">
        <f t="shared" si="3"/>
        <v>1512.0842665173573</v>
      </c>
      <c r="G10" s="8">
        <v>2285.1</v>
      </c>
      <c r="H10" s="9">
        <v>2.5</v>
      </c>
      <c r="I10">
        <f t="shared" si="4"/>
        <v>91404</v>
      </c>
      <c r="J10" s="8">
        <v>1505143</v>
      </c>
      <c r="K10" s="4">
        <f t="shared" si="1"/>
        <v>1646.692704914446</v>
      </c>
      <c r="L10" s="8">
        <v>2445.5</v>
      </c>
      <c r="M10" s="9">
        <v>2.1</v>
      </c>
      <c r="N10" s="4">
        <f t="shared" si="5"/>
        <v>116452.38095238095</v>
      </c>
      <c r="O10" s="9">
        <v>640406</v>
      </c>
      <c r="P10" s="4">
        <f t="shared" si="6"/>
        <v>549.92950316908605</v>
      </c>
      <c r="Q10" s="9">
        <v>1390.8</v>
      </c>
      <c r="R10" s="9">
        <v>1</v>
      </c>
      <c r="S10" s="4">
        <f t="shared" si="7"/>
        <v>139080</v>
      </c>
      <c r="T10" s="9">
        <v>744.1</v>
      </c>
      <c r="U10">
        <f t="shared" si="8"/>
        <v>0.53501581823410982</v>
      </c>
      <c r="V10" s="8">
        <v>467.7</v>
      </c>
      <c r="W10" s="9">
        <v>0.4</v>
      </c>
      <c r="X10" s="4">
        <f t="shared" si="9"/>
        <v>116925</v>
      </c>
      <c r="Y10" s="9">
        <v>737</v>
      </c>
      <c r="Z10">
        <f t="shared" si="10"/>
        <v>0.63031858028650845</v>
      </c>
      <c r="AA10" s="8">
        <v>1007.7</v>
      </c>
      <c r="AB10" s="10">
        <v>0.6</v>
      </c>
      <c r="AC10" s="4">
        <f t="shared" si="11"/>
        <v>167950.00000000003</v>
      </c>
      <c r="AD10" s="8">
        <v>476.8</v>
      </c>
      <c r="AE10" s="4">
        <f t="shared" si="12"/>
        <v>0.28389401607621312</v>
      </c>
      <c r="AF10" s="8">
        <v>4738.5</v>
      </c>
      <c r="AG10" s="11">
        <v>2.5</v>
      </c>
      <c r="AH10" s="4">
        <f t="shared" si="13"/>
        <v>189540</v>
      </c>
      <c r="AI10" s="8">
        <v>1878.9</v>
      </c>
      <c r="AJ10" s="4">
        <f t="shared" si="14"/>
        <v>0.99129471351693588</v>
      </c>
      <c r="AK10" s="8">
        <v>6364</v>
      </c>
      <c r="AL10" s="12">
        <v>3.2</v>
      </c>
      <c r="AM10">
        <f t="shared" si="2"/>
        <v>198875</v>
      </c>
      <c r="AN10" s="8">
        <v>2784.8</v>
      </c>
      <c r="AO10" s="4">
        <f t="shared" si="15"/>
        <v>1.4002765556253929</v>
      </c>
      <c r="AP10" s="8">
        <v>8591.2999999999993</v>
      </c>
      <c r="AQ10" s="12">
        <v>4.3</v>
      </c>
      <c r="AR10" s="4">
        <f t="shared" si="16"/>
        <v>199797.67441860464</v>
      </c>
      <c r="AS10" s="8">
        <v>7710.6</v>
      </c>
      <c r="AT10" s="4">
        <f t="shared" si="17"/>
        <v>3.8592040785445745</v>
      </c>
      <c r="AU10" s="8">
        <v>13363.3</v>
      </c>
      <c r="AV10" s="12">
        <v>6.5</v>
      </c>
      <c r="AW10">
        <f t="shared" si="18"/>
        <v>205589.23076923075</v>
      </c>
      <c r="AX10" s="8">
        <v>4545.8</v>
      </c>
      <c r="AY10" s="4">
        <f t="shared" si="19"/>
        <v>2.21110803469203</v>
      </c>
      <c r="AZ10" s="9">
        <v>15087.2</v>
      </c>
      <c r="BA10" s="10">
        <v>6.2</v>
      </c>
      <c r="BB10">
        <f t="shared" si="20"/>
        <v>243341.93548387097</v>
      </c>
      <c r="BC10" s="21">
        <v>1022.4</v>
      </c>
      <c r="BD10" s="4">
        <f t="shared" si="21"/>
        <v>0.42014953072803429</v>
      </c>
      <c r="BE10" s="9">
        <v>24698.799999999999</v>
      </c>
      <c r="BF10" s="9">
        <v>7.6</v>
      </c>
      <c r="BG10">
        <f t="shared" si="22"/>
        <v>324984.21052631579</v>
      </c>
      <c r="BH10" s="8">
        <v>2236.5</v>
      </c>
      <c r="BI10" s="4">
        <f t="shared" si="23"/>
        <v>0.68818728035370136</v>
      </c>
      <c r="BJ10" s="9">
        <v>30361</v>
      </c>
      <c r="BK10" s="10">
        <v>8.4</v>
      </c>
      <c r="BL10">
        <f t="shared" si="24"/>
        <v>361440.47619047621</v>
      </c>
      <c r="BM10" s="36">
        <v>2061.0149000000001</v>
      </c>
      <c r="BN10" s="4">
        <f t="shared" si="25"/>
        <v>0.57022249464773889</v>
      </c>
      <c r="BO10" s="9">
        <v>48761.8</v>
      </c>
      <c r="BP10" s="10">
        <v>12</v>
      </c>
      <c r="BQ10">
        <f t="shared" si="26"/>
        <v>406348.33333333337</v>
      </c>
      <c r="BR10" s="36">
        <v>2928.5210999999999</v>
      </c>
      <c r="BS10" s="4">
        <f t="shared" si="27"/>
        <v>0.72069228781546202</v>
      </c>
      <c r="BT10" s="21">
        <v>26754.2</v>
      </c>
      <c r="BU10" s="10">
        <v>5.5</v>
      </c>
      <c r="BV10">
        <f t="shared" si="28"/>
        <v>486440.00000000006</v>
      </c>
      <c r="BW10" s="2"/>
      <c r="BX10" s="42">
        <v>0.7</v>
      </c>
      <c r="BY10" s="32">
        <v>30310.376199999999</v>
      </c>
      <c r="BZ10" s="40">
        <v>5.7604573870613196</v>
      </c>
      <c r="CA10">
        <f t="shared" si="29"/>
        <v>526180.02639999997</v>
      </c>
      <c r="CB10" s="36">
        <v>1738.2717</v>
      </c>
      <c r="CC10" s="4">
        <f t="shared" si="30"/>
        <v>0.33035683849363234</v>
      </c>
    </row>
    <row r="11" spans="1:81" x14ac:dyDescent="0.25">
      <c r="A11" t="s">
        <v>9</v>
      </c>
      <c r="B11" s="8">
        <v>6937.6</v>
      </c>
      <c r="C11" s="9">
        <v>3.9</v>
      </c>
      <c r="D11" s="4">
        <f t="shared" si="0"/>
        <v>177887.1794871795</v>
      </c>
      <c r="E11" s="9">
        <v>927253</v>
      </c>
      <c r="F11">
        <f t="shared" si="3"/>
        <v>521.25903770756452</v>
      </c>
      <c r="G11" s="8">
        <v>6212.7</v>
      </c>
      <c r="H11" s="9">
        <v>2.7</v>
      </c>
      <c r="I11">
        <f t="shared" si="4"/>
        <v>230100</v>
      </c>
      <c r="J11" s="8">
        <v>1092537</v>
      </c>
      <c r="K11" s="4">
        <f t="shared" si="1"/>
        <v>474.80964797913953</v>
      </c>
      <c r="L11" s="8">
        <v>10109.4</v>
      </c>
      <c r="M11" s="9">
        <v>3.6</v>
      </c>
      <c r="N11" s="4">
        <f t="shared" si="5"/>
        <v>280816.66666666663</v>
      </c>
      <c r="O11" s="9">
        <v>1719158</v>
      </c>
      <c r="P11" s="4">
        <f t="shared" si="6"/>
        <v>612.19941836310761</v>
      </c>
      <c r="Q11" s="9">
        <v>16192.2</v>
      </c>
      <c r="R11" s="9">
        <v>4.7</v>
      </c>
      <c r="S11" s="4">
        <f t="shared" si="7"/>
        <v>344514.89361702127</v>
      </c>
      <c r="T11" s="9">
        <v>1854.4</v>
      </c>
      <c r="U11">
        <f t="shared" si="8"/>
        <v>0.53826410246909007</v>
      </c>
      <c r="V11" s="8">
        <v>31491.9</v>
      </c>
      <c r="W11" s="9">
        <v>12.5</v>
      </c>
      <c r="X11" s="4">
        <f t="shared" si="9"/>
        <v>251935.20000000004</v>
      </c>
      <c r="Y11" s="9">
        <v>25644</v>
      </c>
      <c r="Z11">
        <f t="shared" si="10"/>
        <v>10.178807883932057</v>
      </c>
      <c r="AA11" s="8">
        <v>31511.200000000001</v>
      </c>
      <c r="AB11" s="10">
        <v>9.8000000000000007</v>
      </c>
      <c r="AC11" s="4">
        <f t="shared" si="11"/>
        <v>321542.8571428571</v>
      </c>
      <c r="AD11" s="8">
        <v>26417.200000000001</v>
      </c>
      <c r="AE11" s="4">
        <f t="shared" si="12"/>
        <v>8.2157632841656305</v>
      </c>
      <c r="AF11" s="8">
        <v>37106</v>
      </c>
      <c r="AG11" s="11">
        <v>9.9</v>
      </c>
      <c r="AH11" s="4">
        <f t="shared" si="13"/>
        <v>374808.08080808079</v>
      </c>
      <c r="AI11" s="8">
        <v>33983.4</v>
      </c>
      <c r="AJ11" s="4">
        <f t="shared" si="14"/>
        <v>9.0668802889020661</v>
      </c>
      <c r="AK11" s="8">
        <v>43584.4</v>
      </c>
      <c r="AL11" s="12">
        <v>10.9</v>
      </c>
      <c r="AM11">
        <f t="shared" si="2"/>
        <v>399856.88073394494</v>
      </c>
      <c r="AN11" s="8">
        <v>11881.1</v>
      </c>
      <c r="AO11" s="4">
        <f t="shared" si="15"/>
        <v>2.9713381393342573</v>
      </c>
      <c r="AP11" s="8">
        <v>54860.5</v>
      </c>
      <c r="AQ11" s="12">
        <v>13.3</v>
      </c>
      <c r="AR11" s="4">
        <f t="shared" si="16"/>
        <v>412484.96240601497</v>
      </c>
      <c r="AS11" s="8">
        <v>9892.1</v>
      </c>
      <c r="AT11" s="4">
        <f t="shared" si="17"/>
        <v>2.3981722733113995</v>
      </c>
      <c r="AU11" s="8">
        <v>63282.1</v>
      </c>
      <c r="AV11" s="12">
        <v>13.6</v>
      </c>
      <c r="AW11">
        <f t="shared" si="18"/>
        <v>465309.5588235294</v>
      </c>
      <c r="AX11" s="8">
        <v>11432.2</v>
      </c>
      <c r="AY11" s="4">
        <f t="shared" si="19"/>
        <v>2.4569020307480316</v>
      </c>
      <c r="AZ11" s="9">
        <v>64830.1</v>
      </c>
      <c r="BA11" s="10">
        <v>12.3</v>
      </c>
      <c r="BB11">
        <f t="shared" si="20"/>
        <v>527073.98373983731</v>
      </c>
      <c r="BC11" s="21">
        <v>9726.5</v>
      </c>
      <c r="BD11" s="4">
        <f t="shared" si="21"/>
        <v>1.8453766074709128</v>
      </c>
      <c r="BE11" s="9">
        <v>66242.7</v>
      </c>
      <c r="BF11" s="9">
        <v>10.5</v>
      </c>
      <c r="BG11">
        <f t="shared" si="22"/>
        <v>630882.85714285716</v>
      </c>
      <c r="BH11" s="8">
        <v>15813.5</v>
      </c>
      <c r="BI11" s="4">
        <f t="shared" si="23"/>
        <v>2.5065667613186058</v>
      </c>
      <c r="BJ11" s="9">
        <v>63108.2</v>
      </c>
      <c r="BK11" s="10">
        <v>9.3000000000000007</v>
      </c>
      <c r="BL11">
        <f t="shared" si="24"/>
        <v>678582.79569892469</v>
      </c>
      <c r="BM11" s="36">
        <v>15321.369000000001</v>
      </c>
      <c r="BN11" s="4">
        <f t="shared" si="25"/>
        <v>2.257848135424557</v>
      </c>
      <c r="BO11" s="9">
        <v>65606.100000000006</v>
      </c>
      <c r="BP11" s="10">
        <v>7.7</v>
      </c>
      <c r="BQ11">
        <f t="shared" si="26"/>
        <v>852027.27272727282</v>
      </c>
      <c r="BR11" s="36">
        <v>10461.491199999999</v>
      </c>
      <c r="BS11" s="4">
        <f t="shared" si="27"/>
        <v>1.2278352506855306</v>
      </c>
      <c r="BT11" s="21">
        <v>56295</v>
      </c>
      <c r="BU11" s="10">
        <v>7</v>
      </c>
      <c r="BV11">
        <f t="shared" si="28"/>
        <v>804214.28571428568</v>
      </c>
      <c r="BW11" s="2"/>
      <c r="BX11" s="42">
        <v>3.8</v>
      </c>
      <c r="BY11" s="32">
        <v>54397.1705</v>
      </c>
      <c r="BZ11" s="40">
        <v>6.2026623880136187</v>
      </c>
      <c r="CA11">
        <f t="shared" si="29"/>
        <v>876997.11989999993</v>
      </c>
      <c r="CB11" s="36">
        <v>42875.195899999999</v>
      </c>
      <c r="CC11" s="4">
        <f t="shared" si="30"/>
        <v>4.8888639343409546</v>
      </c>
    </row>
    <row r="12" spans="1:81" x14ac:dyDescent="0.25">
      <c r="A12" t="s">
        <v>10</v>
      </c>
      <c r="B12" s="8">
        <v>28811</v>
      </c>
      <c r="C12" s="9">
        <v>7.4</v>
      </c>
      <c r="D12" s="4">
        <f t="shared" si="0"/>
        <v>389337.83783783781</v>
      </c>
      <c r="E12" s="9">
        <v>7538179</v>
      </c>
      <c r="F12">
        <f t="shared" si="3"/>
        <v>1936.1537121238416</v>
      </c>
      <c r="G12" s="8">
        <v>56355.3</v>
      </c>
      <c r="H12" s="9">
        <v>5.2</v>
      </c>
      <c r="I12">
        <f t="shared" si="4"/>
        <v>1083755.7692307692</v>
      </c>
      <c r="J12" s="8">
        <v>7455074</v>
      </c>
      <c r="K12" s="4">
        <f t="shared" si="1"/>
        <v>687.89243957533722</v>
      </c>
      <c r="L12" s="8">
        <v>84382.8</v>
      </c>
      <c r="M12" s="9">
        <v>6.3</v>
      </c>
      <c r="N12" s="4">
        <f t="shared" si="5"/>
        <v>1339409.5238095238</v>
      </c>
      <c r="O12" s="9">
        <v>13717196</v>
      </c>
      <c r="P12" s="4">
        <f t="shared" si="6"/>
        <v>1024.1226268860478</v>
      </c>
      <c r="Q12" s="9">
        <v>104067.6</v>
      </c>
      <c r="R12" s="9">
        <v>9.9</v>
      </c>
      <c r="S12" s="4">
        <f t="shared" si="7"/>
        <v>1051187.8787878789</v>
      </c>
      <c r="T12" s="9">
        <v>11422.7</v>
      </c>
      <c r="U12">
        <f t="shared" si="8"/>
        <v>1.0866468526227182</v>
      </c>
      <c r="V12" s="8">
        <v>86496.6</v>
      </c>
      <c r="W12" s="9">
        <v>9.4</v>
      </c>
      <c r="X12" s="4">
        <f t="shared" si="9"/>
        <v>920176.59574468085</v>
      </c>
      <c r="Y12" s="9">
        <v>11377</v>
      </c>
      <c r="Z12">
        <f t="shared" si="10"/>
        <v>1.2363931067810758</v>
      </c>
      <c r="AA12" s="8">
        <v>90231.3</v>
      </c>
      <c r="AB12" s="10">
        <v>8.1</v>
      </c>
      <c r="AC12" s="4">
        <f t="shared" si="11"/>
        <v>1113966.6666666667</v>
      </c>
      <c r="AD12" s="8">
        <v>12134.5</v>
      </c>
      <c r="AE12" s="4">
        <f t="shared" si="12"/>
        <v>1.0893054849037971</v>
      </c>
      <c r="AF12" s="8">
        <v>104854.7</v>
      </c>
      <c r="AG12" s="11">
        <v>6.9</v>
      </c>
      <c r="AH12" s="4">
        <f t="shared" si="13"/>
        <v>1519633.3333333333</v>
      </c>
      <c r="AI12" s="8">
        <v>13236.5</v>
      </c>
      <c r="AJ12" s="4">
        <f t="shared" si="14"/>
        <v>0.87103248590668803</v>
      </c>
      <c r="AK12" s="8">
        <v>179782</v>
      </c>
      <c r="AL12" s="12">
        <v>10.5</v>
      </c>
      <c r="AM12">
        <f t="shared" si="2"/>
        <v>1712209.5238095238</v>
      </c>
      <c r="AN12" s="8">
        <v>52136</v>
      </c>
      <c r="AO12" s="4">
        <f t="shared" si="15"/>
        <v>3.0449544448276242</v>
      </c>
      <c r="AP12" s="8">
        <v>237539</v>
      </c>
      <c r="AQ12" s="12">
        <v>12.7</v>
      </c>
      <c r="AR12" s="4">
        <f t="shared" si="16"/>
        <v>1870385.8267716535</v>
      </c>
      <c r="AS12" s="8">
        <v>81299.5</v>
      </c>
      <c r="AT12" s="4">
        <f t="shared" si="17"/>
        <v>4.3466700205018967</v>
      </c>
      <c r="AU12" s="8">
        <v>268459.2</v>
      </c>
      <c r="AV12" s="12">
        <v>12.9</v>
      </c>
      <c r="AW12">
        <f t="shared" si="18"/>
        <v>2081079.0697674421</v>
      </c>
      <c r="AX12" s="8">
        <v>107693.6</v>
      </c>
      <c r="AY12" s="4">
        <f t="shared" si="19"/>
        <v>5.1748922741332759</v>
      </c>
      <c r="AZ12" s="9">
        <v>294032.09999999998</v>
      </c>
      <c r="BA12" s="10">
        <v>13.7</v>
      </c>
      <c r="BB12">
        <f t="shared" si="20"/>
        <v>2146219.7080291971</v>
      </c>
      <c r="BC12" s="21">
        <v>134313.9</v>
      </c>
      <c r="BD12" s="4">
        <f t="shared" si="21"/>
        <v>6.2581617109152363</v>
      </c>
      <c r="BE12" s="9">
        <v>357057.7</v>
      </c>
      <c r="BF12" s="9">
        <v>15.8</v>
      </c>
      <c r="BG12">
        <f t="shared" si="22"/>
        <v>2259858.8607594934</v>
      </c>
      <c r="BH12" s="8">
        <v>126656.5</v>
      </c>
      <c r="BI12" s="4">
        <f t="shared" si="23"/>
        <v>5.6046199255750553</v>
      </c>
      <c r="BJ12" s="9">
        <v>384328.6</v>
      </c>
      <c r="BK12" s="10">
        <v>14.7</v>
      </c>
      <c r="BL12">
        <f t="shared" si="24"/>
        <v>2614480.2721088436</v>
      </c>
      <c r="BM12" s="36">
        <v>136250.6384</v>
      </c>
      <c r="BN12" s="4">
        <f t="shared" si="25"/>
        <v>5.211385216921145</v>
      </c>
      <c r="BO12" s="9">
        <v>357737.7</v>
      </c>
      <c r="BP12" s="10">
        <v>13.2</v>
      </c>
      <c r="BQ12">
        <f t="shared" si="26"/>
        <v>2710134.0909090913</v>
      </c>
      <c r="BR12" s="36">
        <v>136922.61080000002</v>
      </c>
      <c r="BS12" s="4">
        <f t="shared" si="27"/>
        <v>5.0522448781886844</v>
      </c>
      <c r="BT12" s="21">
        <v>299890.3</v>
      </c>
      <c r="BU12" s="10">
        <v>5.8</v>
      </c>
      <c r="BV12">
        <f t="shared" si="28"/>
        <v>5170522.4137931038</v>
      </c>
      <c r="BW12" s="2"/>
      <c r="BX12" s="42">
        <v>2.6</v>
      </c>
      <c r="BY12" s="32">
        <v>380965.43199999997</v>
      </c>
      <c r="BZ12" s="40">
        <v>8.8471015068272294</v>
      </c>
      <c r="CA12">
        <f t="shared" si="29"/>
        <v>4306104.4535999997</v>
      </c>
      <c r="CB12" s="36">
        <v>185958.28830000001</v>
      </c>
      <c r="CC12" s="4">
        <f t="shared" si="30"/>
        <v>4.3184806663139517</v>
      </c>
    </row>
    <row r="13" spans="1:81" x14ac:dyDescent="0.25">
      <c r="A13" t="s">
        <v>11</v>
      </c>
      <c r="B13" s="8">
        <v>40005.300000000003</v>
      </c>
      <c r="C13" s="9">
        <v>9.6999999999999993</v>
      </c>
      <c r="D13" s="4">
        <f t="shared" si="0"/>
        <v>412425.77319587633</v>
      </c>
      <c r="E13" s="9">
        <v>294596</v>
      </c>
      <c r="F13">
        <f t="shared" si="3"/>
        <v>71.43006551631909</v>
      </c>
      <c r="G13" s="8">
        <v>1595.4</v>
      </c>
      <c r="H13" s="9">
        <v>4.3</v>
      </c>
      <c r="I13">
        <f t="shared" si="4"/>
        <v>37102.325581395351</v>
      </c>
      <c r="J13" s="8">
        <v>2114413</v>
      </c>
      <c r="K13" s="4">
        <f t="shared" si="1"/>
        <v>5698.8691864109314</v>
      </c>
      <c r="L13" s="8">
        <v>2538.6999999999998</v>
      </c>
      <c r="M13" s="9">
        <v>4.7</v>
      </c>
      <c r="N13" s="4">
        <f t="shared" si="5"/>
        <v>54014.893617021269</v>
      </c>
      <c r="O13" s="9">
        <v>1160398</v>
      </c>
      <c r="P13" s="4">
        <f t="shared" si="6"/>
        <v>2148.2926694765042</v>
      </c>
      <c r="Q13" s="9">
        <v>4428.3</v>
      </c>
      <c r="R13" s="9">
        <v>8.1999999999999993</v>
      </c>
      <c r="S13" s="4">
        <f t="shared" si="7"/>
        <v>54003.658536585375</v>
      </c>
      <c r="T13" s="9">
        <v>1267</v>
      </c>
      <c r="U13">
        <f t="shared" si="8"/>
        <v>2.3461373439017228</v>
      </c>
      <c r="V13" s="8">
        <v>2033.3</v>
      </c>
      <c r="W13" s="9">
        <v>4.7</v>
      </c>
      <c r="X13" s="4">
        <f t="shared" si="9"/>
        <v>43261.70212765957</v>
      </c>
      <c r="Y13" s="9">
        <v>799.3</v>
      </c>
      <c r="Z13">
        <f t="shared" si="10"/>
        <v>1.8475925834849753</v>
      </c>
      <c r="AA13" s="8">
        <v>5868.9</v>
      </c>
      <c r="AB13" s="10">
        <v>9.9</v>
      </c>
      <c r="AC13" s="4">
        <f t="shared" si="11"/>
        <v>59281.818181818177</v>
      </c>
      <c r="AD13" s="8">
        <v>577</v>
      </c>
      <c r="AE13" s="4">
        <f t="shared" si="12"/>
        <v>0.97331697592393818</v>
      </c>
      <c r="AF13" s="8">
        <v>5288.8</v>
      </c>
      <c r="AG13" s="11">
        <v>7.7</v>
      </c>
      <c r="AH13" s="4">
        <f t="shared" si="13"/>
        <v>68685.71428571429</v>
      </c>
      <c r="AI13" s="8">
        <v>602.9</v>
      </c>
      <c r="AJ13" s="4">
        <f t="shared" si="14"/>
        <v>0.87776622296173024</v>
      </c>
      <c r="AK13" s="8">
        <v>960.1</v>
      </c>
      <c r="AL13" s="12">
        <v>1.1000000000000001</v>
      </c>
      <c r="AM13">
        <f t="shared" si="2"/>
        <v>87281.818181818177</v>
      </c>
      <c r="AN13" s="8">
        <v>382.3</v>
      </c>
      <c r="AO13" s="4">
        <f t="shared" si="15"/>
        <v>0.43800645766066038</v>
      </c>
      <c r="AP13" s="8">
        <v>1143.8</v>
      </c>
      <c r="AQ13" s="12">
        <v>1.4</v>
      </c>
      <c r="AR13" s="4">
        <f t="shared" si="16"/>
        <v>81700</v>
      </c>
      <c r="AS13" s="8">
        <v>435.7</v>
      </c>
      <c r="AT13" s="4">
        <f t="shared" si="17"/>
        <v>0.53329253365973073</v>
      </c>
      <c r="AU13" s="8">
        <v>885.1</v>
      </c>
      <c r="AV13" s="12">
        <v>1</v>
      </c>
      <c r="AW13">
        <f t="shared" si="18"/>
        <v>88510</v>
      </c>
      <c r="AX13" s="8">
        <v>694.5</v>
      </c>
      <c r="AY13" s="4">
        <f t="shared" si="19"/>
        <v>0.78465710089255447</v>
      </c>
      <c r="AZ13" s="9">
        <v>748.5</v>
      </c>
      <c r="BA13" s="10">
        <v>0.9</v>
      </c>
      <c r="BB13">
        <f t="shared" si="20"/>
        <v>83166.666666666657</v>
      </c>
      <c r="BC13" s="21">
        <v>405.6</v>
      </c>
      <c r="BD13" s="4">
        <f t="shared" si="21"/>
        <v>0.48769539078156326</v>
      </c>
      <c r="BE13" s="9">
        <v>869.7</v>
      </c>
      <c r="BF13" s="9">
        <v>0.5</v>
      </c>
      <c r="BG13">
        <f t="shared" si="22"/>
        <v>173940</v>
      </c>
      <c r="BH13" s="8">
        <v>1539.7</v>
      </c>
      <c r="BI13" s="4">
        <f t="shared" si="23"/>
        <v>0.88519029550419692</v>
      </c>
      <c r="BJ13" s="9">
        <v>1428.8</v>
      </c>
      <c r="BK13" s="10">
        <v>1.1000000000000001</v>
      </c>
      <c r="BL13">
        <f t="shared" si="24"/>
        <v>129890.90909090907</v>
      </c>
      <c r="BM13" s="36">
        <v>1207.2186999999999</v>
      </c>
      <c r="BN13" s="4">
        <f t="shared" si="25"/>
        <v>0.92940969344904811</v>
      </c>
      <c r="BO13" s="9">
        <v>1481.7</v>
      </c>
      <c r="BP13" s="10">
        <v>1</v>
      </c>
      <c r="BQ13">
        <f t="shared" si="26"/>
        <v>148170</v>
      </c>
      <c r="BR13" s="36">
        <v>2924.4672999999998</v>
      </c>
      <c r="BS13" s="4">
        <f t="shared" si="27"/>
        <v>1.9737243031652831</v>
      </c>
      <c r="BT13" s="21">
        <v>6528.9</v>
      </c>
      <c r="BU13" s="10">
        <v>0.5</v>
      </c>
      <c r="BV13">
        <f t="shared" si="28"/>
        <v>1305780</v>
      </c>
      <c r="BW13" s="2"/>
      <c r="BX13" s="42">
        <v>0.1</v>
      </c>
      <c r="BY13" s="32">
        <v>10219.163</v>
      </c>
      <c r="BZ13" s="40">
        <v>4.8329644044904994</v>
      </c>
      <c r="CA13">
        <f t="shared" si="29"/>
        <v>211447.09840000002</v>
      </c>
      <c r="CB13" s="36">
        <v>1033.1046999999999</v>
      </c>
      <c r="CC13" s="4">
        <f t="shared" si="30"/>
        <v>0.48858778759198135</v>
      </c>
    </row>
    <row r="14" spans="1:81" x14ac:dyDescent="0.25">
      <c r="A14" t="s">
        <v>12</v>
      </c>
      <c r="B14" s="8">
        <v>1352.3</v>
      </c>
      <c r="C14" s="9">
        <v>6.4</v>
      </c>
      <c r="D14" s="4">
        <f t="shared" si="0"/>
        <v>21129.687499999996</v>
      </c>
      <c r="E14" s="9">
        <v>646140</v>
      </c>
      <c r="F14">
        <f t="shared" si="3"/>
        <v>3057.9723434149232</v>
      </c>
      <c r="G14" s="8">
        <v>804.8</v>
      </c>
      <c r="H14" s="9">
        <v>1.1000000000000001</v>
      </c>
      <c r="I14">
        <f t="shared" si="4"/>
        <v>73163.636363636353</v>
      </c>
      <c r="J14" s="8">
        <v>1093106</v>
      </c>
      <c r="K14" s="4">
        <f t="shared" si="1"/>
        <v>1494.0564115308152</v>
      </c>
      <c r="L14" s="8">
        <v>2933.6</v>
      </c>
      <c r="M14" s="9">
        <v>3</v>
      </c>
      <c r="N14" s="4">
        <f t="shared" si="5"/>
        <v>97786.666666666672</v>
      </c>
      <c r="O14" s="9">
        <v>1048447</v>
      </c>
      <c r="P14" s="4">
        <f t="shared" si="6"/>
        <v>1072.1778701936187</v>
      </c>
      <c r="Q14" s="9">
        <v>3711.6</v>
      </c>
      <c r="R14" s="9">
        <v>3.5</v>
      </c>
      <c r="S14" s="4">
        <f t="shared" si="7"/>
        <v>106045.71428571428</v>
      </c>
      <c r="T14" s="9">
        <v>2225.9</v>
      </c>
      <c r="U14">
        <f t="shared" si="8"/>
        <v>2.0990004310809356</v>
      </c>
      <c r="V14" s="8">
        <v>5436.3</v>
      </c>
      <c r="W14" s="9">
        <v>5</v>
      </c>
      <c r="X14" s="4">
        <f t="shared" si="9"/>
        <v>108726</v>
      </c>
      <c r="Y14" s="9">
        <v>1191.9000000000001</v>
      </c>
      <c r="Z14">
        <f t="shared" si="10"/>
        <v>1.0962419292533525</v>
      </c>
      <c r="AA14" s="8">
        <v>4497.5</v>
      </c>
      <c r="AB14" s="10">
        <v>3.3</v>
      </c>
      <c r="AC14" s="4">
        <f t="shared" si="11"/>
        <v>136287.87878787878</v>
      </c>
      <c r="AD14" s="8">
        <v>2725.4</v>
      </c>
      <c r="AE14" s="4">
        <f t="shared" si="12"/>
        <v>1.9997376320177878</v>
      </c>
      <c r="AF14" s="8">
        <v>5891.5</v>
      </c>
      <c r="AG14" s="11">
        <v>3.6</v>
      </c>
      <c r="AH14" s="4">
        <f t="shared" si="13"/>
        <v>163652.77777777778</v>
      </c>
      <c r="AI14" s="8">
        <v>3318.5</v>
      </c>
      <c r="AJ14" s="4">
        <f t="shared" si="14"/>
        <v>2.0277688194856998</v>
      </c>
      <c r="AK14" s="8">
        <v>5246.6</v>
      </c>
      <c r="AL14" s="12">
        <v>2.8</v>
      </c>
      <c r="AM14">
        <f t="shared" si="2"/>
        <v>187378.57142857145</v>
      </c>
      <c r="AN14" s="8">
        <v>6247.2</v>
      </c>
      <c r="AO14" s="4">
        <f t="shared" si="15"/>
        <v>3.3339991613616435</v>
      </c>
      <c r="AP14" s="8">
        <v>5930.9</v>
      </c>
      <c r="AQ14" s="12">
        <v>2.8</v>
      </c>
      <c r="AR14" s="4">
        <f t="shared" si="16"/>
        <v>211817.85714285716</v>
      </c>
      <c r="AS14" s="8">
        <v>7242.3</v>
      </c>
      <c r="AT14" s="4">
        <f t="shared" si="17"/>
        <v>3.4191168288118163</v>
      </c>
      <c r="AU14" s="8">
        <v>7293.7</v>
      </c>
      <c r="AV14" s="12">
        <v>3.2</v>
      </c>
      <c r="AW14">
        <f t="shared" si="18"/>
        <v>227928.125</v>
      </c>
      <c r="AX14" s="8">
        <v>10681.7</v>
      </c>
      <c r="AY14" s="4">
        <f t="shared" si="19"/>
        <v>4.6864334974018682</v>
      </c>
      <c r="AZ14" s="9">
        <v>8242.6</v>
      </c>
      <c r="BA14" s="10">
        <v>3.5</v>
      </c>
      <c r="BB14">
        <f t="shared" si="20"/>
        <v>235502.85714285716</v>
      </c>
      <c r="BC14" s="21">
        <v>5913.9</v>
      </c>
      <c r="BD14" s="4">
        <f t="shared" si="21"/>
        <v>2.5111797248441023</v>
      </c>
      <c r="BE14" s="9">
        <v>17542.2</v>
      </c>
      <c r="BF14" s="9">
        <v>6.2</v>
      </c>
      <c r="BG14">
        <f t="shared" si="22"/>
        <v>282938.70967741939</v>
      </c>
      <c r="BH14" s="8">
        <v>6463</v>
      </c>
      <c r="BI14" s="4">
        <f t="shared" si="23"/>
        <v>2.2842402891313514</v>
      </c>
      <c r="BJ14" s="9">
        <v>19887.400000000001</v>
      </c>
      <c r="BK14" s="10">
        <v>6.8</v>
      </c>
      <c r="BL14">
        <f t="shared" si="24"/>
        <v>292461.76470588241</v>
      </c>
      <c r="BM14" s="36">
        <v>5585.9224000000004</v>
      </c>
      <c r="BN14" s="4">
        <f t="shared" si="25"/>
        <v>1.9099667286824822</v>
      </c>
      <c r="BO14" s="9">
        <v>18871.3</v>
      </c>
      <c r="BP14" s="10">
        <v>5.8</v>
      </c>
      <c r="BQ14">
        <f t="shared" si="26"/>
        <v>325367.24137931032</v>
      </c>
      <c r="BR14" s="36">
        <v>3752.3625999999999</v>
      </c>
      <c r="BS14" s="4">
        <f t="shared" si="27"/>
        <v>1.1532699432471532</v>
      </c>
      <c r="BT14" s="21">
        <v>28477.8</v>
      </c>
      <c r="BU14" s="10">
        <v>9.6999999999999993</v>
      </c>
      <c r="BV14">
        <f t="shared" si="28"/>
        <v>293585.56701030931</v>
      </c>
      <c r="BW14" s="2"/>
      <c r="BX14" s="42">
        <v>1.6</v>
      </c>
      <c r="BY14" s="32">
        <v>21399.908199999998</v>
      </c>
      <c r="BZ14" s="40">
        <v>5.2240693259822653</v>
      </c>
      <c r="CA14">
        <f t="shared" si="29"/>
        <v>409640.58599999989</v>
      </c>
      <c r="CB14" s="36">
        <v>3939.8447999999999</v>
      </c>
      <c r="CC14" s="4">
        <f t="shared" si="30"/>
        <v>0.96178087197639173</v>
      </c>
    </row>
    <row r="15" spans="1:81" x14ac:dyDescent="0.25">
      <c r="A15" t="s">
        <v>13</v>
      </c>
      <c r="B15" s="8">
        <v>1775.3</v>
      </c>
      <c r="C15" s="9">
        <v>3.2</v>
      </c>
      <c r="D15" s="4">
        <f t="shared" si="0"/>
        <v>55478.125</v>
      </c>
      <c r="E15" s="9">
        <v>433830</v>
      </c>
      <c r="F15">
        <f t="shared" si="3"/>
        <v>781.98389004675266</v>
      </c>
      <c r="G15" s="8">
        <v>941.7</v>
      </c>
      <c r="H15" s="9">
        <v>1.1000000000000001</v>
      </c>
      <c r="I15">
        <f t="shared" si="4"/>
        <v>85609.090909090897</v>
      </c>
      <c r="J15" s="8">
        <v>451918</v>
      </c>
      <c r="K15" s="4">
        <f t="shared" si="1"/>
        <v>527.88552617606456</v>
      </c>
      <c r="L15" s="8">
        <v>1657.7</v>
      </c>
      <c r="M15" s="9">
        <v>1.6</v>
      </c>
      <c r="N15" s="4">
        <f t="shared" si="5"/>
        <v>103606.25</v>
      </c>
      <c r="O15" s="9">
        <v>675870</v>
      </c>
      <c r="P15" s="4">
        <f t="shared" si="6"/>
        <v>652.34481510526632</v>
      </c>
      <c r="Q15" s="9">
        <v>2431.5</v>
      </c>
      <c r="R15" s="9">
        <v>2</v>
      </c>
      <c r="S15" s="4">
        <f t="shared" si="7"/>
        <v>121575</v>
      </c>
      <c r="T15" s="9">
        <v>1058.3</v>
      </c>
      <c r="U15">
        <f t="shared" si="8"/>
        <v>0.87049146617314421</v>
      </c>
      <c r="V15" s="8">
        <v>4417.5</v>
      </c>
      <c r="W15" s="9">
        <v>3.9</v>
      </c>
      <c r="X15" s="4">
        <f t="shared" si="9"/>
        <v>113269.23076923077</v>
      </c>
      <c r="Y15" s="9">
        <v>1127.4000000000001</v>
      </c>
      <c r="Z15">
        <f t="shared" si="10"/>
        <v>0.99532767402376932</v>
      </c>
      <c r="AA15" s="8">
        <v>2367</v>
      </c>
      <c r="AB15" s="10">
        <v>2.2999999999999998</v>
      </c>
      <c r="AC15" s="4">
        <f t="shared" si="11"/>
        <v>102913.04347826088</v>
      </c>
      <c r="AD15" s="8">
        <v>1338.8</v>
      </c>
      <c r="AE15" s="4">
        <f t="shared" si="12"/>
        <v>1.300904098014364</v>
      </c>
      <c r="AF15" s="8">
        <v>2400.1999999999998</v>
      </c>
      <c r="AG15" s="11">
        <v>1.5</v>
      </c>
      <c r="AH15" s="4">
        <f t="shared" si="13"/>
        <v>160013.33333333331</v>
      </c>
      <c r="AI15" s="8">
        <v>1974.4</v>
      </c>
      <c r="AJ15" s="4">
        <f t="shared" si="14"/>
        <v>1.2338971752353973</v>
      </c>
      <c r="AK15" s="8">
        <v>3152</v>
      </c>
      <c r="AL15" s="12">
        <v>1.9</v>
      </c>
      <c r="AM15">
        <f t="shared" si="2"/>
        <v>165894.73684210528</v>
      </c>
      <c r="AN15" s="8">
        <v>1464.5</v>
      </c>
      <c r="AO15" s="4">
        <f t="shared" si="15"/>
        <v>0.88278870558375633</v>
      </c>
      <c r="AP15" s="8">
        <v>5334.1</v>
      </c>
      <c r="AQ15" s="12">
        <v>3</v>
      </c>
      <c r="AR15" s="4">
        <f t="shared" si="16"/>
        <v>177803.33333333334</v>
      </c>
      <c r="AS15" s="8">
        <v>1432.2</v>
      </c>
      <c r="AT15" s="4">
        <f t="shared" si="17"/>
        <v>0.8054967098479594</v>
      </c>
      <c r="AU15" s="8">
        <v>10438.799999999999</v>
      </c>
      <c r="AV15" s="12">
        <v>5.9</v>
      </c>
      <c r="AW15">
        <f t="shared" si="18"/>
        <v>176928.81355932201</v>
      </c>
      <c r="AX15" s="8">
        <v>1741.5</v>
      </c>
      <c r="AY15" s="4">
        <f t="shared" si="19"/>
        <v>0.98429417174387879</v>
      </c>
      <c r="AZ15" s="9">
        <v>5539.7</v>
      </c>
      <c r="BA15" s="10">
        <v>2.7</v>
      </c>
      <c r="BB15">
        <f t="shared" si="20"/>
        <v>205174.07407407404</v>
      </c>
      <c r="BC15" s="21">
        <v>2636</v>
      </c>
      <c r="BD15" s="4">
        <f t="shared" si="21"/>
        <v>1.2847627127822809</v>
      </c>
      <c r="BE15" s="9">
        <v>3997.4</v>
      </c>
      <c r="BF15" s="9">
        <v>1.8</v>
      </c>
      <c r="BG15">
        <f t="shared" si="22"/>
        <v>222077.77777777778</v>
      </c>
      <c r="BH15" s="8">
        <v>3077.4</v>
      </c>
      <c r="BI15" s="4">
        <f t="shared" si="23"/>
        <v>1.3857307249712312</v>
      </c>
      <c r="BJ15" s="9">
        <v>10137.5</v>
      </c>
      <c r="BK15" s="10">
        <v>4.4000000000000004</v>
      </c>
      <c r="BL15">
        <f t="shared" si="24"/>
        <v>230397.72727272726</v>
      </c>
      <c r="BM15" s="36">
        <v>4286.3087999999998</v>
      </c>
      <c r="BN15" s="4">
        <f t="shared" si="25"/>
        <v>1.8603954347718867</v>
      </c>
      <c r="BO15" s="9">
        <v>5585.9</v>
      </c>
      <c r="BP15" s="10">
        <v>2.2000000000000002</v>
      </c>
      <c r="BQ15">
        <f t="shared" si="26"/>
        <v>253904.54545454541</v>
      </c>
      <c r="BR15" s="36">
        <v>2984.6765</v>
      </c>
      <c r="BS15" s="4">
        <f t="shared" si="27"/>
        <v>1.1755112515440667</v>
      </c>
      <c r="BT15" s="21">
        <v>15222.4</v>
      </c>
      <c r="BU15" s="10">
        <v>5.2</v>
      </c>
      <c r="BV15">
        <f t="shared" si="28"/>
        <v>292738.4615384615</v>
      </c>
      <c r="BW15" s="2"/>
      <c r="BX15" s="42">
        <v>1.3</v>
      </c>
      <c r="BY15" s="32">
        <v>12564.672699999999</v>
      </c>
      <c r="BZ15" s="40">
        <v>3.3716839451100911</v>
      </c>
      <c r="CA15">
        <f t="shared" si="29"/>
        <v>372652.74279999995</v>
      </c>
      <c r="CB15" s="36">
        <v>3938.2627000000002</v>
      </c>
      <c r="CC15" s="4">
        <f t="shared" si="30"/>
        <v>1.0568183855052524</v>
      </c>
    </row>
    <row r="16" spans="1:81" x14ac:dyDescent="0.25">
      <c r="A16" t="s">
        <v>14</v>
      </c>
      <c r="B16" s="8">
        <v>346.6</v>
      </c>
      <c r="C16" s="9">
        <v>0.5</v>
      </c>
      <c r="D16" s="4">
        <f t="shared" si="0"/>
        <v>69320</v>
      </c>
      <c r="E16" s="9">
        <v>131760</v>
      </c>
      <c r="F16">
        <f t="shared" si="3"/>
        <v>190.07501442585112</v>
      </c>
      <c r="G16" s="8">
        <v>1720</v>
      </c>
      <c r="H16" s="9">
        <v>3.2</v>
      </c>
      <c r="I16">
        <f t="shared" si="4"/>
        <v>53750</v>
      </c>
      <c r="J16" s="8">
        <v>525257</v>
      </c>
      <c r="K16" s="4">
        <f t="shared" si="1"/>
        <v>977.22232558139535</v>
      </c>
      <c r="L16" s="8">
        <v>3513.6</v>
      </c>
      <c r="M16" s="9">
        <v>6.3</v>
      </c>
      <c r="N16" s="4">
        <f t="shared" si="5"/>
        <v>55771.428571428565</v>
      </c>
      <c r="O16" s="9">
        <v>741198</v>
      </c>
      <c r="P16" s="4">
        <f t="shared" si="6"/>
        <v>1328.9923155737706</v>
      </c>
      <c r="Q16" s="9">
        <v>3135.8</v>
      </c>
      <c r="R16" s="9">
        <v>6.6</v>
      </c>
      <c r="S16" s="4">
        <f t="shared" si="7"/>
        <v>47512.121212121216</v>
      </c>
      <c r="T16" s="9">
        <v>1166.3</v>
      </c>
      <c r="U16">
        <f t="shared" si="8"/>
        <v>2.4547420116078826</v>
      </c>
      <c r="V16" s="8">
        <v>3161.7</v>
      </c>
      <c r="W16" s="9">
        <v>6.1</v>
      </c>
      <c r="X16" s="4">
        <f t="shared" si="9"/>
        <v>51831.147540983598</v>
      </c>
      <c r="Y16" s="9">
        <v>972.9</v>
      </c>
      <c r="Z16">
        <f t="shared" si="10"/>
        <v>1.877056646740678</v>
      </c>
      <c r="AA16" s="8">
        <v>2104.6</v>
      </c>
      <c r="AB16" s="10">
        <v>3.6</v>
      </c>
      <c r="AC16" s="4">
        <f t="shared" si="11"/>
        <v>58461.111111111109</v>
      </c>
      <c r="AD16" s="8">
        <v>871.1</v>
      </c>
      <c r="AE16" s="4">
        <f t="shared" si="12"/>
        <v>1.4900503658652478</v>
      </c>
      <c r="AF16" s="8">
        <v>3667.2</v>
      </c>
      <c r="AG16" s="11">
        <v>5.3</v>
      </c>
      <c r="AH16" s="4">
        <f t="shared" si="13"/>
        <v>69192.452830188675</v>
      </c>
      <c r="AI16" s="8">
        <v>1187.3</v>
      </c>
      <c r="AJ16" s="4">
        <f t="shared" si="14"/>
        <v>1.7159385907504363</v>
      </c>
      <c r="AK16" s="8">
        <v>3533.8</v>
      </c>
      <c r="AL16" s="12">
        <v>4.4000000000000004</v>
      </c>
      <c r="AM16">
        <f t="shared" si="2"/>
        <v>80313.636363636368</v>
      </c>
      <c r="AN16" s="8">
        <v>2865.5</v>
      </c>
      <c r="AO16" s="4">
        <f t="shared" si="15"/>
        <v>3.5678872601731846</v>
      </c>
      <c r="AP16" s="8">
        <v>2624.3</v>
      </c>
      <c r="AQ16" s="12">
        <v>3</v>
      </c>
      <c r="AR16" s="4">
        <f t="shared" si="16"/>
        <v>87476.666666666672</v>
      </c>
      <c r="AS16" s="8">
        <v>1841.8</v>
      </c>
      <c r="AT16" s="4">
        <f t="shared" si="17"/>
        <v>2.1054757459131959</v>
      </c>
      <c r="AU16" s="8">
        <v>6278</v>
      </c>
      <c r="AV16" s="12">
        <v>6.3</v>
      </c>
      <c r="AW16">
        <f t="shared" si="18"/>
        <v>99650.793650793654</v>
      </c>
      <c r="AX16" s="8">
        <v>2341</v>
      </c>
      <c r="AY16" s="4">
        <f t="shared" si="19"/>
        <v>2.3492035680152914</v>
      </c>
      <c r="AZ16" s="9">
        <v>7165.4</v>
      </c>
      <c r="BA16" s="10">
        <v>6.1</v>
      </c>
      <c r="BB16">
        <f t="shared" si="20"/>
        <v>117465.5737704918</v>
      </c>
      <c r="BC16" s="21">
        <v>3417.5</v>
      </c>
      <c r="BD16" s="4">
        <f t="shared" si="21"/>
        <v>2.9093630502135261</v>
      </c>
      <c r="BE16" s="9">
        <v>8332.2000000000007</v>
      </c>
      <c r="BF16" s="9">
        <v>4.5</v>
      </c>
      <c r="BG16">
        <f t="shared" si="22"/>
        <v>185160</v>
      </c>
      <c r="BH16" s="8">
        <v>6827.9</v>
      </c>
      <c r="BI16" s="4">
        <f t="shared" si="23"/>
        <v>3.6875675091812483</v>
      </c>
      <c r="BJ16" s="9">
        <v>12962.6</v>
      </c>
      <c r="BK16" s="10">
        <v>7.9</v>
      </c>
      <c r="BL16">
        <f t="shared" si="24"/>
        <v>164083.54430379748</v>
      </c>
      <c r="BM16" s="36">
        <v>5818.9102999999996</v>
      </c>
      <c r="BN16" s="4">
        <f t="shared" si="25"/>
        <v>3.5463094880656651</v>
      </c>
      <c r="BO16" s="9">
        <v>18451</v>
      </c>
      <c r="BP16" s="10">
        <v>9.3000000000000007</v>
      </c>
      <c r="BQ16">
        <f t="shared" si="26"/>
        <v>198397.84946236556</v>
      </c>
      <c r="BR16" s="36">
        <v>5797.3307999999997</v>
      </c>
      <c r="BS16" s="4">
        <f t="shared" si="27"/>
        <v>2.9220734074033929</v>
      </c>
      <c r="BT16" s="21">
        <v>15999.7</v>
      </c>
      <c r="BU16" s="10">
        <v>6.7</v>
      </c>
      <c r="BV16">
        <f t="shared" si="28"/>
        <v>238801.49253731343</v>
      </c>
      <c r="BW16" s="2"/>
      <c r="BX16" s="42">
        <v>3.5</v>
      </c>
      <c r="BY16" s="32">
        <v>15445.120699999999</v>
      </c>
      <c r="BZ16" s="40">
        <v>5.4902518065312886</v>
      </c>
      <c r="CA16">
        <f t="shared" si="29"/>
        <v>281318.98580000002</v>
      </c>
      <c r="CB16" s="36">
        <v>3115.5367999999999</v>
      </c>
      <c r="CC16" s="4">
        <f t="shared" si="30"/>
        <v>1.107474773215253</v>
      </c>
    </row>
    <row r="17" spans="1:81" x14ac:dyDescent="0.25">
      <c r="A17" t="s">
        <v>15</v>
      </c>
      <c r="B17" s="8">
        <v>1030.9000000000001</v>
      </c>
      <c r="C17" s="9">
        <v>4.0999999999999996</v>
      </c>
      <c r="D17" s="4">
        <f t="shared" si="0"/>
        <v>25143.902439024394</v>
      </c>
      <c r="E17" s="9">
        <v>611609</v>
      </c>
      <c r="F17">
        <f t="shared" si="3"/>
        <v>2432.4346687360558</v>
      </c>
      <c r="G17" s="8">
        <v>8100.2</v>
      </c>
      <c r="H17" s="9">
        <v>7.1</v>
      </c>
      <c r="I17">
        <f t="shared" si="4"/>
        <v>114087.32394366198</v>
      </c>
      <c r="J17" s="8">
        <v>775750</v>
      </c>
      <c r="K17" s="4">
        <f t="shared" si="1"/>
        <v>679.96160588627436</v>
      </c>
      <c r="L17" s="8">
        <v>3345.5</v>
      </c>
      <c r="M17" s="9">
        <v>2.2999999999999998</v>
      </c>
      <c r="N17" s="4">
        <f t="shared" si="5"/>
        <v>145456.52173913046</v>
      </c>
      <c r="O17" s="9">
        <v>838769</v>
      </c>
      <c r="P17" s="4">
        <f t="shared" si="6"/>
        <v>576.64585263787171</v>
      </c>
      <c r="Q17" s="9">
        <v>13878.2</v>
      </c>
      <c r="R17" s="9">
        <v>8.8000000000000007</v>
      </c>
      <c r="S17" s="4">
        <f t="shared" si="7"/>
        <v>157706.81818181818</v>
      </c>
      <c r="T17" s="9">
        <v>1119.9000000000001</v>
      </c>
      <c r="U17">
        <f t="shared" si="8"/>
        <v>0.71011514461529601</v>
      </c>
      <c r="V17" s="8">
        <v>16679.599999999999</v>
      </c>
      <c r="W17" s="9">
        <v>11.2</v>
      </c>
      <c r="X17" s="4">
        <f t="shared" si="9"/>
        <v>148925</v>
      </c>
      <c r="Y17" s="9">
        <v>1482.9</v>
      </c>
      <c r="Z17">
        <f t="shared" si="10"/>
        <v>0.99573610877958707</v>
      </c>
      <c r="AA17" s="8">
        <v>14948.3</v>
      </c>
      <c r="AB17" s="10">
        <v>9.1999999999999993</v>
      </c>
      <c r="AC17" s="4">
        <f t="shared" si="11"/>
        <v>162481.52173913046</v>
      </c>
      <c r="AD17" s="8">
        <v>1565.9</v>
      </c>
      <c r="AE17" s="4">
        <f t="shared" si="12"/>
        <v>0.96374035843540728</v>
      </c>
      <c r="AF17" s="8">
        <v>18257.8</v>
      </c>
      <c r="AG17" s="11">
        <v>9.5</v>
      </c>
      <c r="AH17" s="4">
        <f t="shared" si="13"/>
        <v>192187.36842105264</v>
      </c>
      <c r="AI17" s="8">
        <v>3537.6</v>
      </c>
      <c r="AJ17" s="4">
        <f t="shared" si="14"/>
        <v>1.8407036992408723</v>
      </c>
      <c r="AK17" s="8">
        <v>17155.599999999999</v>
      </c>
      <c r="AL17" s="12">
        <v>7.7</v>
      </c>
      <c r="AM17">
        <f t="shared" si="2"/>
        <v>222799.99999999994</v>
      </c>
      <c r="AN17" s="8">
        <v>3896</v>
      </c>
      <c r="AO17" s="4">
        <f t="shared" si="15"/>
        <v>1.7486535008976665</v>
      </c>
      <c r="AP17" s="8">
        <v>18270.7</v>
      </c>
      <c r="AQ17" s="12">
        <v>7.7</v>
      </c>
      <c r="AR17" s="4">
        <f t="shared" si="16"/>
        <v>237281.81818181821</v>
      </c>
      <c r="AS17" s="8">
        <v>6132.7</v>
      </c>
      <c r="AT17" s="4">
        <f t="shared" si="17"/>
        <v>2.5845638098157155</v>
      </c>
      <c r="AU17" s="8">
        <v>4489.6000000000004</v>
      </c>
      <c r="AV17" s="12">
        <v>1.8</v>
      </c>
      <c r="AW17">
        <f t="shared" si="18"/>
        <v>249422.22222222222</v>
      </c>
      <c r="AX17" s="8">
        <v>3094</v>
      </c>
      <c r="AY17" s="4">
        <f t="shared" si="19"/>
        <v>1.2404668567355666</v>
      </c>
      <c r="AZ17" s="9">
        <v>12834.6</v>
      </c>
      <c r="BA17" s="10">
        <v>5.3</v>
      </c>
      <c r="BB17">
        <f t="shared" si="20"/>
        <v>242162.26415094343</v>
      </c>
      <c r="BC17" s="21">
        <v>3184.4</v>
      </c>
      <c r="BD17" s="4">
        <f t="shared" si="21"/>
        <v>1.3149860533246067</v>
      </c>
      <c r="BE17" s="9">
        <v>15724.2</v>
      </c>
      <c r="BF17" s="9">
        <v>5.5</v>
      </c>
      <c r="BG17">
        <f t="shared" si="22"/>
        <v>285894.54545454547</v>
      </c>
      <c r="BH17" s="8">
        <v>10308.6</v>
      </c>
      <c r="BI17" s="4">
        <f t="shared" si="23"/>
        <v>3.6057351089403595</v>
      </c>
      <c r="BJ17" s="9">
        <v>10053.9</v>
      </c>
      <c r="BK17" s="10">
        <v>3.1</v>
      </c>
      <c r="BL17">
        <f t="shared" si="24"/>
        <v>324319.35483870964</v>
      </c>
      <c r="BM17" s="36">
        <v>14568.956</v>
      </c>
      <c r="BN17" s="4">
        <f t="shared" si="25"/>
        <v>4.4921635982056722</v>
      </c>
      <c r="BO17" s="9">
        <v>16079.5</v>
      </c>
      <c r="BP17" s="10">
        <v>4.5</v>
      </c>
      <c r="BQ17">
        <f t="shared" si="26"/>
        <v>357322.22222222219</v>
      </c>
      <c r="BR17" s="36">
        <v>2023.5748999999998</v>
      </c>
      <c r="BS17" s="4">
        <f t="shared" si="27"/>
        <v>0.56631655524114555</v>
      </c>
      <c r="BT17" s="21">
        <v>24306.6</v>
      </c>
      <c r="BU17" s="10">
        <v>5.6</v>
      </c>
      <c r="BV17">
        <f t="shared" si="28"/>
        <v>434046.42857142852</v>
      </c>
      <c r="BW17" s="2"/>
      <c r="BX17" s="42">
        <v>1.1000000000000001</v>
      </c>
      <c r="BY17" s="32">
        <v>32431.1031</v>
      </c>
      <c r="BZ17" s="40">
        <v>7.1399940699115394</v>
      </c>
      <c r="CA17">
        <f t="shared" si="29"/>
        <v>454217.50750000001</v>
      </c>
      <c r="CB17" s="36">
        <v>6639.3914999999997</v>
      </c>
      <c r="CC17" s="4">
        <f t="shared" si="30"/>
        <v>1.4617207373936374</v>
      </c>
    </row>
    <row r="18" spans="1:81" x14ac:dyDescent="0.25">
      <c r="A18" t="s">
        <v>16</v>
      </c>
      <c r="B18" s="8">
        <v>2992.6</v>
      </c>
      <c r="C18" s="9">
        <v>4.2</v>
      </c>
      <c r="D18" s="4">
        <f t="shared" si="0"/>
        <v>71252.380952380947</v>
      </c>
      <c r="E18" s="9">
        <v>1129260</v>
      </c>
      <c r="F18">
        <f t="shared" si="3"/>
        <v>1584.8733542738755</v>
      </c>
      <c r="G18" s="8">
        <v>2578.6999999999998</v>
      </c>
      <c r="H18" s="9">
        <v>1.5</v>
      </c>
      <c r="I18">
        <f t="shared" si="4"/>
        <v>171913.33333333331</v>
      </c>
      <c r="J18" s="8">
        <v>3882098</v>
      </c>
      <c r="K18" s="4">
        <f t="shared" si="1"/>
        <v>2258.1715593128324</v>
      </c>
      <c r="L18" s="8">
        <v>3543.6</v>
      </c>
      <c r="M18" s="9">
        <v>1.7</v>
      </c>
      <c r="N18" s="4">
        <f t="shared" si="5"/>
        <v>208447.05882352943</v>
      </c>
      <c r="O18" s="9">
        <v>922293</v>
      </c>
      <c r="P18" s="4">
        <f t="shared" si="6"/>
        <v>442.45910938029118</v>
      </c>
      <c r="Q18" s="9">
        <v>2675.5</v>
      </c>
      <c r="R18" s="9">
        <v>1.1000000000000001</v>
      </c>
      <c r="S18" s="4">
        <f t="shared" si="7"/>
        <v>243227.27272727271</v>
      </c>
      <c r="T18" s="9">
        <v>4976.7</v>
      </c>
      <c r="U18">
        <f t="shared" si="8"/>
        <v>2.0461110072883577</v>
      </c>
      <c r="V18" s="8">
        <v>3328.2</v>
      </c>
      <c r="W18" s="9">
        <v>1.7</v>
      </c>
      <c r="X18" s="4">
        <f t="shared" si="9"/>
        <v>195776.4705882353</v>
      </c>
      <c r="Y18" s="9">
        <v>6408.9</v>
      </c>
      <c r="Z18">
        <f t="shared" si="10"/>
        <v>3.2735803136830715</v>
      </c>
      <c r="AA18" s="8">
        <v>8395.6</v>
      </c>
      <c r="AB18" s="10">
        <v>3.4</v>
      </c>
      <c r="AC18" s="4">
        <f t="shared" si="11"/>
        <v>246929.4117647059</v>
      </c>
      <c r="AD18" s="8">
        <v>5308.3</v>
      </c>
      <c r="AE18" s="4">
        <f t="shared" si="12"/>
        <v>2.1497236647767877</v>
      </c>
      <c r="AF18" s="8">
        <v>39152.400000000001</v>
      </c>
      <c r="AG18" s="11">
        <v>11.6</v>
      </c>
      <c r="AH18" s="4">
        <f t="shared" si="13"/>
        <v>337520.68965517241</v>
      </c>
      <c r="AI18" s="8">
        <v>4447.3999999999996</v>
      </c>
      <c r="AJ18" s="4">
        <f t="shared" si="14"/>
        <v>1.3176673716042948</v>
      </c>
      <c r="AK18" s="8">
        <v>50684.6</v>
      </c>
      <c r="AL18" s="12">
        <v>14.7</v>
      </c>
      <c r="AM18">
        <f t="shared" si="2"/>
        <v>344793.19727891154</v>
      </c>
      <c r="AN18" s="8">
        <v>8510.6</v>
      </c>
      <c r="AO18" s="4">
        <f t="shared" si="15"/>
        <v>2.4683201603642924</v>
      </c>
      <c r="AP18" s="8">
        <v>35378.699999999997</v>
      </c>
      <c r="AQ18" s="12">
        <v>9.6</v>
      </c>
      <c r="AR18" s="4">
        <f t="shared" si="16"/>
        <v>368528.125</v>
      </c>
      <c r="AS18" s="8">
        <v>9520.9</v>
      </c>
      <c r="AT18" s="4">
        <f t="shared" si="17"/>
        <v>2.5834934579280753</v>
      </c>
      <c r="AU18" s="8">
        <v>41881.300000000003</v>
      </c>
      <c r="AV18" s="12">
        <v>9.6999999999999993</v>
      </c>
      <c r="AW18">
        <f t="shared" si="18"/>
        <v>431765.97938144335</v>
      </c>
      <c r="AX18" s="8">
        <v>10000.1</v>
      </c>
      <c r="AY18" s="4">
        <f t="shared" si="19"/>
        <v>2.3160926236769153</v>
      </c>
      <c r="AZ18" s="9">
        <v>63110.9</v>
      </c>
      <c r="BA18" s="10">
        <v>12.4</v>
      </c>
      <c r="BB18">
        <f t="shared" si="20"/>
        <v>508958.87096774194</v>
      </c>
      <c r="BC18" s="21">
        <v>11509.7</v>
      </c>
      <c r="BD18" s="4">
        <f t="shared" si="21"/>
        <v>2.2614204519346104</v>
      </c>
      <c r="BE18" s="9">
        <v>66102.3</v>
      </c>
      <c r="BF18" s="9">
        <v>11.2</v>
      </c>
      <c r="BG18">
        <f t="shared" si="22"/>
        <v>590199.10714285728</v>
      </c>
      <c r="BH18" s="8">
        <v>17399.2</v>
      </c>
      <c r="BI18" s="4">
        <f t="shared" si="23"/>
        <v>2.9480220809260791</v>
      </c>
      <c r="BJ18" s="9">
        <v>80875.399999999994</v>
      </c>
      <c r="BK18" s="10">
        <v>12.7</v>
      </c>
      <c r="BL18">
        <f t="shared" si="24"/>
        <v>636814.17322834639</v>
      </c>
      <c r="BM18" s="36">
        <v>16119.8107</v>
      </c>
      <c r="BN18" s="4">
        <f t="shared" si="25"/>
        <v>2.5313209689225653</v>
      </c>
      <c r="BO18" s="9">
        <v>84218.3</v>
      </c>
      <c r="BP18" s="10">
        <v>12.2</v>
      </c>
      <c r="BQ18">
        <f t="shared" si="26"/>
        <v>690313.93442622956</v>
      </c>
      <c r="BR18" s="36">
        <v>18717.737100000002</v>
      </c>
      <c r="BS18" s="4">
        <f t="shared" si="27"/>
        <v>2.7114818586934195</v>
      </c>
      <c r="BT18" s="21">
        <v>67069.2</v>
      </c>
      <c r="BU18" s="10">
        <v>8.1999999999999993</v>
      </c>
      <c r="BV18">
        <f t="shared" si="28"/>
        <v>817917.07317073178</v>
      </c>
      <c r="BW18" s="2"/>
      <c r="BX18" s="42">
        <v>6.9</v>
      </c>
      <c r="BY18" s="32">
        <v>131270.17929999999</v>
      </c>
      <c r="BZ18" s="40">
        <v>13.542726335152508</v>
      </c>
      <c r="CA18">
        <f t="shared" si="29"/>
        <v>969303.93519999983</v>
      </c>
      <c r="CB18" s="36">
        <v>26638.456899999997</v>
      </c>
      <c r="CC18" s="4">
        <f t="shared" si="30"/>
        <v>2.7482047614408573</v>
      </c>
    </row>
    <row r="19" spans="1:81" x14ac:dyDescent="0.25">
      <c r="A19" t="s">
        <v>17</v>
      </c>
      <c r="B19" s="8">
        <v>2270.1999999999998</v>
      </c>
      <c r="C19" s="9">
        <v>1.8</v>
      </c>
      <c r="D19" s="4">
        <f t="shared" si="0"/>
        <v>126122.22222222222</v>
      </c>
      <c r="E19" s="9">
        <v>903183</v>
      </c>
      <c r="F19">
        <f t="shared" si="3"/>
        <v>716.11725839133123</v>
      </c>
      <c r="G19" s="8">
        <v>5705.6</v>
      </c>
      <c r="H19" s="9">
        <v>3.8</v>
      </c>
      <c r="I19">
        <f t="shared" si="4"/>
        <v>150147.36842105264</v>
      </c>
      <c r="J19" s="8">
        <v>2544341</v>
      </c>
      <c r="K19" s="4">
        <f t="shared" si="1"/>
        <v>1694.5625</v>
      </c>
      <c r="L19" s="8">
        <v>6608</v>
      </c>
      <c r="M19" s="9">
        <v>4.0999999999999996</v>
      </c>
      <c r="N19" s="4">
        <f t="shared" si="5"/>
        <v>161170.73170731709</v>
      </c>
      <c r="O19" s="9">
        <v>4504264</v>
      </c>
      <c r="P19" s="4">
        <f t="shared" si="6"/>
        <v>2794.7158595641645</v>
      </c>
      <c r="Q19" s="9">
        <v>17607</v>
      </c>
      <c r="R19" s="9">
        <v>10.199999999999999</v>
      </c>
      <c r="S19" s="4">
        <f t="shared" si="7"/>
        <v>172617.64705882352</v>
      </c>
      <c r="T19" s="9">
        <v>4586.8</v>
      </c>
      <c r="U19">
        <f t="shared" si="8"/>
        <v>2.6572022491054699</v>
      </c>
      <c r="V19" s="8">
        <v>11742.1</v>
      </c>
      <c r="W19" s="9">
        <v>7.9</v>
      </c>
      <c r="X19" s="4">
        <f t="shared" si="9"/>
        <v>148634.17721518988</v>
      </c>
      <c r="Y19" s="9">
        <v>5752.9</v>
      </c>
      <c r="Z19">
        <f t="shared" si="10"/>
        <v>3.8705095340697144</v>
      </c>
      <c r="AA19" s="8">
        <v>21237</v>
      </c>
      <c r="AB19" s="10">
        <v>12.1</v>
      </c>
      <c r="AC19" s="4">
        <f t="shared" si="11"/>
        <v>175512.3966942149</v>
      </c>
      <c r="AD19" s="8">
        <v>11132.6</v>
      </c>
      <c r="AE19" s="4">
        <f t="shared" si="12"/>
        <v>6.3429137825493243</v>
      </c>
      <c r="AF19" s="8">
        <v>24735.200000000001</v>
      </c>
      <c r="AG19" s="11">
        <v>11.4</v>
      </c>
      <c r="AH19" s="4">
        <f t="shared" si="13"/>
        <v>216975.43859649124</v>
      </c>
      <c r="AI19" s="8">
        <v>14498.3</v>
      </c>
      <c r="AJ19" s="4">
        <f t="shared" si="14"/>
        <v>6.6820005498237327</v>
      </c>
      <c r="AK19" s="8">
        <v>34230.5</v>
      </c>
      <c r="AL19" s="12">
        <v>15.1</v>
      </c>
      <c r="AM19">
        <f t="shared" si="2"/>
        <v>226692.05298013243</v>
      </c>
      <c r="AN19" s="8">
        <v>15110.1</v>
      </c>
      <c r="AO19" s="4">
        <f t="shared" si="15"/>
        <v>6.6654740655263582</v>
      </c>
      <c r="AP19" s="8">
        <v>22812.3</v>
      </c>
      <c r="AQ19" s="12">
        <v>9.3000000000000007</v>
      </c>
      <c r="AR19" s="4">
        <f t="shared" si="16"/>
        <v>245293.54838709673</v>
      </c>
      <c r="AS19" s="8">
        <v>13129.3</v>
      </c>
      <c r="AT19" s="4">
        <f t="shared" si="17"/>
        <v>5.3524848437027401</v>
      </c>
      <c r="AU19" s="8">
        <v>26801</v>
      </c>
      <c r="AV19" s="12">
        <v>10.5</v>
      </c>
      <c r="AW19">
        <f t="shared" si="18"/>
        <v>255247.61904761902</v>
      </c>
      <c r="AX19" s="8">
        <v>15948.6</v>
      </c>
      <c r="AY19" s="4">
        <f t="shared" si="19"/>
        <v>6.248285511734637</v>
      </c>
      <c r="AZ19" s="9">
        <v>18057.8</v>
      </c>
      <c r="BA19" s="10">
        <v>7</v>
      </c>
      <c r="BB19">
        <f t="shared" si="20"/>
        <v>257968.57142857142</v>
      </c>
      <c r="BC19" s="21">
        <v>11669.5</v>
      </c>
      <c r="BD19" s="4">
        <f t="shared" si="21"/>
        <v>4.523613064714417</v>
      </c>
      <c r="BE19" s="9">
        <v>48151.9</v>
      </c>
      <c r="BF19" s="9">
        <v>14.9</v>
      </c>
      <c r="BG19">
        <f t="shared" si="22"/>
        <v>323167.11409395974</v>
      </c>
      <c r="BH19" s="8">
        <v>5762.1</v>
      </c>
      <c r="BI19" s="4">
        <f t="shared" si="23"/>
        <v>1.7830093931911306</v>
      </c>
      <c r="BJ19" s="9">
        <v>46557.599999999999</v>
      </c>
      <c r="BK19" s="10">
        <v>12.2</v>
      </c>
      <c r="BL19">
        <f t="shared" si="24"/>
        <v>381619.67213114753</v>
      </c>
      <c r="BM19" s="36">
        <v>5778.8664000000008</v>
      </c>
      <c r="BN19" s="4">
        <f t="shared" si="25"/>
        <v>1.5142999226764269</v>
      </c>
      <c r="BO19" s="9">
        <v>48840.9</v>
      </c>
      <c r="BP19" s="10">
        <v>12.8</v>
      </c>
      <c r="BQ19">
        <f t="shared" si="26"/>
        <v>381569.53125</v>
      </c>
      <c r="BR19" s="36">
        <v>4717.1647999999996</v>
      </c>
      <c r="BS19" s="4">
        <f t="shared" si="27"/>
        <v>1.2362530059847381</v>
      </c>
      <c r="BT19" s="21">
        <v>29493.3</v>
      </c>
      <c r="BU19" s="10">
        <v>6</v>
      </c>
      <c r="BV19">
        <f t="shared" si="28"/>
        <v>491555</v>
      </c>
      <c r="BW19" s="2"/>
      <c r="BX19" s="42">
        <v>1.3</v>
      </c>
      <c r="BY19" s="32">
        <v>27729.098300000001</v>
      </c>
      <c r="BZ19" s="40">
        <v>5.3904049543744099</v>
      </c>
      <c r="CA19">
        <f t="shared" si="29"/>
        <v>514415.86550000001</v>
      </c>
      <c r="CB19" s="36">
        <v>8005.9629000000004</v>
      </c>
      <c r="CC19" s="4">
        <f t="shared" si="30"/>
        <v>1.556321147330554</v>
      </c>
    </row>
    <row r="20" spans="1:81" x14ac:dyDescent="0.25">
      <c r="A20" t="s">
        <v>18</v>
      </c>
      <c r="B20" s="8">
        <v>4244.7</v>
      </c>
      <c r="C20" s="9">
        <v>4.0999999999999996</v>
      </c>
      <c r="D20" s="4">
        <f t="shared" si="0"/>
        <v>103529.26829268293</v>
      </c>
      <c r="E20" s="9">
        <v>11002277</v>
      </c>
      <c r="F20">
        <f t="shared" si="3"/>
        <v>10627.21410229227</v>
      </c>
      <c r="G20" s="8">
        <v>32865.9</v>
      </c>
      <c r="H20" s="9">
        <v>2.5</v>
      </c>
      <c r="I20">
        <f t="shared" si="4"/>
        <v>1314636</v>
      </c>
      <c r="J20" s="8">
        <v>21225836</v>
      </c>
      <c r="K20" s="4">
        <f t="shared" si="1"/>
        <v>1614.5789404823845</v>
      </c>
      <c r="L20" s="8">
        <v>50567.9</v>
      </c>
      <c r="M20" s="9">
        <v>2.1</v>
      </c>
      <c r="N20" s="4">
        <f t="shared" si="5"/>
        <v>2407995.2380952383</v>
      </c>
      <c r="O20" s="9">
        <v>11746956</v>
      </c>
      <c r="P20" s="4">
        <f t="shared" si="6"/>
        <v>487.83136337478908</v>
      </c>
      <c r="Q20" s="9">
        <v>43904.4</v>
      </c>
      <c r="R20" s="9">
        <v>1.7</v>
      </c>
      <c r="S20" s="4">
        <f t="shared" si="7"/>
        <v>2582611.7647058824</v>
      </c>
      <c r="T20" s="9">
        <v>19144.099999999999</v>
      </c>
      <c r="U20">
        <f t="shared" si="8"/>
        <v>0.74126898442980649</v>
      </c>
      <c r="V20" s="8">
        <v>35743.1</v>
      </c>
      <c r="W20" s="9">
        <v>1.5</v>
      </c>
      <c r="X20" s="4">
        <f t="shared" si="9"/>
        <v>2382873.3333333335</v>
      </c>
      <c r="Y20" s="9">
        <v>25992.7</v>
      </c>
      <c r="Z20">
        <f t="shared" si="10"/>
        <v>1.0908133318039006</v>
      </c>
      <c r="AA20" s="8">
        <v>64543.199999999997</v>
      </c>
      <c r="AB20" s="10">
        <v>2.2000000000000002</v>
      </c>
      <c r="AC20" s="4">
        <f t="shared" si="11"/>
        <v>2933781.8181818174</v>
      </c>
      <c r="AD20" s="8">
        <v>22941.4</v>
      </c>
      <c r="AE20" s="4">
        <f t="shared" si="12"/>
        <v>0.78197362386742553</v>
      </c>
      <c r="AF20" s="8">
        <v>158892.6</v>
      </c>
      <c r="AG20" s="11">
        <v>4</v>
      </c>
      <c r="AH20" s="4">
        <f t="shared" si="13"/>
        <v>3972315</v>
      </c>
      <c r="AI20" s="8">
        <v>171476.7</v>
      </c>
      <c r="AJ20" s="4">
        <f t="shared" si="14"/>
        <v>4.3167951182119246</v>
      </c>
      <c r="AK20" s="8">
        <v>494532.2</v>
      </c>
      <c r="AL20" s="12">
        <v>13.3</v>
      </c>
      <c r="AM20">
        <f t="shared" si="2"/>
        <v>3718287.2180451131</v>
      </c>
      <c r="AN20" s="8">
        <v>176771.9</v>
      </c>
      <c r="AO20" s="4">
        <f t="shared" si="15"/>
        <v>4.7541217134091571</v>
      </c>
      <c r="AP20" s="8">
        <v>686704.6</v>
      </c>
      <c r="AQ20" s="12">
        <v>15.3</v>
      </c>
      <c r="AR20" s="4">
        <f t="shared" si="16"/>
        <v>4488265.3594771242</v>
      </c>
      <c r="AS20" s="8">
        <v>134632.1</v>
      </c>
      <c r="AT20" s="4">
        <f t="shared" si="17"/>
        <v>2.9996466166092377</v>
      </c>
      <c r="AU20" s="8">
        <v>552039.1</v>
      </c>
      <c r="AV20" s="12">
        <v>11</v>
      </c>
      <c r="AW20">
        <f t="shared" si="18"/>
        <v>5018537.2727272725</v>
      </c>
      <c r="AX20" s="8">
        <v>177475.8</v>
      </c>
      <c r="AY20" s="4">
        <f t="shared" si="19"/>
        <v>3.5364049394327322</v>
      </c>
      <c r="AZ20" s="9">
        <v>851583.4</v>
      </c>
      <c r="BA20" s="10">
        <v>17.100000000000001</v>
      </c>
      <c r="BB20">
        <f t="shared" si="20"/>
        <v>4980019.8830409357</v>
      </c>
      <c r="BC20" s="21">
        <v>190334.7</v>
      </c>
      <c r="BD20" s="4">
        <f t="shared" si="21"/>
        <v>3.821966668208892</v>
      </c>
      <c r="BE20" s="9">
        <v>910869.1</v>
      </c>
      <c r="BF20" s="9">
        <v>13.6</v>
      </c>
      <c r="BG20">
        <f t="shared" si="22"/>
        <v>6697566.9117647065</v>
      </c>
      <c r="BH20" s="8">
        <v>283737.5</v>
      </c>
      <c r="BI20" s="4">
        <f t="shared" si="23"/>
        <v>4.2364265073872849</v>
      </c>
      <c r="BJ20" s="9">
        <v>248998.8</v>
      </c>
      <c r="BK20" s="10">
        <v>3.3</v>
      </c>
      <c r="BL20">
        <f t="shared" si="24"/>
        <v>7545418.1818181826</v>
      </c>
      <c r="BM20" s="36">
        <v>194204.99369999999</v>
      </c>
      <c r="BN20" s="4">
        <f t="shared" si="25"/>
        <v>2.5738135252459045</v>
      </c>
      <c r="BO20" s="9">
        <v>283544.59999999998</v>
      </c>
      <c r="BP20" s="10">
        <v>3</v>
      </c>
      <c r="BQ20">
        <f t="shared" si="26"/>
        <v>9451486.666666666</v>
      </c>
      <c r="BR20" s="36">
        <v>249579.36840000001</v>
      </c>
      <c r="BS20" s="4">
        <f t="shared" si="27"/>
        <v>2.6406360946390799</v>
      </c>
      <c r="BT20" s="21">
        <v>565805.9</v>
      </c>
      <c r="BU20" s="10">
        <v>3.9</v>
      </c>
      <c r="BV20">
        <f t="shared" si="28"/>
        <v>14507843.58974359</v>
      </c>
      <c r="BW20" s="2"/>
      <c r="BX20" s="42">
        <v>3.6</v>
      </c>
      <c r="BY20" s="32">
        <v>626603.38839999994</v>
      </c>
      <c r="BZ20" s="40">
        <v>3.5643070126708429</v>
      </c>
      <c r="CA20">
        <f t="shared" si="29"/>
        <v>17579949.9362</v>
      </c>
      <c r="CB20" s="36">
        <v>527396.94830000005</v>
      </c>
      <c r="CC20" s="4">
        <f t="shared" si="30"/>
        <v>2.9999911843548723</v>
      </c>
    </row>
    <row r="21" spans="1:81" x14ac:dyDescent="0.25">
      <c r="A21" t="s">
        <v>19</v>
      </c>
      <c r="B21" s="8">
        <v>185.8</v>
      </c>
      <c r="C21" s="9">
        <v>0.4</v>
      </c>
      <c r="D21" s="4">
        <f t="shared" si="0"/>
        <v>46450</v>
      </c>
      <c r="E21" s="9">
        <v>170151</v>
      </c>
      <c r="F21">
        <f t="shared" si="3"/>
        <v>366.31001076426264</v>
      </c>
      <c r="G21" s="8">
        <v>312.7</v>
      </c>
      <c r="H21" s="9">
        <v>0.5</v>
      </c>
      <c r="I21">
        <f t="shared" si="4"/>
        <v>62540</v>
      </c>
      <c r="J21" s="8">
        <v>609941</v>
      </c>
      <c r="K21" s="4">
        <f t="shared" si="1"/>
        <v>975.28141989126948</v>
      </c>
      <c r="L21" s="8">
        <v>239.2</v>
      </c>
      <c r="M21" s="9">
        <v>0.3</v>
      </c>
      <c r="N21" s="4">
        <f t="shared" si="5"/>
        <v>79733.333333333343</v>
      </c>
      <c r="O21" s="9">
        <v>1212982</v>
      </c>
      <c r="P21" s="4">
        <f t="shared" si="6"/>
        <v>1521.2984949832776</v>
      </c>
      <c r="Q21" s="9">
        <v>538</v>
      </c>
      <c r="R21" s="9">
        <v>0.7</v>
      </c>
      <c r="S21" s="4">
        <f t="shared" si="7"/>
        <v>76857.14285714287</v>
      </c>
      <c r="T21" s="9">
        <v>3217.4</v>
      </c>
      <c r="U21">
        <f t="shared" si="8"/>
        <v>4.1862081784386618</v>
      </c>
      <c r="V21" s="8">
        <v>1367.4</v>
      </c>
      <c r="W21" s="9">
        <v>1.7</v>
      </c>
      <c r="X21" s="4">
        <f t="shared" si="9"/>
        <v>80435.294117647063</v>
      </c>
      <c r="Y21" s="9">
        <v>1328</v>
      </c>
      <c r="Z21">
        <f t="shared" si="10"/>
        <v>1.6510165277168347</v>
      </c>
      <c r="AA21" s="8">
        <v>1058.7</v>
      </c>
      <c r="AB21" s="10">
        <v>1.3</v>
      </c>
      <c r="AC21" s="4">
        <f t="shared" si="11"/>
        <v>81438.461538461532</v>
      </c>
      <c r="AD21" s="8">
        <v>2123.4</v>
      </c>
      <c r="AE21" s="4">
        <f t="shared" si="12"/>
        <v>2.6073675262113913</v>
      </c>
      <c r="AF21" s="8">
        <v>298.5</v>
      </c>
      <c r="AG21" s="11">
        <v>0.3</v>
      </c>
      <c r="AH21" s="4">
        <f t="shared" si="13"/>
        <v>99500</v>
      </c>
      <c r="AI21" s="8">
        <v>954.6</v>
      </c>
      <c r="AJ21" s="4">
        <f t="shared" si="14"/>
        <v>0.95939698492462311</v>
      </c>
      <c r="AK21" s="8">
        <v>361.4</v>
      </c>
      <c r="AL21" s="12">
        <v>0.3</v>
      </c>
      <c r="AM21">
        <f t="shared" si="2"/>
        <v>120466.66666666667</v>
      </c>
      <c r="AN21" s="8">
        <v>440.5</v>
      </c>
      <c r="AO21" s="4">
        <f t="shared" si="15"/>
        <v>0.36566131710016603</v>
      </c>
      <c r="AP21" s="8">
        <v>209.8</v>
      </c>
      <c r="AQ21" s="12">
        <v>0.2</v>
      </c>
      <c r="AR21" s="4">
        <f t="shared" si="16"/>
        <v>104900</v>
      </c>
      <c r="AS21" s="8">
        <v>169.3</v>
      </c>
      <c r="AT21" s="4">
        <f t="shared" si="17"/>
        <v>0.16139180171591994</v>
      </c>
      <c r="AU21" s="8">
        <v>193.5</v>
      </c>
      <c r="AV21" s="12">
        <v>0.2</v>
      </c>
      <c r="AW21">
        <f t="shared" si="18"/>
        <v>96750</v>
      </c>
      <c r="AX21" s="8">
        <v>63.9</v>
      </c>
      <c r="AY21" s="4">
        <f t="shared" si="19"/>
        <v>6.6046511627906979E-2</v>
      </c>
      <c r="AZ21" s="9">
        <v>187.7</v>
      </c>
      <c r="BA21" s="10">
        <v>0.2</v>
      </c>
      <c r="BB21">
        <f t="shared" si="20"/>
        <v>93849.999999999985</v>
      </c>
      <c r="BC21" s="21">
        <v>123.5</v>
      </c>
      <c r="BD21" s="4">
        <f t="shared" si="21"/>
        <v>0.13159296750133193</v>
      </c>
      <c r="BE21" s="9">
        <v>455.2</v>
      </c>
      <c r="BF21" s="9">
        <v>0.3</v>
      </c>
      <c r="BG21">
        <f t="shared" si="22"/>
        <v>151733.33333333331</v>
      </c>
      <c r="BH21" s="8">
        <v>711.3</v>
      </c>
      <c r="BI21" s="4">
        <f t="shared" si="23"/>
        <v>0.46878295254833047</v>
      </c>
      <c r="BJ21" s="9">
        <v>559.9</v>
      </c>
      <c r="BK21" s="10">
        <v>0.3</v>
      </c>
      <c r="BL21">
        <f t="shared" si="24"/>
        <v>186633.33333333331</v>
      </c>
      <c r="BM21" s="36">
        <v>624.81819999999993</v>
      </c>
      <c r="BN21" s="4">
        <f t="shared" si="25"/>
        <v>0.33478381853902484</v>
      </c>
      <c r="BO21" s="9">
        <v>4927.3999999999996</v>
      </c>
      <c r="BP21" s="10">
        <v>2.6</v>
      </c>
      <c r="BQ21">
        <f t="shared" si="26"/>
        <v>189515.3846153846</v>
      </c>
      <c r="BR21" s="36">
        <v>901.35530000000006</v>
      </c>
      <c r="BS21" s="4">
        <f t="shared" si="27"/>
        <v>0.47561062223485012</v>
      </c>
      <c r="BT21" s="21">
        <v>5719.5</v>
      </c>
      <c r="BU21" s="10">
        <v>2.2000000000000002</v>
      </c>
      <c r="BV21">
        <f t="shared" si="28"/>
        <v>259977.27272727271</v>
      </c>
      <c r="BW21" s="2"/>
      <c r="BX21" s="42">
        <v>1.8</v>
      </c>
      <c r="BY21" s="33">
        <v>7060.5212000000001</v>
      </c>
      <c r="BZ21" s="40">
        <v>2.7881640013857525</v>
      </c>
      <c r="CA21">
        <f t="shared" si="29"/>
        <v>253231.91880000004</v>
      </c>
      <c r="CB21" s="36">
        <v>4748.5842999999995</v>
      </c>
      <c r="CC21" s="4">
        <f t="shared" si="30"/>
        <v>1.8751918488405022</v>
      </c>
    </row>
    <row r="22" spans="1:81" x14ac:dyDescent="0.25">
      <c r="A22" t="s">
        <v>20</v>
      </c>
      <c r="B22" s="8" t="s">
        <v>85</v>
      </c>
      <c r="C22" s="9" t="s">
        <v>85</v>
      </c>
      <c r="D22" s="4"/>
      <c r="E22" s="9">
        <v>1404115</v>
      </c>
      <c r="G22" s="8">
        <v>1801.1</v>
      </c>
      <c r="H22" s="9">
        <v>0.9</v>
      </c>
      <c r="I22">
        <f t="shared" si="4"/>
        <v>200122.22222222222</v>
      </c>
      <c r="J22" s="8">
        <v>501228</v>
      </c>
      <c r="K22" s="4">
        <f t="shared" si="1"/>
        <v>250.46094053633888</v>
      </c>
      <c r="L22" s="8">
        <v>10450</v>
      </c>
      <c r="M22" s="9">
        <v>5.5</v>
      </c>
      <c r="N22" s="4">
        <f t="shared" si="5"/>
        <v>190000</v>
      </c>
      <c r="O22" s="9">
        <v>924676</v>
      </c>
      <c r="P22" s="4">
        <f t="shared" si="6"/>
        <v>486.6715789473684</v>
      </c>
      <c r="Q22" s="9">
        <v>10830</v>
      </c>
      <c r="R22" s="9">
        <v>4.7</v>
      </c>
      <c r="S22" s="4">
        <f t="shared" si="7"/>
        <v>230425.5319148936</v>
      </c>
      <c r="T22" s="9">
        <v>754.6</v>
      </c>
      <c r="U22">
        <f t="shared" si="8"/>
        <v>0.32748107109879965</v>
      </c>
      <c r="V22" s="8">
        <v>1408.4</v>
      </c>
      <c r="W22" s="9">
        <v>0.6</v>
      </c>
      <c r="X22" s="4">
        <f t="shared" si="9"/>
        <v>234733.33333333334</v>
      </c>
      <c r="Y22" s="9">
        <v>624.6</v>
      </c>
      <c r="Z22">
        <f t="shared" si="10"/>
        <v>0.26608917921045161</v>
      </c>
      <c r="AA22" s="8">
        <v>8830.2999999999993</v>
      </c>
      <c r="AB22" s="10">
        <v>3.2</v>
      </c>
      <c r="AC22" s="4">
        <f t="shared" si="11"/>
        <v>275946.87499999994</v>
      </c>
      <c r="AD22" s="8">
        <v>1027</v>
      </c>
      <c r="AE22" s="4">
        <f t="shared" si="12"/>
        <v>0.37217308585212289</v>
      </c>
      <c r="AF22" s="8">
        <v>28696.3</v>
      </c>
      <c r="AG22" s="11">
        <v>7.8</v>
      </c>
      <c r="AH22" s="4">
        <f t="shared" si="13"/>
        <v>367901.282051282</v>
      </c>
      <c r="AI22" s="8">
        <v>15430.2</v>
      </c>
      <c r="AJ22" s="4">
        <f t="shared" si="14"/>
        <v>4.1941142237849487</v>
      </c>
      <c r="AK22" s="8">
        <v>24165.9</v>
      </c>
      <c r="AL22" s="12">
        <v>5.4</v>
      </c>
      <c r="AM22">
        <f t="shared" si="2"/>
        <v>447516.66666666669</v>
      </c>
      <c r="AN22" s="8">
        <v>2942.7</v>
      </c>
      <c r="AO22" s="4">
        <f t="shared" si="15"/>
        <v>0.65756210197013143</v>
      </c>
      <c r="AP22" s="8">
        <v>22346.799999999999</v>
      </c>
      <c r="AQ22" s="12">
        <v>5.0999999999999996</v>
      </c>
      <c r="AR22" s="4">
        <f t="shared" si="16"/>
        <v>438172.54901960789</v>
      </c>
      <c r="AS22" s="8">
        <v>1541.3</v>
      </c>
      <c r="AT22" s="4">
        <f t="shared" si="17"/>
        <v>0.35175640360141042</v>
      </c>
      <c r="AU22" s="8">
        <v>23191.200000000001</v>
      </c>
      <c r="AV22" s="12">
        <v>5.3</v>
      </c>
      <c r="AW22">
        <f t="shared" si="18"/>
        <v>437569.8113207547</v>
      </c>
      <c r="AX22" s="8">
        <v>1762.8</v>
      </c>
      <c r="AY22" s="4">
        <f t="shared" si="19"/>
        <v>0.40286143019766119</v>
      </c>
      <c r="AZ22" s="9">
        <v>16952.7</v>
      </c>
      <c r="BA22" s="10">
        <v>3.3</v>
      </c>
      <c r="BB22">
        <f t="shared" si="20"/>
        <v>513718.18181818188</v>
      </c>
      <c r="BC22" s="21">
        <v>853.5</v>
      </c>
      <c r="BD22" s="4">
        <f t="shared" si="21"/>
        <v>0.16614167654709866</v>
      </c>
      <c r="BE22" s="9">
        <v>12762.4</v>
      </c>
      <c r="BF22" s="9">
        <v>2.2999999999999998</v>
      </c>
      <c r="BG22">
        <f t="shared" si="22"/>
        <v>554886.95652173925</v>
      </c>
      <c r="BH22" s="8">
        <v>1294.5</v>
      </c>
      <c r="BI22" s="4">
        <f t="shared" si="23"/>
        <v>0.23329076035855323</v>
      </c>
      <c r="BJ22" s="9">
        <v>1931.9</v>
      </c>
      <c r="BK22" s="10">
        <v>0.4</v>
      </c>
      <c r="BL22">
        <f t="shared" si="24"/>
        <v>482975</v>
      </c>
      <c r="BM22" s="36">
        <v>2362.0138999999999</v>
      </c>
      <c r="BN22" s="4">
        <f t="shared" si="25"/>
        <v>0.48905510637196548</v>
      </c>
      <c r="BO22" s="9">
        <v>7852.9</v>
      </c>
      <c r="BP22" s="10">
        <v>1.2</v>
      </c>
      <c r="BQ22">
        <f t="shared" si="26"/>
        <v>654408.33333333326</v>
      </c>
      <c r="BR22" s="36">
        <v>8112.2952000000005</v>
      </c>
      <c r="BS22" s="4">
        <f t="shared" si="27"/>
        <v>1.2396381260426086</v>
      </c>
      <c r="BT22" s="21">
        <v>15680.1</v>
      </c>
      <c r="BU22" s="10">
        <v>1.6</v>
      </c>
      <c r="BV22">
        <f t="shared" si="28"/>
        <v>980006.25</v>
      </c>
      <c r="BW22" s="2"/>
      <c r="BX22" s="42">
        <v>0.9</v>
      </c>
      <c r="BY22" s="33">
        <v>8885.0711999999985</v>
      </c>
      <c r="BZ22" s="40">
        <v>1.0198084354938552</v>
      </c>
      <c r="CA22">
        <f t="shared" si="29"/>
        <v>871249.0395999999</v>
      </c>
      <c r="CB22" s="36">
        <v>5423.3355000000001</v>
      </c>
      <c r="CC22" s="4">
        <f t="shared" si="30"/>
        <v>0.6224782184540385</v>
      </c>
    </row>
    <row r="23" spans="1:81" x14ac:dyDescent="0.25">
      <c r="A23" t="s">
        <v>21</v>
      </c>
      <c r="B23" s="8">
        <v>369.1</v>
      </c>
      <c r="C23" s="9">
        <v>0.4</v>
      </c>
      <c r="D23" s="4">
        <f t="shared" ref="D23:D31" si="31">B23/C23*100</f>
        <v>92275</v>
      </c>
      <c r="E23" s="9">
        <v>1116638</v>
      </c>
      <c r="F23">
        <f t="shared" ref="F23:F31" si="32">E23/D23*100</f>
        <v>1210.1197507450556</v>
      </c>
      <c r="G23" s="8">
        <v>243.5</v>
      </c>
      <c r="H23" s="9">
        <v>0.2</v>
      </c>
      <c r="I23">
        <f t="shared" si="4"/>
        <v>121750</v>
      </c>
      <c r="J23" s="8">
        <v>293958</v>
      </c>
      <c r="K23" s="4">
        <f t="shared" si="1"/>
        <v>241.44394250513349</v>
      </c>
      <c r="L23" s="8">
        <v>116.9</v>
      </c>
      <c r="M23" s="9">
        <v>0.1</v>
      </c>
      <c r="N23" s="4">
        <f t="shared" si="5"/>
        <v>116900</v>
      </c>
      <c r="O23" s="9">
        <v>914258</v>
      </c>
      <c r="P23" s="4">
        <f t="shared" si="6"/>
        <v>782.08554319931568</v>
      </c>
      <c r="Q23" s="9">
        <v>208.5</v>
      </c>
      <c r="R23" s="9">
        <v>0.1</v>
      </c>
      <c r="S23" s="4">
        <f t="shared" si="7"/>
        <v>208500</v>
      </c>
      <c r="T23" s="9">
        <v>1473.8</v>
      </c>
      <c r="U23">
        <f t="shared" si="8"/>
        <v>0.70685851318944848</v>
      </c>
      <c r="V23" s="8">
        <v>679.5</v>
      </c>
      <c r="W23" s="9">
        <v>0.3</v>
      </c>
      <c r="X23" s="4">
        <f t="shared" si="9"/>
        <v>226500</v>
      </c>
      <c r="Y23" s="9">
        <v>1154.8</v>
      </c>
      <c r="Z23">
        <f t="shared" si="10"/>
        <v>0.50984547461368657</v>
      </c>
      <c r="AA23" s="8">
        <v>1024.5</v>
      </c>
      <c r="AB23" s="10">
        <v>0.4</v>
      </c>
      <c r="AC23" s="4">
        <f t="shared" si="11"/>
        <v>256125</v>
      </c>
      <c r="AD23" s="8">
        <v>549.4</v>
      </c>
      <c r="AE23" s="4">
        <f t="shared" si="12"/>
        <v>0.21450463640800391</v>
      </c>
      <c r="AF23" s="8">
        <v>576.1</v>
      </c>
      <c r="AG23" s="11">
        <v>0.2</v>
      </c>
      <c r="AH23" s="4">
        <f t="shared" si="13"/>
        <v>288050</v>
      </c>
      <c r="AI23" s="8">
        <v>3209</v>
      </c>
      <c r="AJ23" s="4">
        <f t="shared" si="14"/>
        <v>1.1140427009199791</v>
      </c>
      <c r="AK23" s="8">
        <v>22569.7</v>
      </c>
      <c r="AL23" s="12">
        <v>11.3</v>
      </c>
      <c r="AM23">
        <f t="shared" si="2"/>
        <v>199731.85840707962</v>
      </c>
      <c r="AN23" s="8">
        <v>8291.1</v>
      </c>
      <c r="AO23" s="4">
        <f t="shared" si="15"/>
        <v>4.1511154335237075</v>
      </c>
      <c r="AP23" s="8">
        <v>132732.20000000001</v>
      </c>
      <c r="AQ23" s="12">
        <v>28.9</v>
      </c>
      <c r="AR23" s="4">
        <f t="shared" si="16"/>
        <v>459280.96885813156</v>
      </c>
      <c r="AS23" s="8">
        <v>7802.2</v>
      </c>
      <c r="AT23" s="4">
        <f t="shared" si="17"/>
        <v>1.6987858258960522</v>
      </c>
      <c r="AU23" s="8">
        <v>5411</v>
      </c>
      <c r="AV23" s="12">
        <v>1.4</v>
      </c>
      <c r="AW23">
        <f t="shared" si="18"/>
        <v>386500.00000000006</v>
      </c>
      <c r="AX23" s="8">
        <v>3399.4</v>
      </c>
      <c r="AY23" s="4">
        <f t="shared" si="19"/>
        <v>0.87953428201811112</v>
      </c>
      <c r="AZ23" s="9">
        <v>12152.2</v>
      </c>
      <c r="BA23" s="10">
        <v>2.7</v>
      </c>
      <c r="BB23">
        <f t="shared" si="20"/>
        <v>450081.48148148146</v>
      </c>
      <c r="BC23" s="21">
        <v>1512.8</v>
      </c>
      <c r="BD23" s="4">
        <f t="shared" si="21"/>
        <v>0.33611691710143021</v>
      </c>
      <c r="BE23" s="9">
        <v>2011.9</v>
      </c>
      <c r="BF23" s="9">
        <v>0.5</v>
      </c>
      <c r="BG23">
        <f t="shared" si="22"/>
        <v>402380</v>
      </c>
      <c r="BH23" s="8">
        <v>1080.8</v>
      </c>
      <c r="BI23" s="4">
        <f t="shared" si="23"/>
        <v>0.26860181917590337</v>
      </c>
      <c r="BJ23" s="9">
        <v>99201.9</v>
      </c>
      <c r="BK23" s="10">
        <v>15.3</v>
      </c>
      <c r="BL23">
        <f t="shared" si="24"/>
        <v>648378.43137254892</v>
      </c>
      <c r="BM23" s="36">
        <v>1890.6933000000001</v>
      </c>
      <c r="BN23" s="4">
        <f t="shared" si="25"/>
        <v>0.29160336132674886</v>
      </c>
      <c r="BO23" s="9">
        <v>38880.400000000001</v>
      </c>
      <c r="BP23" s="10">
        <v>5.6</v>
      </c>
      <c r="BQ23">
        <f t="shared" si="26"/>
        <v>694292.85714285728</v>
      </c>
      <c r="BR23" s="36">
        <v>4250.9827999999998</v>
      </c>
      <c r="BS23" s="4">
        <f t="shared" si="27"/>
        <v>0.6122751741237229</v>
      </c>
      <c r="BT23" s="21">
        <v>13089.6</v>
      </c>
      <c r="BU23" s="10">
        <v>1.8</v>
      </c>
      <c r="BV23">
        <f t="shared" si="28"/>
        <v>727200</v>
      </c>
      <c r="BW23" s="2"/>
      <c r="BX23" s="42">
        <v>0.3</v>
      </c>
      <c r="BY23" s="34">
        <v>53202.0478</v>
      </c>
      <c r="BZ23" s="40">
        <v>7.6338750398962416</v>
      </c>
      <c r="CA23">
        <f t="shared" si="29"/>
        <v>696920.60089999996</v>
      </c>
      <c r="CB23" s="36">
        <v>1929.9794999999999</v>
      </c>
      <c r="CC23" s="4">
        <f t="shared" si="30"/>
        <v>0.27692960970125347</v>
      </c>
    </row>
    <row r="24" spans="1:81" x14ac:dyDescent="0.25">
      <c r="A24" t="s">
        <v>22</v>
      </c>
      <c r="B24" s="8">
        <v>10106.799999999999</v>
      </c>
      <c r="C24" s="9">
        <v>4.5</v>
      </c>
      <c r="D24" s="4">
        <f t="shared" si="31"/>
        <v>224595.55555555553</v>
      </c>
      <c r="E24" s="9">
        <v>1806925</v>
      </c>
      <c r="F24">
        <f t="shared" si="32"/>
        <v>804.52393438081288</v>
      </c>
      <c r="G24" s="8">
        <v>15355.4</v>
      </c>
      <c r="H24" s="9">
        <v>5.5</v>
      </c>
      <c r="I24">
        <f t="shared" si="4"/>
        <v>279189.09090909094</v>
      </c>
      <c r="J24" s="8">
        <v>1490091</v>
      </c>
      <c r="K24" s="4">
        <f t="shared" si="1"/>
        <v>533.72106880966953</v>
      </c>
      <c r="L24" s="8">
        <v>25081.8</v>
      </c>
      <c r="M24" s="9">
        <v>7.5</v>
      </c>
      <c r="N24" s="4">
        <f t="shared" si="5"/>
        <v>334424</v>
      </c>
      <c r="O24" s="9">
        <v>4210787</v>
      </c>
      <c r="P24" s="4">
        <f t="shared" si="6"/>
        <v>1259.1162715594573</v>
      </c>
      <c r="Q24" s="9">
        <v>25888.7</v>
      </c>
      <c r="R24" s="9">
        <v>6.2</v>
      </c>
      <c r="S24" s="4">
        <f t="shared" si="7"/>
        <v>417559.67741935485</v>
      </c>
      <c r="T24" s="9">
        <v>2643.8</v>
      </c>
      <c r="U24">
        <f t="shared" si="8"/>
        <v>0.63315500585197404</v>
      </c>
      <c r="V24" s="8">
        <v>7116.7</v>
      </c>
      <c r="W24" s="9">
        <v>2.6</v>
      </c>
      <c r="X24" s="4">
        <f t="shared" si="9"/>
        <v>273719.23076923075</v>
      </c>
      <c r="Y24" s="9">
        <v>3844.6</v>
      </c>
      <c r="Z24">
        <f t="shared" si="10"/>
        <v>1.4045779645060212</v>
      </c>
      <c r="AA24" s="8">
        <v>5570.1</v>
      </c>
      <c r="AB24" s="10">
        <v>1.6</v>
      </c>
      <c r="AC24" s="4">
        <f t="shared" si="11"/>
        <v>348131.25</v>
      </c>
      <c r="AD24" s="8">
        <v>2520.9</v>
      </c>
      <c r="AE24" s="4">
        <f t="shared" si="12"/>
        <v>0.72412344482145752</v>
      </c>
      <c r="AF24" s="8">
        <v>15394.7</v>
      </c>
      <c r="AG24" s="11">
        <v>3.7</v>
      </c>
      <c r="AH24" s="4">
        <f t="shared" si="13"/>
        <v>416072.97297297302</v>
      </c>
      <c r="AI24" s="8">
        <v>9653.6</v>
      </c>
      <c r="AJ24" s="4">
        <f t="shared" si="14"/>
        <v>2.3201699286117949</v>
      </c>
      <c r="AK24" s="8">
        <v>16593.099999999999</v>
      </c>
      <c r="AL24" s="11">
        <v>4.7</v>
      </c>
      <c r="AM24">
        <f t="shared" si="2"/>
        <v>353044.68085106375</v>
      </c>
      <c r="AN24" s="8">
        <v>1358.8</v>
      </c>
      <c r="AO24" s="4">
        <f t="shared" si="15"/>
        <v>0.38488046236086093</v>
      </c>
      <c r="AP24" s="8">
        <v>17317.900000000001</v>
      </c>
      <c r="AQ24" s="12">
        <v>4.4000000000000004</v>
      </c>
      <c r="AR24" s="4">
        <f t="shared" si="16"/>
        <v>393588.63636363635</v>
      </c>
      <c r="AS24" s="8">
        <v>2408.8000000000002</v>
      </c>
      <c r="AT24" s="4">
        <f t="shared" si="17"/>
        <v>0.61200953926284374</v>
      </c>
      <c r="AU24" s="8">
        <v>79138.5</v>
      </c>
      <c r="AV24" s="12">
        <v>18.600000000000001</v>
      </c>
      <c r="AW24">
        <f t="shared" si="18"/>
        <v>425475.80645161285</v>
      </c>
      <c r="AX24" s="8">
        <v>2613.4</v>
      </c>
      <c r="AY24" s="4">
        <f t="shared" si="19"/>
        <v>0.61422998919615623</v>
      </c>
      <c r="AZ24" s="9">
        <v>109044.2</v>
      </c>
      <c r="BA24" s="10">
        <v>21.6</v>
      </c>
      <c r="BB24">
        <f t="shared" si="20"/>
        <v>504834.25925925921</v>
      </c>
      <c r="BC24" s="21">
        <v>578.4</v>
      </c>
      <c r="BD24" s="4">
        <f t="shared" si="21"/>
        <v>0.11457225602095299</v>
      </c>
      <c r="BE24" s="9">
        <v>23912</v>
      </c>
      <c r="BF24" s="9">
        <v>4.3</v>
      </c>
      <c r="BG24">
        <f t="shared" si="22"/>
        <v>556093.02325581398</v>
      </c>
      <c r="BH24" s="8">
        <v>812.2</v>
      </c>
      <c r="BI24" s="4">
        <f t="shared" si="23"/>
        <v>0.14605470056875208</v>
      </c>
      <c r="BJ24" s="9">
        <v>17869.400000000001</v>
      </c>
      <c r="BK24" s="10">
        <v>2.9</v>
      </c>
      <c r="BL24">
        <f t="shared" si="24"/>
        <v>616186.20689655177</v>
      </c>
      <c r="BM24" s="36">
        <v>1188.4390000000001</v>
      </c>
      <c r="BN24" s="4">
        <f t="shared" si="25"/>
        <v>0.19287010755817208</v>
      </c>
      <c r="BO24" s="9">
        <v>14158.7</v>
      </c>
      <c r="BP24" s="10">
        <v>2</v>
      </c>
      <c r="BQ24">
        <f t="shared" si="26"/>
        <v>707935</v>
      </c>
      <c r="BR24" s="36">
        <v>975.06880000000001</v>
      </c>
      <c r="BS24" s="4">
        <f t="shared" si="27"/>
        <v>0.13773422701236696</v>
      </c>
      <c r="BT24" s="21">
        <v>23338.400000000001</v>
      </c>
      <c r="BU24" s="10">
        <v>2.8</v>
      </c>
      <c r="BV24">
        <f t="shared" si="28"/>
        <v>833514.28571428591</v>
      </c>
      <c r="BW24" s="2"/>
      <c r="BX24" s="42">
        <v>0.2</v>
      </c>
      <c r="BY24" s="32">
        <v>16518.721699999998</v>
      </c>
      <c r="BZ24" s="40">
        <v>1.9481213001441693</v>
      </c>
      <c r="CA24">
        <f t="shared" si="29"/>
        <v>847930.86029999994</v>
      </c>
      <c r="CB24" s="36">
        <v>2434.8492999999999</v>
      </c>
      <c r="CC24" s="4">
        <f t="shared" si="30"/>
        <v>0.28715186744571891</v>
      </c>
    </row>
    <row r="25" spans="1:81" x14ac:dyDescent="0.25">
      <c r="A25" t="s">
        <v>23</v>
      </c>
      <c r="B25" s="8">
        <v>5573.4</v>
      </c>
      <c r="C25" s="9">
        <v>9.1999999999999993</v>
      </c>
      <c r="D25" s="4">
        <f t="shared" si="31"/>
        <v>60580.434782608703</v>
      </c>
      <c r="E25" s="9">
        <v>176532</v>
      </c>
      <c r="F25">
        <f t="shared" si="32"/>
        <v>291.40101194961778</v>
      </c>
      <c r="G25" s="8">
        <v>6584.1</v>
      </c>
      <c r="H25" s="9">
        <v>7.8</v>
      </c>
      <c r="I25">
        <f t="shared" si="4"/>
        <v>84411.538461538468</v>
      </c>
      <c r="J25" s="8">
        <v>2417641</v>
      </c>
      <c r="K25" s="4">
        <f t="shared" si="1"/>
        <v>2864.1119970838836</v>
      </c>
      <c r="L25" s="8">
        <v>14725.4</v>
      </c>
      <c r="M25" s="9">
        <v>13.4</v>
      </c>
      <c r="N25" s="4">
        <f t="shared" si="5"/>
        <v>109891.04477611941</v>
      </c>
      <c r="O25" s="9">
        <v>415435</v>
      </c>
      <c r="P25" s="4">
        <f t="shared" si="6"/>
        <v>378.04263381639885</v>
      </c>
      <c r="Q25" s="9">
        <v>14222.1</v>
      </c>
      <c r="R25" s="9">
        <v>9.6</v>
      </c>
      <c r="S25" s="4">
        <f t="shared" si="7"/>
        <v>148146.875</v>
      </c>
      <c r="T25" s="9">
        <v>772</v>
      </c>
      <c r="U25">
        <f t="shared" si="8"/>
        <v>0.52110447824160988</v>
      </c>
      <c r="V25" s="8">
        <v>4395.8</v>
      </c>
      <c r="W25" s="9">
        <v>2.8</v>
      </c>
      <c r="X25" s="4">
        <f t="shared" si="9"/>
        <v>156992.85714285716</v>
      </c>
      <c r="Y25" s="9">
        <v>371.5</v>
      </c>
      <c r="Z25">
        <f t="shared" si="10"/>
        <v>0.23663496974384635</v>
      </c>
      <c r="AA25" s="8">
        <v>222.6</v>
      </c>
      <c r="AB25" s="10">
        <v>0.1</v>
      </c>
      <c r="AC25" s="4">
        <f t="shared" si="11"/>
        <v>222600</v>
      </c>
      <c r="AD25" s="8">
        <v>176.6</v>
      </c>
      <c r="AE25" s="4">
        <f t="shared" si="12"/>
        <v>7.9335130278526511E-2</v>
      </c>
      <c r="AF25" s="8">
        <v>456.9</v>
      </c>
      <c r="AG25" s="11">
        <v>0.2</v>
      </c>
      <c r="AH25" s="4">
        <f t="shared" si="13"/>
        <v>228449.99999999994</v>
      </c>
      <c r="AI25" s="8">
        <v>175.8</v>
      </c>
      <c r="AJ25" s="4">
        <f t="shared" si="14"/>
        <v>7.6953381483913355E-2</v>
      </c>
      <c r="AK25" s="8">
        <v>850.3</v>
      </c>
      <c r="AL25" s="12">
        <v>0.3</v>
      </c>
      <c r="AM25">
        <f t="shared" si="2"/>
        <v>283433.33333333337</v>
      </c>
      <c r="AN25" s="8">
        <v>481.3</v>
      </c>
      <c r="AO25" s="4">
        <f t="shared" si="15"/>
        <v>0.16981065506291895</v>
      </c>
      <c r="AP25" s="8">
        <v>395.9</v>
      </c>
      <c r="AQ25" s="12">
        <v>0.1</v>
      </c>
      <c r="AR25" s="4">
        <f t="shared" si="16"/>
        <v>395899.99999999994</v>
      </c>
      <c r="AS25" s="8">
        <v>442.2</v>
      </c>
      <c r="AT25" s="4">
        <f t="shared" si="17"/>
        <v>0.11169487244253602</v>
      </c>
      <c r="AU25" s="8">
        <v>376.6</v>
      </c>
      <c r="AV25" s="12">
        <v>0.1</v>
      </c>
      <c r="AW25">
        <f t="shared" si="18"/>
        <v>376600</v>
      </c>
      <c r="AX25" s="8">
        <v>249.3</v>
      </c>
      <c r="AY25" s="4">
        <f t="shared" si="19"/>
        <v>6.6197557089750406E-2</v>
      </c>
      <c r="AZ25" s="9">
        <v>1271.4000000000001</v>
      </c>
      <c r="BA25" s="10">
        <v>0.4</v>
      </c>
      <c r="BB25">
        <f t="shared" si="20"/>
        <v>317850</v>
      </c>
      <c r="BC25" s="21">
        <v>1066.4000000000001</v>
      </c>
      <c r="BD25" s="4">
        <f t="shared" si="21"/>
        <v>0.33550416863300303</v>
      </c>
      <c r="BE25" s="9">
        <v>994.7</v>
      </c>
      <c r="BF25" s="9">
        <v>0.2</v>
      </c>
      <c r="BG25">
        <f t="shared" si="22"/>
        <v>497350</v>
      </c>
      <c r="BH25" s="8">
        <v>3856.4</v>
      </c>
      <c r="BI25" s="4">
        <f t="shared" si="23"/>
        <v>0.77538956469287224</v>
      </c>
      <c r="BJ25" s="9">
        <v>1244.4000000000001</v>
      </c>
      <c r="BK25" s="10">
        <v>0.3</v>
      </c>
      <c r="BL25">
        <f t="shared" si="24"/>
        <v>414800.00000000012</v>
      </c>
      <c r="BM25" s="36">
        <v>1464.5825</v>
      </c>
      <c r="BN25" s="4">
        <f t="shared" si="25"/>
        <v>0.35308160559305679</v>
      </c>
      <c r="BO25" s="9">
        <v>1775.2</v>
      </c>
      <c r="BP25" s="10">
        <v>0.3</v>
      </c>
      <c r="BQ25">
        <f t="shared" si="26"/>
        <v>591733.33333333337</v>
      </c>
      <c r="BR25" s="36">
        <v>702.96379999999999</v>
      </c>
      <c r="BS25" s="4">
        <f t="shared" si="27"/>
        <v>0.11879739747634069</v>
      </c>
      <c r="BT25" s="21">
        <v>1195.2</v>
      </c>
      <c r="BU25" s="10">
        <v>0.2</v>
      </c>
      <c r="BV25">
        <f t="shared" si="28"/>
        <v>597600</v>
      </c>
      <c r="BW25" s="2"/>
      <c r="BX25" s="42">
        <v>0.8</v>
      </c>
      <c r="BY25" s="32">
        <v>6820.9256999999998</v>
      </c>
      <c r="BZ25" s="40">
        <v>0.95473521545680406</v>
      </c>
      <c r="CA25">
        <f t="shared" si="29"/>
        <v>714431.14170000004</v>
      </c>
      <c r="CB25" s="36">
        <v>1189.9176</v>
      </c>
      <c r="CC25" s="4">
        <f t="shared" si="30"/>
        <v>0.16655455376267228</v>
      </c>
    </row>
    <row r="26" spans="1:81" x14ac:dyDescent="0.25">
      <c r="A26" t="s">
        <v>24</v>
      </c>
      <c r="B26" s="8">
        <v>914.5</v>
      </c>
      <c r="C26" s="9">
        <v>0.5</v>
      </c>
      <c r="D26" s="4">
        <f t="shared" si="31"/>
        <v>182900</v>
      </c>
      <c r="E26" s="9">
        <v>1223700</v>
      </c>
      <c r="F26">
        <f t="shared" si="32"/>
        <v>669.05412793876428</v>
      </c>
      <c r="G26" s="8">
        <v>800.6</v>
      </c>
      <c r="H26" s="9">
        <v>0.3</v>
      </c>
      <c r="I26">
        <f t="shared" si="4"/>
        <v>266866.66666666669</v>
      </c>
      <c r="J26" s="8">
        <v>2059198</v>
      </c>
      <c r="K26" s="4">
        <f t="shared" si="1"/>
        <v>771.62053459905064</v>
      </c>
      <c r="L26" s="8">
        <v>1033.5999999999999</v>
      </c>
      <c r="M26" s="9">
        <v>0.3</v>
      </c>
      <c r="N26" s="4">
        <f t="shared" si="5"/>
        <v>344533.33333333331</v>
      </c>
      <c r="O26" s="9">
        <v>3890767</v>
      </c>
      <c r="P26" s="4">
        <f t="shared" si="6"/>
        <v>1129.2860874613004</v>
      </c>
      <c r="Q26" s="9">
        <v>4933.7</v>
      </c>
      <c r="R26" s="9">
        <v>1.4</v>
      </c>
      <c r="S26" s="4">
        <f t="shared" si="7"/>
        <v>352407.14285714284</v>
      </c>
      <c r="T26" s="9">
        <v>2094.5</v>
      </c>
      <c r="U26">
        <f t="shared" si="8"/>
        <v>0.59434096114477974</v>
      </c>
      <c r="V26" s="8">
        <v>5594.2</v>
      </c>
      <c r="W26" s="9">
        <v>1.8</v>
      </c>
      <c r="X26" s="4">
        <f t="shared" si="9"/>
        <v>310788.88888888888</v>
      </c>
      <c r="Y26" s="9">
        <v>8042</v>
      </c>
      <c r="Z26">
        <f t="shared" si="10"/>
        <v>2.5876085946158525</v>
      </c>
      <c r="AA26" s="8">
        <v>9959.2000000000007</v>
      </c>
      <c r="AB26" s="10">
        <v>2.4</v>
      </c>
      <c r="AC26" s="4">
        <f t="shared" si="11"/>
        <v>414966.66666666669</v>
      </c>
      <c r="AD26" s="8">
        <v>5847.5</v>
      </c>
      <c r="AE26" s="4">
        <f t="shared" si="12"/>
        <v>1.4091493292633948</v>
      </c>
      <c r="AF26" s="8">
        <v>11770.6</v>
      </c>
      <c r="AG26" s="11">
        <v>2.5</v>
      </c>
      <c r="AH26" s="4">
        <f t="shared" si="13"/>
        <v>470824</v>
      </c>
      <c r="AI26" s="8">
        <v>8867.4</v>
      </c>
      <c r="AJ26" s="4">
        <f t="shared" si="14"/>
        <v>1.8833789271574939</v>
      </c>
      <c r="AK26" s="8">
        <v>4939.1000000000004</v>
      </c>
      <c r="AL26" s="12">
        <v>1.1000000000000001</v>
      </c>
      <c r="AM26">
        <f t="shared" si="2"/>
        <v>449009.09090909088</v>
      </c>
      <c r="AN26" s="8">
        <v>12621.7</v>
      </c>
      <c r="AO26" s="4">
        <f t="shared" si="15"/>
        <v>2.8110121277155762</v>
      </c>
      <c r="AP26" s="8">
        <v>14077</v>
      </c>
      <c r="AQ26" s="12">
        <v>2.8</v>
      </c>
      <c r="AR26" s="4">
        <f t="shared" si="16"/>
        <v>502750</v>
      </c>
      <c r="AS26" s="8">
        <v>83252.2</v>
      </c>
      <c r="AT26" s="4">
        <f t="shared" si="17"/>
        <v>16.559363500745896</v>
      </c>
      <c r="AU26" s="8">
        <v>32776.6</v>
      </c>
      <c r="AV26" s="12">
        <v>5.9</v>
      </c>
      <c r="AW26">
        <f t="shared" si="18"/>
        <v>555535.59322033892</v>
      </c>
      <c r="AX26" s="8">
        <v>7011.3</v>
      </c>
      <c r="AY26" s="4">
        <f t="shared" si="19"/>
        <v>1.2620793492918729</v>
      </c>
      <c r="AZ26" s="9">
        <v>13906.7</v>
      </c>
      <c r="BA26" s="10">
        <v>2</v>
      </c>
      <c r="BB26">
        <f t="shared" si="20"/>
        <v>695335</v>
      </c>
      <c r="BC26" s="21">
        <v>12639.3</v>
      </c>
      <c r="BD26" s="4">
        <f t="shared" si="21"/>
        <v>1.817728145426305</v>
      </c>
      <c r="BE26" s="9">
        <v>20565.3</v>
      </c>
      <c r="BF26" s="9">
        <v>2.2999999999999998</v>
      </c>
      <c r="BG26">
        <f t="shared" si="22"/>
        <v>894143.47826086963</v>
      </c>
      <c r="BH26" s="8">
        <v>7180.1</v>
      </c>
      <c r="BI26" s="4">
        <f t="shared" si="23"/>
        <v>0.80301430078822089</v>
      </c>
      <c r="BJ26" s="9">
        <v>22072.5</v>
      </c>
      <c r="BK26" s="10">
        <v>2.2000000000000002</v>
      </c>
      <c r="BL26">
        <f t="shared" si="24"/>
        <v>1003295.4545454544</v>
      </c>
      <c r="BM26" s="36">
        <v>40298.728299999995</v>
      </c>
      <c r="BN26" s="4">
        <f t="shared" si="25"/>
        <v>4.0166361880167631</v>
      </c>
      <c r="BO26" s="9">
        <v>33282.5</v>
      </c>
      <c r="BP26" s="10">
        <v>2.7</v>
      </c>
      <c r="BQ26">
        <f t="shared" si="26"/>
        <v>1232685.1851851849</v>
      </c>
      <c r="BR26" s="36">
        <v>14195.599099999999</v>
      </c>
      <c r="BS26" s="4">
        <f t="shared" si="27"/>
        <v>1.1515997166679188</v>
      </c>
      <c r="BT26" s="21">
        <v>29055.7</v>
      </c>
      <c r="BU26" s="10">
        <v>2</v>
      </c>
      <c r="BV26">
        <f t="shared" si="28"/>
        <v>1452785</v>
      </c>
      <c r="BW26" s="2"/>
      <c r="BX26" s="42">
        <v>2.4</v>
      </c>
      <c r="BY26" s="32">
        <v>16358.901</v>
      </c>
      <c r="BZ26" s="40">
        <v>0.95404207259918505</v>
      </c>
      <c r="CA26">
        <f t="shared" si="29"/>
        <v>1714693.8767000006</v>
      </c>
      <c r="CB26" s="36">
        <v>27971.337100000001</v>
      </c>
      <c r="CC26" s="4">
        <f t="shared" si="30"/>
        <v>1.6312729333256848</v>
      </c>
    </row>
    <row r="27" spans="1:81" x14ac:dyDescent="0.25">
      <c r="A27" t="s">
        <v>25</v>
      </c>
      <c r="B27" s="8">
        <v>2877.4</v>
      </c>
      <c r="C27" s="9">
        <v>3.5</v>
      </c>
      <c r="D27" s="4">
        <f t="shared" si="31"/>
        <v>82211.42857142858</v>
      </c>
      <c r="E27" s="9">
        <v>1345607</v>
      </c>
      <c r="F27">
        <f t="shared" si="32"/>
        <v>1636.7639188155972</v>
      </c>
      <c r="G27" s="8">
        <v>295.60000000000002</v>
      </c>
      <c r="H27" s="9">
        <v>0.3</v>
      </c>
      <c r="I27">
        <f t="shared" si="4"/>
        <v>98533.333333333343</v>
      </c>
      <c r="J27" s="8">
        <v>1857027</v>
      </c>
      <c r="K27" s="4">
        <f t="shared" si="1"/>
        <v>1884.6688092016236</v>
      </c>
      <c r="L27" s="8">
        <v>276.89999999999998</v>
      </c>
      <c r="M27" s="9">
        <v>0.2</v>
      </c>
      <c r="N27" s="4">
        <f t="shared" si="5"/>
        <v>138449.99999999997</v>
      </c>
      <c r="O27" s="9">
        <v>3259324</v>
      </c>
      <c r="P27" s="4">
        <f t="shared" si="6"/>
        <v>2354.1524015890218</v>
      </c>
      <c r="Q27" s="9">
        <v>244.6</v>
      </c>
      <c r="R27" s="9">
        <v>0.2</v>
      </c>
      <c r="S27" s="4">
        <f t="shared" si="7"/>
        <v>122300</v>
      </c>
      <c r="T27" s="9">
        <v>4411</v>
      </c>
      <c r="U27">
        <f t="shared" si="8"/>
        <v>3.6067048242027799</v>
      </c>
      <c r="V27" s="8">
        <v>345.8</v>
      </c>
      <c r="W27" s="9">
        <v>0.3</v>
      </c>
      <c r="X27" s="4">
        <f t="shared" si="9"/>
        <v>115266.66666666667</v>
      </c>
      <c r="Y27" s="9">
        <v>3386.5</v>
      </c>
      <c r="Z27">
        <f t="shared" si="10"/>
        <v>2.9379699248120299</v>
      </c>
      <c r="AA27" s="8">
        <v>792.5</v>
      </c>
      <c r="AB27" s="10">
        <v>0.5</v>
      </c>
      <c r="AC27" s="4">
        <f t="shared" si="11"/>
        <v>158500</v>
      </c>
      <c r="AD27" s="8">
        <v>2514.6</v>
      </c>
      <c r="AE27" s="4">
        <f t="shared" si="12"/>
        <v>1.5864984227129337</v>
      </c>
      <c r="AF27" s="8">
        <v>295.60000000000002</v>
      </c>
      <c r="AG27" s="11">
        <v>0.2</v>
      </c>
      <c r="AH27" s="4">
        <f t="shared" si="13"/>
        <v>147800</v>
      </c>
      <c r="AI27" s="8">
        <v>826.9</v>
      </c>
      <c r="AJ27" s="4">
        <f t="shared" si="14"/>
        <v>0.55947225981055482</v>
      </c>
      <c r="AK27" s="8">
        <v>251</v>
      </c>
      <c r="AL27" s="12">
        <v>0.1</v>
      </c>
      <c r="AM27">
        <f t="shared" si="2"/>
        <v>251000</v>
      </c>
      <c r="AN27" s="8">
        <v>787.7</v>
      </c>
      <c r="AO27" s="4">
        <f t="shared" si="15"/>
        <v>0.3138247011952191</v>
      </c>
      <c r="AP27" s="8">
        <v>1815.9</v>
      </c>
      <c r="AQ27" s="12">
        <v>0.8</v>
      </c>
      <c r="AR27" s="4">
        <f t="shared" si="16"/>
        <v>226987.5</v>
      </c>
      <c r="AS27" s="8">
        <v>1702.2</v>
      </c>
      <c r="AT27" s="4">
        <f t="shared" si="17"/>
        <v>0.74990913596563691</v>
      </c>
      <c r="AU27" s="8">
        <v>8299.7000000000007</v>
      </c>
      <c r="AV27" s="12">
        <v>3.6</v>
      </c>
      <c r="AW27">
        <f t="shared" si="18"/>
        <v>230547.22222222222</v>
      </c>
      <c r="AX27" s="8">
        <v>2248.8000000000002</v>
      </c>
      <c r="AY27" s="4">
        <f t="shared" si="19"/>
        <v>0.97541838861645613</v>
      </c>
      <c r="AZ27" s="9">
        <v>4373</v>
      </c>
      <c r="BA27" s="10">
        <v>1.7</v>
      </c>
      <c r="BB27">
        <f t="shared" si="20"/>
        <v>257235.29411764708</v>
      </c>
      <c r="BC27" s="21">
        <v>1239</v>
      </c>
      <c r="BD27" s="4">
        <f t="shared" si="21"/>
        <v>0.48166018751429218</v>
      </c>
      <c r="BE27" s="9">
        <v>3965.9</v>
      </c>
      <c r="BF27" s="9">
        <v>1.5</v>
      </c>
      <c r="BG27">
        <f t="shared" si="22"/>
        <v>264393.33333333331</v>
      </c>
      <c r="BH27" s="8">
        <v>1268.9000000000001</v>
      </c>
      <c r="BI27" s="4">
        <f t="shared" si="23"/>
        <v>0.47992889381981396</v>
      </c>
      <c r="BJ27" s="9">
        <v>3083.8</v>
      </c>
      <c r="BK27" s="10">
        <v>1.3</v>
      </c>
      <c r="BL27">
        <f t="shared" si="24"/>
        <v>237215.38461538462</v>
      </c>
      <c r="BM27" s="36">
        <v>1097.0717999999999</v>
      </c>
      <c r="BN27" s="4">
        <f t="shared" si="25"/>
        <v>0.46247919450029185</v>
      </c>
      <c r="BO27" s="9">
        <v>2223</v>
      </c>
      <c r="BP27" s="10">
        <v>0.8</v>
      </c>
      <c r="BQ27">
        <f t="shared" si="26"/>
        <v>277875</v>
      </c>
      <c r="BR27" s="36">
        <v>6516.2708000000002</v>
      </c>
      <c r="BS27" s="4">
        <f t="shared" si="27"/>
        <v>2.345036725146199</v>
      </c>
      <c r="BT27" s="21">
        <v>26705.1</v>
      </c>
      <c r="BU27" s="10">
        <v>4.7</v>
      </c>
      <c r="BV27">
        <f t="shared" si="28"/>
        <v>568193.6170212765</v>
      </c>
      <c r="BW27" s="2"/>
      <c r="BX27" s="42">
        <v>0.3</v>
      </c>
      <c r="BY27" s="32">
        <v>112798.46799999999</v>
      </c>
      <c r="BZ27" s="40">
        <v>10.640268155001307</v>
      </c>
      <c r="CA27">
        <f t="shared" si="29"/>
        <v>1060109.2599999998</v>
      </c>
      <c r="CB27" s="36">
        <v>3438.5243</v>
      </c>
      <c r="CC27" s="4">
        <f t="shared" si="30"/>
        <v>0.32435565179385384</v>
      </c>
    </row>
    <row r="28" spans="1:81" x14ac:dyDescent="0.25">
      <c r="A28" t="s">
        <v>26</v>
      </c>
      <c r="B28" s="8">
        <v>9956.1</v>
      </c>
      <c r="C28" s="9">
        <v>19.100000000000001</v>
      </c>
      <c r="D28" s="4">
        <f t="shared" si="31"/>
        <v>52126.178010471202</v>
      </c>
      <c r="E28" s="9">
        <v>1294677</v>
      </c>
      <c r="F28">
        <f t="shared" si="32"/>
        <v>2483.7366739988552</v>
      </c>
      <c r="G28" s="8">
        <v>4313</v>
      </c>
      <c r="H28" s="9">
        <v>6.7</v>
      </c>
      <c r="I28">
        <f t="shared" si="4"/>
        <v>64373.13432835821</v>
      </c>
      <c r="J28" s="8">
        <v>2481680</v>
      </c>
      <c r="K28" s="4">
        <f t="shared" si="1"/>
        <v>3855.1486204498028</v>
      </c>
      <c r="L28" s="8">
        <v>6855.3</v>
      </c>
      <c r="M28" s="9">
        <v>6.9</v>
      </c>
      <c r="N28" s="4">
        <f t="shared" si="5"/>
        <v>99352.173913043473</v>
      </c>
      <c r="O28" s="9">
        <v>1478128</v>
      </c>
      <c r="P28" s="4">
        <f t="shared" si="6"/>
        <v>1487.7661371493589</v>
      </c>
      <c r="Q28" s="9">
        <v>10484.1</v>
      </c>
      <c r="R28" s="9">
        <v>10.4</v>
      </c>
      <c r="S28" s="4">
        <f t="shared" si="7"/>
        <v>100808.65384615384</v>
      </c>
      <c r="T28" s="9">
        <v>2106.3000000000002</v>
      </c>
      <c r="U28">
        <f t="shared" si="8"/>
        <v>2.0894039545597622</v>
      </c>
      <c r="V28" s="8">
        <v>6634</v>
      </c>
      <c r="W28" s="9">
        <v>7.5</v>
      </c>
      <c r="X28" s="4">
        <f t="shared" si="9"/>
        <v>88453.333333333328</v>
      </c>
      <c r="Y28" s="9">
        <v>939</v>
      </c>
      <c r="Z28">
        <f t="shared" si="10"/>
        <v>1.0615767259571902</v>
      </c>
      <c r="AA28" s="8">
        <v>7037.8</v>
      </c>
      <c r="AB28" s="10">
        <v>6.9</v>
      </c>
      <c r="AC28" s="4">
        <f t="shared" si="11"/>
        <v>101997.10144927536</v>
      </c>
      <c r="AD28" s="8">
        <v>1180.3</v>
      </c>
      <c r="AE28" s="4">
        <f t="shared" si="12"/>
        <v>1.1571897467958736</v>
      </c>
      <c r="AF28" s="8">
        <v>5542.5</v>
      </c>
      <c r="AG28" s="11">
        <v>4.8</v>
      </c>
      <c r="AH28" s="4">
        <f t="shared" si="13"/>
        <v>115468.75</v>
      </c>
      <c r="AI28" s="8">
        <v>845.9</v>
      </c>
      <c r="AJ28" s="4">
        <f t="shared" si="14"/>
        <v>0.7325791610284168</v>
      </c>
      <c r="AK28" s="8">
        <v>4017.3</v>
      </c>
      <c r="AL28" s="12">
        <v>3.2</v>
      </c>
      <c r="AM28">
        <f t="shared" si="2"/>
        <v>125540.625</v>
      </c>
      <c r="AN28" s="8">
        <v>5942.5</v>
      </c>
      <c r="AO28" s="4">
        <f t="shared" si="15"/>
        <v>4.7335274935902216</v>
      </c>
      <c r="AP28" s="8">
        <v>5976.6</v>
      </c>
      <c r="AQ28" s="12">
        <v>4.5999999999999996</v>
      </c>
      <c r="AR28" s="4">
        <f t="shared" si="16"/>
        <v>129926.08695652174</v>
      </c>
      <c r="AS28" s="8">
        <v>2727.2</v>
      </c>
      <c r="AT28" s="4">
        <f t="shared" si="17"/>
        <v>2.0990395877254624</v>
      </c>
      <c r="AU28" s="8">
        <v>4835.8</v>
      </c>
      <c r="AV28" s="12">
        <v>3.6</v>
      </c>
      <c r="AW28">
        <f t="shared" si="18"/>
        <v>134327.77777777778</v>
      </c>
      <c r="AX28" s="8">
        <v>2445.3000000000002</v>
      </c>
      <c r="AY28" s="4">
        <f t="shared" si="19"/>
        <v>1.8203978659167046</v>
      </c>
      <c r="AZ28" s="9">
        <v>6654.9</v>
      </c>
      <c r="BA28" s="10">
        <v>3.9</v>
      </c>
      <c r="BB28">
        <f t="shared" si="20"/>
        <v>170638.46153846153</v>
      </c>
      <c r="BC28" s="21">
        <v>1816.4</v>
      </c>
      <c r="BD28" s="4">
        <f t="shared" si="21"/>
        <v>1.0644727944822612</v>
      </c>
      <c r="BE28" s="9">
        <v>5681.9</v>
      </c>
      <c r="BF28" s="9">
        <v>3</v>
      </c>
      <c r="BG28">
        <f t="shared" si="22"/>
        <v>189396.66666666666</v>
      </c>
      <c r="BH28" s="8">
        <v>2381.1999999999998</v>
      </c>
      <c r="BI28" s="4">
        <f t="shared" si="23"/>
        <v>1.2572554955208644</v>
      </c>
      <c r="BJ28" s="9">
        <v>7467.4</v>
      </c>
      <c r="BK28" s="10">
        <v>4</v>
      </c>
      <c r="BL28">
        <f t="shared" si="24"/>
        <v>186685</v>
      </c>
      <c r="BM28" s="36">
        <v>1414.2995000000001</v>
      </c>
      <c r="BN28" s="4">
        <f t="shared" si="25"/>
        <v>0.75758604065672119</v>
      </c>
      <c r="BO28" s="9">
        <v>4076.9</v>
      </c>
      <c r="BP28" s="10">
        <v>2</v>
      </c>
      <c r="BQ28">
        <f t="shared" si="26"/>
        <v>203845</v>
      </c>
      <c r="BR28" s="36">
        <v>2826.0297999999998</v>
      </c>
      <c r="BS28" s="4">
        <f t="shared" si="27"/>
        <v>1.3863620888420123</v>
      </c>
      <c r="BT28" s="21">
        <v>2507.1999999999998</v>
      </c>
      <c r="BU28" s="10">
        <v>1.1000000000000001</v>
      </c>
      <c r="BV28">
        <f t="shared" si="28"/>
        <v>227927.27272727271</v>
      </c>
      <c r="BW28" s="2"/>
      <c r="BX28" s="42">
        <v>0.6</v>
      </c>
      <c r="BY28" s="32">
        <v>4570.3540000000003</v>
      </c>
      <c r="BZ28" s="40">
        <v>1.9281131777241858</v>
      </c>
      <c r="CA28">
        <f t="shared" si="29"/>
        <v>237037.64139999999</v>
      </c>
      <c r="CB28" s="36">
        <v>2477.8629000000001</v>
      </c>
      <c r="CC28" s="4">
        <f t="shared" si="30"/>
        <v>1.0453457456651862</v>
      </c>
    </row>
    <row r="29" spans="1:81" x14ac:dyDescent="0.25">
      <c r="A29" t="s">
        <v>27</v>
      </c>
      <c r="B29" s="8">
        <v>204.3</v>
      </c>
      <c r="C29" s="9">
        <v>1</v>
      </c>
      <c r="D29" s="4">
        <f t="shared" si="31"/>
        <v>20430</v>
      </c>
      <c r="E29" s="9">
        <v>77015</v>
      </c>
      <c r="F29">
        <f t="shared" si="32"/>
        <v>376.9701419481155</v>
      </c>
      <c r="G29" s="8">
        <v>407.2</v>
      </c>
      <c r="H29" s="9">
        <v>1.1000000000000001</v>
      </c>
      <c r="I29">
        <f t="shared" si="4"/>
        <v>37018.181818181816</v>
      </c>
      <c r="J29" s="8">
        <v>147710</v>
      </c>
      <c r="K29" s="4">
        <f t="shared" si="1"/>
        <v>399.02013752455798</v>
      </c>
      <c r="L29" s="8">
        <v>388.6</v>
      </c>
      <c r="M29" s="9">
        <v>0.9</v>
      </c>
      <c r="N29" s="4">
        <f t="shared" si="5"/>
        <v>43177.777777777774</v>
      </c>
      <c r="O29" s="9">
        <v>191780</v>
      </c>
      <c r="P29" s="4">
        <f t="shared" si="6"/>
        <v>444.16366443643858</v>
      </c>
      <c r="Q29" s="9">
        <v>563.9</v>
      </c>
      <c r="R29" s="9">
        <v>1.2</v>
      </c>
      <c r="S29" s="4">
        <f t="shared" si="7"/>
        <v>46991.666666666672</v>
      </c>
      <c r="T29" s="9">
        <v>233</v>
      </c>
      <c r="U29">
        <f t="shared" si="8"/>
        <v>0.49583259443163674</v>
      </c>
      <c r="V29" s="8">
        <v>512.20000000000005</v>
      </c>
      <c r="W29" s="9">
        <v>1.4</v>
      </c>
      <c r="X29" s="4">
        <f t="shared" si="9"/>
        <v>36585.71428571429</v>
      </c>
      <c r="Y29" s="9">
        <v>171</v>
      </c>
      <c r="Z29">
        <f t="shared" si="10"/>
        <v>0.46739554861382265</v>
      </c>
      <c r="AA29" s="8">
        <v>1136.0999999999999</v>
      </c>
      <c r="AB29" s="10">
        <v>2.7</v>
      </c>
      <c r="AC29" s="4">
        <f t="shared" si="11"/>
        <v>42077.777777777774</v>
      </c>
      <c r="AD29" s="8">
        <v>166.3</v>
      </c>
      <c r="AE29" s="4">
        <f t="shared" si="12"/>
        <v>0.39522049115394775</v>
      </c>
      <c r="AF29" s="8">
        <v>1119</v>
      </c>
      <c r="AG29" s="11">
        <v>2.2999999999999998</v>
      </c>
      <c r="AH29" s="4">
        <f t="shared" si="13"/>
        <v>48652.17391304348</v>
      </c>
      <c r="AI29" s="8">
        <v>235.9</v>
      </c>
      <c r="AJ29" s="4">
        <f t="shared" si="14"/>
        <v>0.48487042001787312</v>
      </c>
      <c r="AK29" s="8">
        <v>1096.3</v>
      </c>
      <c r="AL29" s="12">
        <v>2</v>
      </c>
      <c r="AM29">
        <f t="shared" si="2"/>
        <v>54815</v>
      </c>
      <c r="AN29" s="8">
        <v>508</v>
      </c>
      <c r="AO29" s="4">
        <f t="shared" si="15"/>
        <v>0.92675362583234511</v>
      </c>
      <c r="AP29" s="8">
        <v>544.79999999999995</v>
      </c>
      <c r="AQ29" s="12">
        <v>1</v>
      </c>
      <c r="AR29" s="4">
        <f t="shared" si="16"/>
        <v>54479.999999999993</v>
      </c>
      <c r="AS29" s="8">
        <v>348.9</v>
      </c>
      <c r="AT29" s="4">
        <f t="shared" si="17"/>
        <v>0.64041850220264329</v>
      </c>
      <c r="AU29" s="8">
        <v>348.4</v>
      </c>
      <c r="AV29" s="12">
        <v>0.7</v>
      </c>
      <c r="AW29">
        <f t="shared" si="18"/>
        <v>49771.428571428572</v>
      </c>
      <c r="AX29" s="8">
        <v>200.6</v>
      </c>
      <c r="AY29" s="4">
        <f t="shared" si="19"/>
        <v>0.40304247990815156</v>
      </c>
      <c r="AZ29" s="9">
        <v>712.4</v>
      </c>
      <c r="BA29" s="10">
        <v>1.1000000000000001</v>
      </c>
      <c r="BB29">
        <f t="shared" si="20"/>
        <v>64763.636363636353</v>
      </c>
      <c r="BC29" s="21">
        <v>203.2</v>
      </c>
      <c r="BD29" s="4">
        <f t="shared" si="21"/>
        <v>0.31375631667602477</v>
      </c>
      <c r="BE29" s="9">
        <v>1134.5999999999999</v>
      </c>
      <c r="BF29" s="9">
        <v>1.2</v>
      </c>
      <c r="BG29">
        <f t="shared" si="22"/>
        <v>94550</v>
      </c>
      <c r="BH29" s="8">
        <v>774.9</v>
      </c>
      <c r="BI29" s="4">
        <f t="shared" si="23"/>
        <v>0.81956636700158647</v>
      </c>
      <c r="BJ29" s="9">
        <v>2222.1</v>
      </c>
      <c r="BK29" s="10">
        <v>2.1</v>
      </c>
      <c r="BL29">
        <f t="shared" si="24"/>
        <v>105814.28571428571</v>
      </c>
      <c r="BM29" s="36">
        <v>521.93560000000002</v>
      </c>
      <c r="BN29" s="4">
        <f t="shared" si="25"/>
        <v>0.49325627109491021</v>
      </c>
      <c r="BO29" s="9">
        <v>3417</v>
      </c>
      <c r="BP29" s="10">
        <v>3.1</v>
      </c>
      <c r="BQ29">
        <f t="shared" si="26"/>
        <v>110225.80645161291</v>
      </c>
      <c r="BR29" s="36">
        <v>686.41719999999998</v>
      </c>
      <c r="BS29" s="4">
        <f t="shared" si="27"/>
        <v>0.62273729002048583</v>
      </c>
      <c r="BT29" s="21">
        <v>2639.5</v>
      </c>
      <c r="BU29" s="10">
        <v>0.9</v>
      </c>
      <c r="BV29">
        <f t="shared" si="28"/>
        <v>293277.77777777781</v>
      </c>
      <c r="BW29" s="2"/>
      <c r="BX29" s="42">
        <v>0.1</v>
      </c>
      <c r="BY29" s="32">
        <v>2017.5977</v>
      </c>
      <c r="BZ29" s="40">
        <v>1.1688998198939191</v>
      </c>
      <c r="CA29">
        <f t="shared" si="29"/>
        <v>172606.55410000001</v>
      </c>
      <c r="CB29" s="36">
        <v>652.53219999999999</v>
      </c>
      <c r="CC29" s="4">
        <f t="shared" si="30"/>
        <v>0.37804601534536975</v>
      </c>
    </row>
    <row r="30" spans="1:81" x14ac:dyDescent="0.25">
      <c r="A30" t="s">
        <v>28</v>
      </c>
      <c r="B30" s="8">
        <v>10410.700000000001</v>
      </c>
      <c r="C30" s="9">
        <v>3.1</v>
      </c>
      <c r="D30" s="4">
        <f t="shared" si="31"/>
        <v>335829.03225806454</v>
      </c>
      <c r="E30" s="9">
        <v>8051982</v>
      </c>
      <c r="F30">
        <f t="shared" si="32"/>
        <v>2397.6432132325394</v>
      </c>
      <c r="G30" s="8">
        <v>37301.599999999999</v>
      </c>
      <c r="H30" s="9">
        <v>5.5</v>
      </c>
      <c r="I30">
        <f t="shared" si="4"/>
        <v>678210.90909090906</v>
      </c>
      <c r="J30" s="8">
        <v>10967348</v>
      </c>
      <c r="K30" s="4">
        <f t="shared" si="1"/>
        <v>1617.099909923435</v>
      </c>
      <c r="L30" s="8">
        <v>20635.099999999999</v>
      </c>
      <c r="M30" s="9">
        <v>2.2999999999999998</v>
      </c>
      <c r="N30" s="4">
        <f t="shared" si="5"/>
        <v>897178.26086956519</v>
      </c>
      <c r="O30" s="9">
        <v>12242128</v>
      </c>
      <c r="P30" s="4">
        <f t="shared" si="6"/>
        <v>1364.5145601426696</v>
      </c>
      <c r="Q30" s="9">
        <v>21614.9</v>
      </c>
      <c r="R30" s="9">
        <v>2.8</v>
      </c>
      <c r="S30" s="4">
        <f t="shared" si="7"/>
        <v>771960.71428571444</v>
      </c>
      <c r="T30" s="9">
        <v>11877.4</v>
      </c>
      <c r="U30">
        <f t="shared" si="8"/>
        <v>1.5386016127763715</v>
      </c>
      <c r="V30" s="8">
        <v>49295.8</v>
      </c>
      <c r="W30" s="9">
        <v>5.5</v>
      </c>
      <c r="X30" s="4">
        <f t="shared" si="9"/>
        <v>896287.27272727282</v>
      </c>
      <c r="Y30" s="9">
        <v>16261.6</v>
      </c>
      <c r="Z30">
        <f t="shared" si="10"/>
        <v>1.814329009773652</v>
      </c>
      <c r="AA30" s="8">
        <v>84473.8</v>
      </c>
      <c r="AB30" s="10">
        <v>8</v>
      </c>
      <c r="AC30" s="4">
        <f t="shared" si="11"/>
        <v>1055922.5</v>
      </c>
      <c r="AD30" s="8">
        <v>19860.5</v>
      </c>
      <c r="AE30" s="4">
        <f t="shared" si="12"/>
        <v>1.880867203795733</v>
      </c>
      <c r="AF30" s="8">
        <v>131899</v>
      </c>
      <c r="AG30" s="11">
        <v>9</v>
      </c>
      <c r="AH30" s="4">
        <f t="shared" si="13"/>
        <v>1465544.4444444445</v>
      </c>
      <c r="AI30" s="8">
        <v>38290.300000000003</v>
      </c>
      <c r="AJ30" s="4">
        <f t="shared" si="14"/>
        <v>2.6127013851507597</v>
      </c>
      <c r="AK30" s="8">
        <v>223176</v>
      </c>
      <c r="AL30" s="12">
        <v>12.1</v>
      </c>
      <c r="AM30">
        <f t="shared" si="2"/>
        <v>1844429.7520661158</v>
      </c>
      <c r="AN30" s="8">
        <v>49457.5</v>
      </c>
      <c r="AO30" s="4">
        <f t="shared" si="15"/>
        <v>2.681452082661218</v>
      </c>
      <c r="AP30" s="8">
        <v>214333.7</v>
      </c>
      <c r="AQ30" s="12">
        <v>12.2</v>
      </c>
      <c r="AR30" s="4">
        <f t="shared" si="16"/>
        <v>1756833.6065573774</v>
      </c>
      <c r="AS30" s="8">
        <v>63773.5</v>
      </c>
      <c r="AT30" s="4">
        <f t="shared" si="17"/>
        <v>3.6300250497238644</v>
      </c>
      <c r="AU30" s="8">
        <v>199541.8</v>
      </c>
      <c r="AV30" s="12">
        <v>12</v>
      </c>
      <c r="AW30">
        <f t="shared" si="18"/>
        <v>1662848.3333333333</v>
      </c>
      <c r="AX30" s="8">
        <v>72921.899999999994</v>
      </c>
      <c r="AY30" s="4">
        <f t="shared" si="19"/>
        <v>4.3853608617342328</v>
      </c>
      <c r="AZ30" s="9">
        <v>210359.3</v>
      </c>
      <c r="BA30" s="10">
        <v>7.3</v>
      </c>
      <c r="BB30">
        <f t="shared" si="20"/>
        <v>2881634.2465753425</v>
      </c>
      <c r="BC30" s="21">
        <v>67845.100000000006</v>
      </c>
      <c r="BD30" s="4">
        <f t="shared" si="21"/>
        <v>2.3543966442177742</v>
      </c>
      <c r="BE30" s="31">
        <v>265712.8</v>
      </c>
      <c r="BF30" s="9">
        <v>8.6999999999999993</v>
      </c>
      <c r="BG30">
        <f t="shared" si="22"/>
        <v>3054170.1149425288</v>
      </c>
      <c r="BH30" s="8">
        <v>95946.3</v>
      </c>
      <c r="BI30" s="4">
        <f t="shared" si="23"/>
        <v>3.141485129809328</v>
      </c>
      <c r="BJ30" s="9">
        <v>303112.40000000002</v>
      </c>
      <c r="BK30" s="10">
        <v>9.1</v>
      </c>
      <c r="BL30">
        <f t="shared" si="24"/>
        <v>3330905.4945054953</v>
      </c>
      <c r="BM30" s="36">
        <v>91871.261700000003</v>
      </c>
      <c r="BN30" s="4">
        <f t="shared" si="25"/>
        <v>2.7581467517330198</v>
      </c>
      <c r="BO30" s="9">
        <v>377120.8</v>
      </c>
      <c r="BP30" s="10">
        <v>9.9</v>
      </c>
      <c r="BQ30">
        <f t="shared" si="26"/>
        <v>3809301.0101010101</v>
      </c>
      <c r="BR30" s="36">
        <v>94160.107900000003</v>
      </c>
      <c r="BS30" s="4">
        <f t="shared" si="27"/>
        <v>2.4718473979955498</v>
      </c>
      <c r="BT30" s="21">
        <v>471768.4</v>
      </c>
      <c r="BU30" s="10">
        <v>10.5</v>
      </c>
      <c r="BV30">
        <f t="shared" si="28"/>
        <v>4493032.3809523815</v>
      </c>
      <c r="BW30" s="2"/>
      <c r="BX30" s="42">
        <v>2.8</v>
      </c>
      <c r="BY30" s="32">
        <v>448024.86869999999</v>
      </c>
      <c r="BZ30" s="40">
        <v>10.619761902564861</v>
      </c>
      <c r="CA30">
        <f t="shared" si="29"/>
        <v>4218784.4963999996</v>
      </c>
      <c r="CB30" s="36">
        <v>128177.68029999999</v>
      </c>
      <c r="CC30" s="4">
        <f t="shared" si="30"/>
        <v>3.0382609116293424</v>
      </c>
    </row>
    <row r="31" spans="1:81" x14ac:dyDescent="0.25">
      <c r="A31" t="s">
        <v>29</v>
      </c>
      <c r="B31" s="2">
        <v>11.3</v>
      </c>
      <c r="C31" s="9">
        <v>0.3</v>
      </c>
      <c r="D31" s="4">
        <f t="shared" si="31"/>
        <v>3766.666666666667</v>
      </c>
      <c r="E31" s="9">
        <v>52214</v>
      </c>
      <c r="F31">
        <f t="shared" si="32"/>
        <v>1386.212389380531</v>
      </c>
      <c r="G31" s="2">
        <v>884.5</v>
      </c>
      <c r="H31">
        <v>21.3</v>
      </c>
      <c r="I31">
        <f t="shared" si="4"/>
        <v>4152.5821596244132</v>
      </c>
      <c r="J31" s="2">
        <v>89504</v>
      </c>
      <c r="K31" s="4">
        <f t="shared" si="1"/>
        <v>2155.3817976257774</v>
      </c>
      <c r="L31" s="2">
        <v>61.8</v>
      </c>
      <c r="M31">
        <v>1.2</v>
      </c>
      <c r="N31" s="4">
        <f t="shared" si="5"/>
        <v>5150</v>
      </c>
      <c r="O31">
        <v>58511</v>
      </c>
      <c r="P31" s="4">
        <f t="shared" si="6"/>
        <v>1136.1359223300972</v>
      </c>
      <c r="Q31" s="9">
        <v>187.4</v>
      </c>
      <c r="R31" s="9">
        <v>2.7</v>
      </c>
      <c r="S31" s="4">
        <f t="shared" si="7"/>
        <v>6940.7407407407409</v>
      </c>
      <c r="T31" s="9">
        <v>218.8</v>
      </c>
      <c r="U31">
        <f t="shared" si="8"/>
        <v>3.1524012806830308</v>
      </c>
      <c r="V31" s="8">
        <v>85.5</v>
      </c>
      <c r="W31">
        <v>1</v>
      </c>
      <c r="X31" s="4">
        <f t="shared" si="9"/>
        <v>8550</v>
      </c>
      <c r="Y31">
        <v>90.1</v>
      </c>
      <c r="Z31">
        <f t="shared" si="10"/>
        <v>1.0538011695906431</v>
      </c>
      <c r="AA31" s="8">
        <v>1062.9000000000001</v>
      </c>
      <c r="AB31" s="10">
        <v>9</v>
      </c>
      <c r="AC31" s="4">
        <f t="shared" si="11"/>
        <v>11810</v>
      </c>
      <c r="AD31" s="8">
        <v>152.6</v>
      </c>
      <c r="AE31" s="4">
        <f t="shared" si="12"/>
        <v>1.2921253175275191</v>
      </c>
      <c r="AF31" s="8">
        <v>930.1</v>
      </c>
      <c r="AG31" s="11">
        <v>6.4</v>
      </c>
      <c r="AH31" s="4">
        <f t="shared" si="13"/>
        <v>14532.8125</v>
      </c>
      <c r="AI31" s="8">
        <v>88.8</v>
      </c>
      <c r="AJ31" s="4">
        <f t="shared" si="14"/>
        <v>0.61103107192774964</v>
      </c>
      <c r="AK31" s="8">
        <v>1942.7</v>
      </c>
      <c r="AL31" s="12">
        <v>9.3000000000000007</v>
      </c>
      <c r="AM31">
        <f t="shared" si="2"/>
        <v>20889.247311827956</v>
      </c>
      <c r="AN31" s="8">
        <v>594.6</v>
      </c>
      <c r="AO31" s="4">
        <f t="shared" si="15"/>
        <v>2.846440520924487</v>
      </c>
      <c r="AP31" s="8">
        <v>2532.8000000000002</v>
      </c>
      <c r="AQ31" s="12">
        <v>10.1</v>
      </c>
      <c r="AR31" s="4">
        <f t="shared" si="16"/>
        <v>25077.227722772281</v>
      </c>
      <c r="AS31" s="8">
        <v>151.30000000000001</v>
      </c>
      <c r="AT31" s="4">
        <f t="shared" si="17"/>
        <v>0.60333622867972203</v>
      </c>
      <c r="AU31" s="8">
        <v>2517.9</v>
      </c>
      <c r="AV31" s="12">
        <v>9.3000000000000007</v>
      </c>
      <c r="AW31">
        <f t="shared" si="18"/>
        <v>27074.193548387098</v>
      </c>
      <c r="AX31" s="8">
        <v>137.5</v>
      </c>
      <c r="AY31" s="4">
        <f t="shared" si="19"/>
        <v>0.50786369593709035</v>
      </c>
      <c r="AZ31" s="9">
        <v>4128</v>
      </c>
      <c r="BA31" s="10">
        <v>10.5</v>
      </c>
      <c r="BB31">
        <f t="shared" si="20"/>
        <v>39314.285714285717</v>
      </c>
      <c r="BC31" s="21">
        <v>83.6</v>
      </c>
      <c r="BD31" s="4">
        <f t="shared" si="21"/>
        <v>0.21264534883720926</v>
      </c>
      <c r="BE31" s="9">
        <v>4577.2</v>
      </c>
      <c r="BF31" s="9">
        <v>10.1</v>
      </c>
      <c r="BG31">
        <f t="shared" si="22"/>
        <v>45318.811881188114</v>
      </c>
      <c r="BH31" s="8">
        <v>148.5</v>
      </c>
      <c r="BI31" s="4">
        <f t="shared" si="23"/>
        <v>0.32767849340207988</v>
      </c>
      <c r="BJ31" s="9">
        <v>3386.6</v>
      </c>
      <c r="BK31" s="10">
        <v>7.6</v>
      </c>
      <c r="BL31">
        <f t="shared" si="24"/>
        <v>44560.526315789473</v>
      </c>
      <c r="BM31" s="36">
        <v>160.066</v>
      </c>
      <c r="BN31" s="4">
        <f t="shared" si="25"/>
        <v>0.35921029941534283</v>
      </c>
      <c r="BO31" s="9">
        <v>4434.8999999999996</v>
      </c>
      <c r="BP31" s="10">
        <v>8</v>
      </c>
      <c r="BQ31">
        <f t="shared" si="26"/>
        <v>55436.249999999993</v>
      </c>
      <c r="BR31" s="36">
        <v>343.59990000000005</v>
      </c>
      <c r="BS31" s="4">
        <f t="shared" si="27"/>
        <v>0.61981086383007522</v>
      </c>
      <c r="BT31" s="21">
        <v>7264.1</v>
      </c>
      <c r="BU31" s="10">
        <v>11.1</v>
      </c>
      <c r="BV31">
        <f t="shared" si="28"/>
        <v>65442.342342342352</v>
      </c>
      <c r="BW31" s="2"/>
      <c r="BX31" s="42">
        <v>0</v>
      </c>
      <c r="BY31" s="32">
        <v>496.48590000000002</v>
      </c>
      <c r="BZ31" s="40">
        <v>0.58459152010482174</v>
      </c>
      <c r="CA31">
        <f t="shared" si="29"/>
        <v>84928.686599999986</v>
      </c>
      <c r="CB31" s="36">
        <v>236.10249999999999</v>
      </c>
      <c r="CC31" s="4">
        <f t="shared" si="30"/>
        <v>0.2780008845680183</v>
      </c>
    </row>
    <row r="32" spans="1:81" x14ac:dyDescent="0.25">
      <c r="A32" t="s">
        <v>30</v>
      </c>
      <c r="B32" s="2"/>
      <c r="D32" s="4"/>
      <c r="G32" s="2"/>
      <c r="H32" s="13"/>
      <c r="J32" s="2"/>
      <c r="K32" s="4"/>
      <c r="L32" s="2"/>
      <c r="N32" s="4"/>
      <c r="O32" s="2"/>
      <c r="P32" s="4"/>
      <c r="S32" s="4"/>
      <c r="V32" s="8" t="s">
        <v>85</v>
      </c>
      <c r="X32" s="4"/>
      <c r="Y32" s="9">
        <v>0</v>
      </c>
      <c r="AA32" s="8" t="s">
        <v>85</v>
      </c>
      <c r="AB32" s="10" t="s">
        <v>84</v>
      </c>
      <c r="AC32" s="4"/>
      <c r="AD32" s="8" t="s">
        <v>85</v>
      </c>
      <c r="AE32" s="4"/>
      <c r="AF32" s="8">
        <v>0</v>
      </c>
      <c r="AG32" s="10" t="s">
        <v>84</v>
      </c>
      <c r="AH32" s="4"/>
      <c r="AI32" s="8">
        <v>8.5</v>
      </c>
      <c r="AJ32" s="4"/>
      <c r="AK32" s="8">
        <v>17.899999999999999</v>
      </c>
      <c r="AL32" s="12">
        <v>0.4</v>
      </c>
      <c r="AM32">
        <f t="shared" si="2"/>
        <v>4474.9999999999991</v>
      </c>
      <c r="AN32" s="8">
        <v>55.6</v>
      </c>
      <c r="AO32" s="4">
        <f t="shared" si="15"/>
        <v>1.2424581005586595</v>
      </c>
      <c r="AP32" s="8">
        <v>2.5</v>
      </c>
      <c r="AQ32" s="12" t="s">
        <v>85</v>
      </c>
      <c r="AR32" s="4"/>
      <c r="AS32" s="8">
        <v>8.6999999999999993</v>
      </c>
      <c r="AT32" s="4"/>
      <c r="AU32" s="8">
        <v>3.7</v>
      </c>
      <c r="AV32" s="12">
        <v>0.1</v>
      </c>
      <c r="AW32">
        <f t="shared" si="18"/>
        <v>3700</v>
      </c>
      <c r="AX32" s="8">
        <v>15.2</v>
      </c>
      <c r="AY32" s="4">
        <f t="shared" si="19"/>
        <v>0.41081081081081078</v>
      </c>
      <c r="AZ32" s="9">
        <v>19.5</v>
      </c>
      <c r="BA32" s="10">
        <v>0.6</v>
      </c>
      <c r="BB32">
        <f t="shared" si="20"/>
        <v>3250</v>
      </c>
      <c r="BC32" s="21">
        <v>4.4000000000000004</v>
      </c>
      <c r="BD32" s="4">
        <f t="shared" si="21"/>
        <v>0.13538461538461541</v>
      </c>
      <c r="BE32" s="9">
        <v>41.7</v>
      </c>
      <c r="BF32" s="9">
        <v>0.5</v>
      </c>
      <c r="BG32">
        <f t="shared" si="22"/>
        <v>8340</v>
      </c>
      <c r="BH32" s="8">
        <v>52.9</v>
      </c>
      <c r="BI32" s="4">
        <f t="shared" si="23"/>
        <v>0.63429256594724226</v>
      </c>
      <c r="BJ32" s="9">
        <v>40.9</v>
      </c>
      <c r="BK32" s="10">
        <v>0.7</v>
      </c>
      <c r="BL32">
        <f t="shared" si="24"/>
        <v>5842.8571428571431</v>
      </c>
      <c r="BM32" s="36">
        <v>6.1681000000000008</v>
      </c>
      <c r="BN32" s="4">
        <f t="shared" si="25"/>
        <v>0.10556650366748167</v>
      </c>
      <c r="BO32" s="9">
        <v>189.2</v>
      </c>
      <c r="BP32" s="10">
        <v>3.4</v>
      </c>
      <c r="BQ32">
        <f t="shared" si="26"/>
        <v>5564.7058823529414</v>
      </c>
      <c r="BR32" s="36">
        <v>18.154299999999999</v>
      </c>
      <c r="BS32" s="4">
        <f t="shared" si="27"/>
        <v>0.3262400634249471</v>
      </c>
      <c r="BT32" s="21">
        <v>152.1</v>
      </c>
      <c r="BU32" s="10">
        <v>1.6</v>
      </c>
      <c r="BV32">
        <f t="shared" si="28"/>
        <v>9506.2499999999982</v>
      </c>
      <c r="BW32" s="2"/>
      <c r="BX32" s="42">
        <v>0.2</v>
      </c>
      <c r="BY32" s="32">
        <v>63.878399999999999</v>
      </c>
      <c r="BZ32" s="41">
        <v>0.5402713033367722</v>
      </c>
      <c r="CA32">
        <f t="shared" si="29"/>
        <v>11823.393100000001</v>
      </c>
      <c r="CB32" s="36">
        <v>31.451000000000001</v>
      </c>
      <c r="CC32" s="4">
        <f t="shared" si="30"/>
        <v>0.2660065493381929</v>
      </c>
    </row>
    <row r="33" spans="1:81" x14ac:dyDescent="0.25">
      <c r="A33" t="s">
        <v>31</v>
      </c>
      <c r="B33" s="2"/>
      <c r="D33" s="4"/>
      <c r="G33" s="2"/>
      <c r="H33" s="13"/>
      <c r="J33" s="2"/>
      <c r="K33" s="4"/>
      <c r="L33" s="2"/>
      <c r="N33" s="4"/>
      <c r="O33" s="2"/>
      <c r="P33" s="4"/>
      <c r="S33" s="4"/>
      <c r="V33" s="2"/>
      <c r="X33" s="4"/>
      <c r="AA33" s="2"/>
      <c r="AB33" s="10"/>
      <c r="AC33" s="4"/>
      <c r="AD33" s="2"/>
      <c r="AE33" s="4"/>
      <c r="AF33" s="2"/>
      <c r="AH33" s="4"/>
      <c r="AI33" s="2"/>
      <c r="AJ33" s="4"/>
      <c r="AK33" s="2"/>
      <c r="AN33" s="2"/>
      <c r="AO33" s="4"/>
      <c r="AP33" s="2"/>
      <c r="AR33" s="4"/>
      <c r="AS33" s="2"/>
      <c r="AT33" s="4"/>
      <c r="AU33" s="2">
        <v>151.19999999999999</v>
      </c>
      <c r="AV33" s="11">
        <v>0.7</v>
      </c>
      <c r="AW33">
        <f t="shared" si="18"/>
        <v>21600</v>
      </c>
      <c r="AX33" s="2">
        <v>25.8</v>
      </c>
      <c r="AY33" s="4">
        <f t="shared" si="19"/>
        <v>0.11944444444444444</v>
      </c>
      <c r="AZ33" s="9">
        <v>772</v>
      </c>
      <c r="BA33" s="10">
        <v>1.2</v>
      </c>
      <c r="BB33">
        <f t="shared" si="20"/>
        <v>64333.333333333336</v>
      </c>
      <c r="BC33" s="22">
        <v>596.79999999999995</v>
      </c>
      <c r="BD33" s="4">
        <f t="shared" si="21"/>
        <v>0.9276683937823833</v>
      </c>
      <c r="BE33" s="9">
        <v>1091.9000000000001</v>
      </c>
      <c r="BF33" s="9">
        <v>1.1000000000000001</v>
      </c>
      <c r="BG33">
        <f t="shared" si="22"/>
        <v>99263.636363636368</v>
      </c>
      <c r="BH33" s="8">
        <v>615.20000000000005</v>
      </c>
      <c r="BI33" s="4">
        <f t="shared" si="23"/>
        <v>0.61976371462588142</v>
      </c>
      <c r="BJ33" s="9">
        <v>1404.7</v>
      </c>
      <c r="BK33" s="10">
        <v>1.4</v>
      </c>
      <c r="BL33">
        <f t="shared" si="24"/>
        <v>100335.7142857143</v>
      </c>
      <c r="BM33" s="36">
        <v>620.80250000000001</v>
      </c>
      <c r="BN33" s="4">
        <f t="shared" si="25"/>
        <v>0.61872535060867073</v>
      </c>
      <c r="BO33" s="9">
        <v>1083.9000000000001</v>
      </c>
      <c r="BP33" s="10">
        <v>0.8</v>
      </c>
      <c r="BQ33">
        <f t="shared" si="26"/>
        <v>135487.5</v>
      </c>
      <c r="BR33" s="36">
        <v>602.12419999999997</v>
      </c>
      <c r="BS33" s="4">
        <f t="shared" si="27"/>
        <v>0.44441310083956087</v>
      </c>
      <c r="BT33" s="21">
        <v>194.5</v>
      </c>
      <c r="BU33" s="10">
        <v>0.1</v>
      </c>
      <c r="BV33">
        <f t="shared" si="28"/>
        <v>194500</v>
      </c>
      <c r="BW33" s="2"/>
      <c r="BX33" s="42">
        <v>0.4</v>
      </c>
      <c r="BY33" s="32">
        <v>1714.1590000000001</v>
      </c>
      <c r="BZ33" s="41">
        <v>0.72478298861183132</v>
      </c>
      <c r="CA33">
        <f t="shared" si="29"/>
        <v>236506.51670000001</v>
      </c>
      <c r="CB33" s="36">
        <v>7763.0832</v>
      </c>
      <c r="CC33" s="4">
        <f t="shared" si="30"/>
        <v>3.2823971653378123</v>
      </c>
    </row>
    <row r="34" spans="1:81" x14ac:dyDescent="0.25">
      <c r="A34" t="s">
        <v>32</v>
      </c>
      <c r="B34" s="2">
        <v>1349.8</v>
      </c>
      <c r="D34" s="4"/>
      <c r="E34">
        <v>830851</v>
      </c>
      <c r="G34" s="8">
        <v>3734.2</v>
      </c>
      <c r="H34" s="9">
        <v>1.8</v>
      </c>
      <c r="I34">
        <f t="shared" si="4"/>
        <v>207455.55555555553</v>
      </c>
      <c r="J34" s="2">
        <v>1495138</v>
      </c>
      <c r="K34" s="4">
        <f>J34/I34*100</f>
        <v>720.70280113545073</v>
      </c>
      <c r="L34" s="2">
        <v>4717.5</v>
      </c>
      <c r="N34" s="4"/>
      <c r="O34">
        <v>1239496</v>
      </c>
      <c r="P34" s="4"/>
      <c r="Q34">
        <v>7652.8</v>
      </c>
      <c r="R34">
        <v>2.1</v>
      </c>
      <c r="S34" s="4">
        <f t="shared" si="7"/>
        <v>364419.04761904763</v>
      </c>
      <c r="T34">
        <v>1116</v>
      </c>
      <c r="U34">
        <f t="shared" si="8"/>
        <v>0.30624085302111642</v>
      </c>
      <c r="V34" s="8">
        <v>6050.4</v>
      </c>
      <c r="W34">
        <v>1.8</v>
      </c>
      <c r="X34" s="4">
        <f t="shared" si="9"/>
        <v>336133.33333333331</v>
      </c>
      <c r="Y34">
        <v>665.9</v>
      </c>
      <c r="Z34">
        <f t="shared" si="10"/>
        <v>0.19810591035303451</v>
      </c>
      <c r="AA34" s="8">
        <v>5033.8</v>
      </c>
      <c r="AB34" s="10">
        <v>1.2</v>
      </c>
      <c r="AC34" s="4">
        <f t="shared" si="11"/>
        <v>419483.33333333337</v>
      </c>
      <c r="AD34" s="8">
        <v>1519.9</v>
      </c>
      <c r="AE34" s="4">
        <f t="shared" si="12"/>
        <v>0.36232667169931265</v>
      </c>
      <c r="AF34" s="8">
        <v>3826.9</v>
      </c>
      <c r="AG34" s="11">
        <v>0.8</v>
      </c>
      <c r="AH34" s="4">
        <f t="shared" si="13"/>
        <v>478362.5</v>
      </c>
      <c r="AI34" s="8">
        <v>3717.5</v>
      </c>
      <c r="AJ34" s="4">
        <f t="shared" si="14"/>
        <v>0.77713031435365443</v>
      </c>
      <c r="AK34" s="8">
        <v>3135.7</v>
      </c>
      <c r="AL34" s="12">
        <v>0.7</v>
      </c>
      <c r="AM34">
        <f>AK34/AL34*100</f>
        <v>447957.14285714284</v>
      </c>
      <c r="AN34" s="8">
        <v>11458.6</v>
      </c>
      <c r="AO34" s="4">
        <f t="shared" si="15"/>
        <v>2.5579679178492842</v>
      </c>
      <c r="AP34" s="8">
        <v>2167.9</v>
      </c>
      <c r="AQ34" s="12">
        <v>0.3</v>
      </c>
      <c r="AR34" s="4">
        <f t="shared" si="16"/>
        <v>722633.33333333337</v>
      </c>
      <c r="AS34" s="8">
        <v>16470.900000000001</v>
      </c>
      <c r="AT34" s="4">
        <f t="shared" si="17"/>
        <v>2.2792887125789933</v>
      </c>
      <c r="AU34" s="8">
        <v>9781.9</v>
      </c>
      <c r="AV34" s="12">
        <v>1.4</v>
      </c>
      <c r="AW34">
        <f t="shared" si="18"/>
        <v>698707.14285714284</v>
      </c>
      <c r="AX34" s="8">
        <v>5589.4</v>
      </c>
      <c r="AY34" s="4">
        <f t="shared" si="19"/>
        <v>0.79996319733385124</v>
      </c>
      <c r="AZ34" s="9">
        <v>7400.4</v>
      </c>
      <c r="BA34" s="10">
        <v>1</v>
      </c>
      <c r="BB34">
        <f t="shared" si="20"/>
        <v>740040</v>
      </c>
      <c r="BC34" s="21">
        <v>5515.4</v>
      </c>
      <c r="BD34" s="4">
        <f t="shared" si="21"/>
        <v>0.74528403870061077</v>
      </c>
      <c r="BE34" s="9">
        <v>71752.600000000006</v>
      </c>
      <c r="BF34" s="9">
        <v>7.7</v>
      </c>
      <c r="BG34">
        <f t="shared" si="22"/>
        <v>931851.9480519481</v>
      </c>
      <c r="BH34" s="8">
        <v>9734.6</v>
      </c>
      <c r="BI34" s="4">
        <f t="shared" si="23"/>
        <v>1.0446509255413741</v>
      </c>
      <c r="BJ34" s="9">
        <v>168605.9</v>
      </c>
      <c r="BK34" s="10">
        <v>14.1</v>
      </c>
      <c r="BL34">
        <f t="shared" si="24"/>
        <v>1195786.5248226949</v>
      </c>
      <c r="BM34" s="36">
        <v>47422.521200000003</v>
      </c>
      <c r="BN34" s="4">
        <f t="shared" si="25"/>
        <v>3.9658016055191432</v>
      </c>
      <c r="BO34" s="9">
        <v>115396.5</v>
      </c>
      <c r="BP34" s="10">
        <v>11.5</v>
      </c>
      <c r="BQ34">
        <f t="shared" si="26"/>
        <v>1003447.8260869565</v>
      </c>
      <c r="BR34" s="36">
        <v>11575.5286</v>
      </c>
      <c r="BS34" s="4">
        <f t="shared" si="27"/>
        <v>1.1535755321868515</v>
      </c>
      <c r="BT34" s="21">
        <v>94788.7</v>
      </c>
      <c r="BU34" s="10">
        <v>2.2999999999999998</v>
      </c>
      <c r="BV34">
        <f t="shared" si="28"/>
        <v>4121247.826086957</v>
      </c>
      <c r="BW34" s="2"/>
      <c r="BX34" s="42">
        <v>0.7</v>
      </c>
      <c r="BY34" s="32">
        <v>38530.5533</v>
      </c>
      <c r="BZ34" s="40">
        <v>1.7842350429052536</v>
      </c>
      <c r="CA34">
        <f t="shared" si="29"/>
        <v>2159499.8625999996</v>
      </c>
      <c r="CB34" s="36">
        <v>54743.941500000001</v>
      </c>
      <c r="CC34" s="4">
        <f t="shared" si="30"/>
        <v>2.5350287095683934</v>
      </c>
    </row>
    <row r="35" spans="1:81" x14ac:dyDescent="0.25">
      <c r="A35" t="s">
        <v>33</v>
      </c>
      <c r="B35" s="8">
        <v>408.9</v>
      </c>
      <c r="C35" s="9">
        <v>1.1000000000000001</v>
      </c>
      <c r="D35" s="4">
        <f>B35/C35*100</f>
        <v>37172.727272727272</v>
      </c>
      <c r="E35" s="9">
        <v>45178</v>
      </c>
      <c r="F35">
        <f>E35/D35*100</f>
        <v>121.53533871362193</v>
      </c>
      <c r="G35" s="8">
        <v>38.700000000000003</v>
      </c>
      <c r="H35" s="9">
        <v>0.1</v>
      </c>
      <c r="I35">
        <f t="shared" si="4"/>
        <v>38700</v>
      </c>
      <c r="J35" s="8">
        <v>25567</v>
      </c>
      <c r="K35" s="4">
        <f>J35/I35*100</f>
        <v>66.064599483204134</v>
      </c>
      <c r="L35" s="2">
        <v>127.3</v>
      </c>
      <c r="M35" s="9">
        <v>0.2</v>
      </c>
      <c r="N35" s="4">
        <f t="shared" si="5"/>
        <v>63650</v>
      </c>
      <c r="O35" s="9">
        <v>397744</v>
      </c>
      <c r="P35" s="4">
        <f t="shared" si="6"/>
        <v>624.89238020424193</v>
      </c>
      <c r="Q35" s="9">
        <v>320.8</v>
      </c>
      <c r="R35">
        <v>0.3</v>
      </c>
      <c r="S35" s="4">
        <f t="shared" si="7"/>
        <v>106933.33333333334</v>
      </c>
      <c r="T35" s="9">
        <v>558.9</v>
      </c>
      <c r="U35">
        <f t="shared" si="8"/>
        <v>0.52266209476309222</v>
      </c>
      <c r="V35" s="8">
        <v>416.1</v>
      </c>
      <c r="W35" s="9">
        <v>0.6</v>
      </c>
      <c r="X35" s="4">
        <f t="shared" si="9"/>
        <v>69350.000000000015</v>
      </c>
      <c r="Y35" s="9">
        <v>273.2</v>
      </c>
      <c r="Z35">
        <f t="shared" si="10"/>
        <v>0.39394376351838489</v>
      </c>
      <c r="AA35" s="8">
        <v>1682.3</v>
      </c>
      <c r="AB35" s="10">
        <v>3.1</v>
      </c>
      <c r="AC35" s="4">
        <f t="shared" si="11"/>
        <v>54267.741935483864</v>
      </c>
      <c r="AD35" s="8">
        <v>1303.2</v>
      </c>
      <c r="AE35" s="4">
        <f t="shared" si="12"/>
        <v>2.4014266183201576</v>
      </c>
      <c r="AF35" s="8">
        <v>2750.3</v>
      </c>
      <c r="AG35" s="11">
        <v>2.8</v>
      </c>
      <c r="AH35" s="4">
        <f t="shared" si="13"/>
        <v>98225.000000000015</v>
      </c>
      <c r="AI35" s="8">
        <v>1241.4000000000001</v>
      </c>
      <c r="AJ35" s="4">
        <f t="shared" si="14"/>
        <v>1.2638330363960293</v>
      </c>
      <c r="AK35" s="8">
        <v>863.4</v>
      </c>
      <c r="AL35" s="12">
        <v>0.7</v>
      </c>
      <c r="AM35">
        <f>AK35/AL35*100</f>
        <v>123342.85714285716</v>
      </c>
      <c r="AN35" s="8">
        <v>1106.4000000000001</v>
      </c>
      <c r="AO35" s="4">
        <f t="shared" si="15"/>
        <v>0.89701181375955519</v>
      </c>
      <c r="AP35" s="8">
        <v>3045.9</v>
      </c>
      <c r="AQ35" s="12">
        <v>1.8</v>
      </c>
      <c r="AR35" s="4">
        <f t="shared" si="16"/>
        <v>169216.66666666669</v>
      </c>
      <c r="AS35" s="8">
        <v>1111.8</v>
      </c>
      <c r="AT35" s="4">
        <f t="shared" si="17"/>
        <v>0.6570274795626907</v>
      </c>
      <c r="AU35" s="8">
        <v>8998.4</v>
      </c>
      <c r="AV35" s="12">
        <v>4.9000000000000004</v>
      </c>
      <c r="AW35">
        <f t="shared" si="18"/>
        <v>183640.81632653059</v>
      </c>
      <c r="AX35" s="8">
        <v>3669</v>
      </c>
      <c r="AY35" s="4">
        <f t="shared" si="19"/>
        <v>1.9979218527738267</v>
      </c>
      <c r="AZ35" s="9">
        <v>11047.8</v>
      </c>
      <c r="BA35" s="10">
        <v>5.4</v>
      </c>
      <c r="BB35">
        <f t="shared" si="20"/>
        <v>204588.88888888888</v>
      </c>
      <c r="BC35" s="21">
        <v>2151.6</v>
      </c>
      <c r="BD35" s="4">
        <f t="shared" si="21"/>
        <v>1.0516700157497421</v>
      </c>
      <c r="BE35" s="9">
        <v>13179.9</v>
      </c>
      <c r="BF35" s="9">
        <v>5.8</v>
      </c>
      <c r="BG35">
        <f t="shared" si="22"/>
        <v>227239.65517241383</v>
      </c>
      <c r="BH35" s="8">
        <v>3894.4</v>
      </c>
      <c r="BI35" s="4">
        <f t="shared" si="23"/>
        <v>1.7137853853215881</v>
      </c>
      <c r="BJ35" s="9">
        <v>696.1</v>
      </c>
      <c r="BK35" s="10">
        <v>0.2</v>
      </c>
      <c r="BL35">
        <f t="shared" si="24"/>
        <v>348050</v>
      </c>
      <c r="BM35" s="36">
        <v>1098.3054999999999</v>
      </c>
      <c r="BN35" s="4">
        <f t="shared" si="25"/>
        <v>0.31555968969975573</v>
      </c>
      <c r="BO35" s="9">
        <v>642.4</v>
      </c>
      <c r="BP35" s="10">
        <v>0.1</v>
      </c>
      <c r="BQ35">
        <f t="shared" si="26"/>
        <v>642399.99999999988</v>
      </c>
      <c r="BR35" s="36">
        <v>1787.1148999999998</v>
      </c>
      <c r="BS35" s="4">
        <f t="shared" si="27"/>
        <v>0.27819347758405982</v>
      </c>
      <c r="BT35" s="21">
        <v>1329.7</v>
      </c>
      <c r="BU35" s="10">
        <v>0.3</v>
      </c>
      <c r="BV35">
        <f t="shared" si="28"/>
        <v>443233.33333333337</v>
      </c>
      <c r="BW35" s="2"/>
      <c r="BX35" s="42">
        <v>0.5</v>
      </c>
      <c r="BY35" s="32">
        <v>699.21219999999994</v>
      </c>
      <c r="BZ35" s="40">
        <v>0.17049114535756638</v>
      </c>
      <c r="CA35">
        <f t="shared" si="29"/>
        <v>410116.43070000003</v>
      </c>
      <c r="CB35" s="36">
        <v>2583.6930000000002</v>
      </c>
      <c r="CC35" s="4">
        <f t="shared" si="30"/>
        <v>0.62999012148576183</v>
      </c>
    </row>
    <row r="36" spans="1:81" x14ac:dyDescent="0.25">
      <c r="A36" t="s">
        <v>34</v>
      </c>
      <c r="B36" s="8">
        <v>9626.7000000000007</v>
      </c>
      <c r="C36" s="9">
        <v>4.5</v>
      </c>
      <c r="D36" s="4">
        <f>B36/C36*100</f>
        <v>213926.66666666669</v>
      </c>
      <c r="E36" s="9">
        <v>5189948</v>
      </c>
      <c r="F36">
        <f>E36/D36*100</f>
        <v>2426.0406993050578</v>
      </c>
      <c r="G36" s="8">
        <v>2044.7</v>
      </c>
      <c r="H36">
        <v>0.7</v>
      </c>
      <c r="I36">
        <f t="shared" si="4"/>
        <v>292100.00000000006</v>
      </c>
      <c r="J36" s="8">
        <v>5634198</v>
      </c>
      <c r="K36" s="4">
        <f>J36/I36*100</f>
        <v>1928.8592947620675</v>
      </c>
      <c r="L36" s="8">
        <v>2441.1</v>
      </c>
      <c r="M36" s="9">
        <v>0.6</v>
      </c>
      <c r="N36" s="4">
        <f t="shared" si="5"/>
        <v>406850</v>
      </c>
      <c r="O36" s="9">
        <v>6756639</v>
      </c>
      <c r="P36" s="4">
        <f t="shared" si="6"/>
        <v>1660.7199213469337</v>
      </c>
      <c r="Q36" s="9">
        <v>28874.400000000001</v>
      </c>
      <c r="R36" s="9">
        <v>7.1</v>
      </c>
      <c r="S36" s="4">
        <f t="shared" si="7"/>
        <v>406681.69014084508</v>
      </c>
      <c r="T36" s="9">
        <v>7691.7</v>
      </c>
      <c r="U36">
        <f t="shared" si="8"/>
        <v>1.8913317679328401</v>
      </c>
      <c r="V36" s="8">
        <v>41574.400000000001</v>
      </c>
      <c r="W36" s="9">
        <v>12.2</v>
      </c>
      <c r="X36" s="4">
        <f t="shared" si="9"/>
        <v>340773.7704918033</v>
      </c>
      <c r="Y36" s="9">
        <v>5564.8</v>
      </c>
      <c r="Z36">
        <f t="shared" si="10"/>
        <v>1.6329895320197043</v>
      </c>
      <c r="AA36" s="8">
        <v>59594.3</v>
      </c>
      <c r="AB36" s="10">
        <v>13.5</v>
      </c>
      <c r="AC36" s="4">
        <f t="shared" si="11"/>
        <v>441439.25925925933</v>
      </c>
      <c r="AD36" s="8">
        <v>3260.1</v>
      </c>
      <c r="AE36" s="4">
        <f t="shared" si="12"/>
        <v>0.73851609969409815</v>
      </c>
      <c r="AF36" s="8">
        <v>27149.7</v>
      </c>
      <c r="AG36" s="11">
        <v>5.2</v>
      </c>
      <c r="AH36" s="4">
        <f t="shared" si="13"/>
        <v>522109.61538461532</v>
      </c>
      <c r="AI36" s="8">
        <v>5231.7</v>
      </c>
      <c r="AJ36" s="4">
        <f t="shared" si="14"/>
        <v>1.0020309616680849</v>
      </c>
      <c r="AK36" s="8">
        <v>5298.9</v>
      </c>
      <c r="AL36" s="12">
        <v>0.9</v>
      </c>
      <c r="AM36">
        <f>AK36/AL36*100</f>
        <v>588766.66666666663</v>
      </c>
      <c r="AN36" s="8">
        <v>6843.7</v>
      </c>
      <c r="AO36" s="4">
        <f t="shared" si="15"/>
        <v>1.1623789843174999</v>
      </c>
      <c r="AP36" s="8">
        <v>6317.1</v>
      </c>
      <c r="AQ36" s="12">
        <v>1.1000000000000001</v>
      </c>
      <c r="AR36" s="4">
        <f t="shared" si="16"/>
        <v>574281.81818181823</v>
      </c>
      <c r="AS36" s="8">
        <v>6983.5</v>
      </c>
      <c r="AT36" s="4">
        <f t="shared" si="17"/>
        <v>1.2160405882446057</v>
      </c>
      <c r="AU36" s="8">
        <v>12985.4</v>
      </c>
      <c r="AV36" s="12">
        <v>2.1</v>
      </c>
      <c r="AW36">
        <f t="shared" si="18"/>
        <v>618352.38095238095</v>
      </c>
      <c r="AX36" s="8">
        <v>38731.1</v>
      </c>
      <c r="AY36" s="4">
        <f t="shared" si="19"/>
        <v>6.2635968087236424</v>
      </c>
      <c r="AZ36" s="9">
        <v>17281.099999999999</v>
      </c>
      <c r="BA36" s="10">
        <v>2.5</v>
      </c>
      <c r="BB36">
        <f t="shared" si="20"/>
        <v>691244</v>
      </c>
      <c r="BC36" s="21">
        <v>30705.200000000001</v>
      </c>
      <c r="BD36" s="4">
        <f t="shared" si="21"/>
        <v>4.4420204732337636</v>
      </c>
      <c r="BE36" s="9">
        <v>21341.3</v>
      </c>
      <c r="BF36" s="9">
        <v>3</v>
      </c>
      <c r="BG36">
        <f t="shared" si="22"/>
        <v>711376.66666666663</v>
      </c>
      <c r="BH36" s="8">
        <v>17160</v>
      </c>
      <c r="BI36" s="4">
        <f t="shared" si="23"/>
        <v>2.4122241850309027</v>
      </c>
      <c r="BJ36" s="9">
        <v>25053.7</v>
      </c>
      <c r="BK36" s="10">
        <v>3.6</v>
      </c>
      <c r="BL36">
        <f t="shared" si="24"/>
        <v>695936.11111111112</v>
      </c>
      <c r="BM36" s="36">
        <v>5060.4134999999997</v>
      </c>
      <c r="BN36" s="4">
        <f t="shared" si="25"/>
        <v>0.72713765232281058</v>
      </c>
      <c r="BO36" s="9">
        <v>20764.3</v>
      </c>
      <c r="BP36" s="10">
        <v>2.2000000000000002</v>
      </c>
      <c r="BQ36">
        <f t="shared" si="26"/>
        <v>943831.818181818</v>
      </c>
      <c r="BR36" s="36">
        <v>7127.13</v>
      </c>
      <c r="BS36" s="4">
        <f t="shared" si="27"/>
        <v>0.75512711721560577</v>
      </c>
      <c r="BT36" s="21">
        <v>29336.5</v>
      </c>
      <c r="BU36" s="10">
        <v>2.7</v>
      </c>
      <c r="BV36">
        <f t="shared" si="28"/>
        <v>1086537.0370370371</v>
      </c>
      <c r="BW36" s="2"/>
      <c r="BX36" s="42">
        <v>1</v>
      </c>
      <c r="BY36" s="32">
        <v>22980.6865</v>
      </c>
      <c r="BZ36" s="40">
        <v>2.246717307610218</v>
      </c>
      <c r="CA36">
        <f t="shared" si="29"/>
        <v>1022856.1654000001</v>
      </c>
      <c r="CB36" s="36">
        <v>5139.0142999999998</v>
      </c>
      <c r="CC36" s="4">
        <f t="shared" si="30"/>
        <v>0.50241807928002535</v>
      </c>
    </row>
    <row r="37" spans="1:81" x14ac:dyDescent="0.25">
      <c r="A37" t="s">
        <v>35</v>
      </c>
      <c r="B37" s="14">
        <v>6089.5</v>
      </c>
      <c r="C37" s="9">
        <v>3.9</v>
      </c>
      <c r="D37" s="4">
        <f>B37/C37*100</f>
        <v>156141.02564102563</v>
      </c>
      <c r="E37" s="9">
        <v>1861185</v>
      </c>
      <c r="F37">
        <f>E37/D37*100</f>
        <v>1191.9897364315627</v>
      </c>
      <c r="G37" s="8">
        <v>7533.9</v>
      </c>
      <c r="H37">
        <v>2.6</v>
      </c>
      <c r="I37">
        <f t="shared" si="4"/>
        <v>289765.38461538457</v>
      </c>
      <c r="J37" s="8">
        <v>1372999</v>
      </c>
      <c r="K37" s="4">
        <f>J37/I37*100</f>
        <v>473.83126932929838</v>
      </c>
      <c r="L37" s="8">
        <v>11143.6</v>
      </c>
      <c r="M37" s="9">
        <v>2.9</v>
      </c>
      <c r="N37" s="4">
        <f t="shared" si="5"/>
        <v>384262.06896551728</v>
      </c>
      <c r="O37" s="9">
        <v>4211401</v>
      </c>
      <c r="P37" s="4">
        <f t="shared" si="6"/>
        <v>1095.9710416741448</v>
      </c>
      <c r="Q37" s="9">
        <v>16658.099999999999</v>
      </c>
      <c r="R37" s="9">
        <v>4.2</v>
      </c>
      <c r="S37" s="4">
        <f t="shared" si="7"/>
        <v>396621.42857142852</v>
      </c>
      <c r="T37" s="9">
        <v>4240.2</v>
      </c>
      <c r="U37">
        <f t="shared" si="8"/>
        <v>1.0690799070722352</v>
      </c>
      <c r="V37" s="8">
        <v>18268.099999999999</v>
      </c>
      <c r="W37" s="9">
        <v>5.5</v>
      </c>
      <c r="X37" s="4">
        <f t="shared" si="9"/>
        <v>332147.27272727271</v>
      </c>
      <c r="Y37" s="9">
        <v>2123.6999999999998</v>
      </c>
      <c r="Z37">
        <f t="shared" si="10"/>
        <v>0.63938504825351294</v>
      </c>
      <c r="AA37" s="8">
        <v>19185</v>
      </c>
      <c r="AB37" s="10">
        <v>4.8</v>
      </c>
      <c r="AC37" s="4">
        <f t="shared" si="11"/>
        <v>399687.5</v>
      </c>
      <c r="AD37" s="8">
        <v>3830.9</v>
      </c>
      <c r="AE37" s="4">
        <f t="shared" si="12"/>
        <v>0.95847380766223622</v>
      </c>
      <c r="AF37" s="8">
        <v>25154.9</v>
      </c>
      <c r="AG37" s="11">
        <v>4.9000000000000004</v>
      </c>
      <c r="AH37" s="4">
        <f t="shared" si="13"/>
        <v>513365.30612244899</v>
      </c>
      <c r="AI37" s="8">
        <v>4894.2</v>
      </c>
      <c r="AJ37" s="4">
        <f t="shared" si="14"/>
        <v>0.95335620495410434</v>
      </c>
      <c r="AK37" s="8">
        <v>40543.1</v>
      </c>
      <c r="AL37" s="12">
        <v>7.1</v>
      </c>
      <c r="AM37">
        <f>AK37/AL37*100</f>
        <v>571029.5774647888</v>
      </c>
      <c r="AN37" s="8">
        <v>18412</v>
      </c>
      <c r="AO37" s="4">
        <f t="shared" si="15"/>
        <v>3.2243513692835521</v>
      </c>
      <c r="AP37" s="8">
        <v>56215.6</v>
      </c>
      <c r="AQ37" s="12">
        <v>8.9</v>
      </c>
      <c r="AR37" s="4">
        <f t="shared" si="16"/>
        <v>631635.95505617978</v>
      </c>
      <c r="AS37" s="8">
        <v>20443.7</v>
      </c>
      <c r="AT37" s="4">
        <f t="shared" si="17"/>
        <v>3.2366270216808144</v>
      </c>
      <c r="AU37" s="8">
        <v>68558.100000000006</v>
      </c>
      <c r="AV37" s="12">
        <v>10.9</v>
      </c>
      <c r="AW37">
        <f t="shared" si="18"/>
        <v>628973.39449541282</v>
      </c>
      <c r="AX37" s="8">
        <v>19223.400000000001</v>
      </c>
      <c r="AY37" s="4">
        <f t="shared" si="19"/>
        <v>3.0563136959746555</v>
      </c>
      <c r="AZ37" s="9">
        <v>108526.9</v>
      </c>
      <c r="BA37" s="10">
        <v>14.3</v>
      </c>
      <c r="BB37">
        <f t="shared" si="20"/>
        <v>758929.37062937056</v>
      </c>
      <c r="BC37" s="21">
        <v>31609.9</v>
      </c>
      <c r="BD37" s="4">
        <f t="shared" si="21"/>
        <v>4.1650647903883744</v>
      </c>
      <c r="BE37" s="9">
        <v>133792.6</v>
      </c>
      <c r="BF37" s="9">
        <v>14.5</v>
      </c>
      <c r="BG37">
        <f t="shared" si="22"/>
        <v>922707.5862068967</v>
      </c>
      <c r="BH37" s="8">
        <v>34598.400000000001</v>
      </c>
      <c r="BI37" s="4">
        <f t="shared" si="23"/>
        <v>3.7496602951134812</v>
      </c>
      <c r="BJ37" s="9">
        <v>104538.5</v>
      </c>
      <c r="BK37" s="10">
        <v>10.6</v>
      </c>
      <c r="BL37">
        <f t="shared" si="24"/>
        <v>986212.26415094349</v>
      </c>
      <c r="BM37" s="36">
        <v>28248.416699999998</v>
      </c>
      <c r="BN37" s="4">
        <f t="shared" si="25"/>
        <v>2.8643343554766902</v>
      </c>
      <c r="BO37" s="9">
        <v>64536.6</v>
      </c>
      <c r="BP37" s="10">
        <v>5.8</v>
      </c>
      <c r="BQ37">
        <f t="shared" si="26"/>
        <v>1112700</v>
      </c>
      <c r="BR37" s="36">
        <v>19588.433499999999</v>
      </c>
      <c r="BS37" s="4">
        <f t="shared" si="27"/>
        <v>1.760441583535544</v>
      </c>
      <c r="BT37" s="21">
        <v>62676.2</v>
      </c>
      <c r="BU37" s="10">
        <v>4.9000000000000004</v>
      </c>
      <c r="BV37">
        <f t="shared" si="28"/>
        <v>1279106.1224489794</v>
      </c>
      <c r="BW37" s="2"/>
      <c r="BX37" s="42">
        <v>2.9</v>
      </c>
      <c r="BY37" s="32">
        <v>106739.66650000001</v>
      </c>
      <c r="BZ37" s="40">
        <v>8.4885863414473501</v>
      </c>
      <c r="CA37">
        <f t="shared" si="29"/>
        <v>1257449.2643000002</v>
      </c>
      <c r="CB37" s="36">
        <v>52713.014499999997</v>
      </c>
      <c r="CC37" s="4">
        <f t="shared" si="30"/>
        <v>4.1920589559010475</v>
      </c>
    </row>
    <row r="38" spans="1:81" x14ac:dyDescent="0.25">
      <c r="A38" t="s">
        <v>36</v>
      </c>
      <c r="B38" s="2"/>
      <c r="D38" s="4"/>
      <c r="G38" s="2"/>
      <c r="H38" s="13"/>
      <c r="J38" s="2"/>
      <c r="K38" s="4"/>
      <c r="L38" s="2"/>
      <c r="N38" s="4"/>
      <c r="O38" s="2"/>
      <c r="P38" s="4"/>
      <c r="S38" s="4"/>
      <c r="V38" s="2"/>
      <c r="X38" s="4"/>
      <c r="AA38" s="2"/>
      <c r="AC38" s="4"/>
      <c r="AD38" s="2"/>
      <c r="AE38" s="4"/>
      <c r="AF38" s="2"/>
      <c r="AH38" s="4"/>
      <c r="AI38" s="2"/>
      <c r="AJ38" s="4"/>
      <c r="AK38" s="2"/>
      <c r="AN38" s="2"/>
      <c r="AO38" s="4"/>
      <c r="AP38" s="2"/>
      <c r="AR38" s="4"/>
      <c r="AS38" s="2"/>
      <c r="AT38" s="4"/>
      <c r="AU38" s="8">
        <v>7</v>
      </c>
      <c r="AV38" s="11">
        <v>0.5</v>
      </c>
      <c r="AW38">
        <f t="shared" si="18"/>
        <v>1400</v>
      </c>
      <c r="AX38" s="2">
        <v>0.1</v>
      </c>
      <c r="AY38" s="4">
        <f t="shared" si="19"/>
        <v>7.1428571428571435E-3</v>
      </c>
      <c r="AZ38" s="9">
        <v>0</v>
      </c>
      <c r="BA38" s="10">
        <v>0</v>
      </c>
      <c r="BC38" s="2"/>
      <c r="BD38" s="4" t="e">
        <f t="shared" si="21"/>
        <v>#DIV/0!</v>
      </c>
      <c r="BE38" s="9">
        <v>991.2</v>
      </c>
      <c r="BF38" s="9">
        <v>12.8</v>
      </c>
      <c r="BG38">
        <f t="shared" si="22"/>
        <v>7743.75</v>
      </c>
      <c r="BH38" s="8">
        <v>51.5</v>
      </c>
      <c r="BI38" s="4">
        <f t="shared" si="23"/>
        <v>0.6650524616626311</v>
      </c>
      <c r="BJ38" s="9">
        <v>725.5</v>
      </c>
      <c r="BK38" s="10">
        <v>5</v>
      </c>
      <c r="BL38">
        <f t="shared" si="24"/>
        <v>14510</v>
      </c>
      <c r="BM38" s="36">
        <v>45.888599999999997</v>
      </c>
      <c r="BN38" s="4">
        <f t="shared" si="25"/>
        <v>0.31625499655410061</v>
      </c>
      <c r="BO38" s="9">
        <v>781.8</v>
      </c>
      <c r="BP38" s="10">
        <v>4.5</v>
      </c>
      <c r="BQ38">
        <f t="shared" si="26"/>
        <v>17373.333333333332</v>
      </c>
      <c r="BR38" s="36">
        <v>83.31089999999999</v>
      </c>
      <c r="BS38" s="4">
        <f t="shared" si="27"/>
        <v>0.47953319263238675</v>
      </c>
      <c r="BT38" s="21">
        <v>888.8</v>
      </c>
      <c r="BU38" s="10">
        <v>5.7</v>
      </c>
      <c r="BV38">
        <f t="shared" si="28"/>
        <v>15592.982456140351</v>
      </c>
      <c r="BW38" s="2"/>
      <c r="BX38" s="42">
        <v>3.5</v>
      </c>
      <c r="BY38" s="32">
        <v>1710.8793999999998</v>
      </c>
      <c r="BZ38" s="41">
        <v>5.9407300645488981</v>
      </c>
      <c r="CA38">
        <f t="shared" si="29"/>
        <v>28799.143899999995</v>
      </c>
      <c r="CB38" s="36">
        <v>761.24149999999997</v>
      </c>
      <c r="CC38" s="4">
        <f t="shared" si="30"/>
        <v>2.6432782260586576</v>
      </c>
    </row>
    <row r="39" spans="1:81" x14ac:dyDescent="0.25">
      <c r="A39" t="s">
        <v>37</v>
      </c>
      <c r="B39" s="8">
        <v>171.5</v>
      </c>
      <c r="C39" s="9">
        <v>2.4</v>
      </c>
      <c r="D39" s="4">
        <f>B39/C39*100</f>
        <v>7145.8333333333339</v>
      </c>
      <c r="E39">
        <v>58085</v>
      </c>
      <c r="F39">
        <f>E39/D39*100</f>
        <v>812.85131195335282</v>
      </c>
      <c r="G39" s="2">
        <v>597.4</v>
      </c>
      <c r="H39">
        <v>5.5</v>
      </c>
      <c r="I39">
        <f t="shared" si="4"/>
        <v>10861.81818181818</v>
      </c>
      <c r="J39" s="2">
        <v>67457</v>
      </c>
      <c r="K39" s="4">
        <f>J39/I39*100</f>
        <v>621.0470371610312</v>
      </c>
      <c r="L39" s="8">
        <v>698.7</v>
      </c>
      <c r="M39">
        <v>3.5</v>
      </c>
      <c r="N39" s="4">
        <f t="shared" si="5"/>
        <v>19962.857142857145</v>
      </c>
      <c r="O39" s="9">
        <v>83650</v>
      </c>
      <c r="P39" s="4">
        <f t="shared" si="6"/>
        <v>419.02819521969371</v>
      </c>
      <c r="Q39" s="9">
        <v>760.3</v>
      </c>
      <c r="R39">
        <v>3.2</v>
      </c>
      <c r="S39" s="4">
        <f t="shared" si="7"/>
        <v>23759.374999999996</v>
      </c>
      <c r="T39">
        <v>78.7</v>
      </c>
      <c r="U39">
        <f t="shared" si="8"/>
        <v>0.33123766934104965</v>
      </c>
      <c r="V39" s="8">
        <v>200</v>
      </c>
      <c r="W39" s="9">
        <v>0.8</v>
      </c>
      <c r="X39" s="4">
        <f t="shared" si="9"/>
        <v>25000</v>
      </c>
      <c r="Y39">
        <v>51.3</v>
      </c>
      <c r="Z39">
        <f t="shared" si="10"/>
        <v>0.20519999999999999</v>
      </c>
      <c r="AA39" s="8">
        <v>1542.1</v>
      </c>
      <c r="AB39" s="10">
        <v>5.9</v>
      </c>
      <c r="AC39" s="4">
        <f t="shared" si="11"/>
        <v>26137.288135593219</v>
      </c>
      <c r="AD39" s="8">
        <v>52.2</v>
      </c>
      <c r="AE39" s="4">
        <f t="shared" si="12"/>
        <v>0.19971467479411195</v>
      </c>
      <c r="AF39" s="8">
        <v>108.5</v>
      </c>
      <c r="AG39" s="11">
        <v>0.3</v>
      </c>
      <c r="AH39" s="4">
        <f t="shared" si="13"/>
        <v>36166.666666666672</v>
      </c>
      <c r="AI39" s="8">
        <v>32.9</v>
      </c>
      <c r="AJ39" s="4">
        <f t="shared" si="14"/>
        <v>9.0967741935483848E-2</v>
      </c>
      <c r="AK39" s="8">
        <v>248.5</v>
      </c>
      <c r="AL39" s="12">
        <v>0.9</v>
      </c>
      <c r="AM39">
        <f>AK39/AL39*100</f>
        <v>27611.111111111109</v>
      </c>
      <c r="AN39" s="8">
        <v>23.2</v>
      </c>
      <c r="AO39" s="4">
        <f t="shared" si="15"/>
        <v>8.4024144869215292E-2</v>
      </c>
      <c r="AP39" s="8">
        <v>21.4</v>
      </c>
      <c r="AQ39" s="12">
        <v>0.1</v>
      </c>
      <c r="AR39" s="4">
        <f t="shared" si="16"/>
        <v>21399.999999999996</v>
      </c>
      <c r="AS39" s="8">
        <v>102.4</v>
      </c>
      <c r="AT39" s="4">
        <f t="shared" si="17"/>
        <v>0.47850467289719639</v>
      </c>
      <c r="AU39" s="8">
        <v>119.9</v>
      </c>
      <c r="AV39" s="12">
        <v>0.6</v>
      </c>
      <c r="AW39">
        <f t="shared" si="18"/>
        <v>19983.333333333336</v>
      </c>
      <c r="AX39" s="8">
        <v>527.6</v>
      </c>
      <c r="AY39" s="4">
        <f t="shared" si="19"/>
        <v>2.6402001668056712</v>
      </c>
      <c r="AZ39" s="9">
        <v>151.1</v>
      </c>
      <c r="BA39" s="10">
        <v>0.6</v>
      </c>
      <c r="BB39">
        <f t="shared" si="20"/>
        <v>25183.333333333336</v>
      </c>
      <c r="BC39" s="21">
        <v>53.7</v>
      </c>
      <c r="BD39" s="4">
        <f t="shared" si="21"/>
        <v>0.2132362673726009</v>
      </c>
      <c r="BE39" s="9">
        <v>202.5</v>
      </c>
      <c r="BF39" s="9">
        <v>0.4</v>
      </c>
      <c r="BG39">
        <f t="shared" si="22"/>
        <v>50625</v>
      </c>
      <c r="BH39" s="8">
        <v>55.9</v>
      </c>
      <c r="BI39" s="4">
        <f t="shared" si="23"/>
        <v>0.11041975308641976</v>
      </c>
      <c r="BJ39" s="9">
        <v>182</v>
      </c>
      <c r="BK39" s="10">
        <v>0.3</v>
      </c>
      <c r="BL39">
        <f t="shared" si="24"/>
        <v>60666.666666666672</v>
      </c>
      <c r="BM39" s="36">
        <v>20.064700000000002</v>
      </c>
      <c r="BN39" s="4">
        <f t="shared" si="25"/>
        <v>3.3073681318681318E-2</v>
      </c>
      <c r="BO39" s="9">
        <v>873.2</v>
      </c>
      <c r="BP39" s="10">
        <v>0.3</v>
      </c>
      <c r="BQ39">
        <f t="shared" si="26"/>
        <v>291066.66666666669</v>
      </c>
      <c r="BR39" s="36">
        <v>672.44780000000003</v>
      </c>
      <c r="BS39" s="4">
        <f t="shared" si="27"/>
        <v>0.23102879065506182</v>
      </c>
      <c r="BT39" s="21">
        <v>514.79999999999995</v>
      </c>
      <c r="BU39" s="10">
        <v>0.4</v>
      </c>
      <c r="BV39">
        <f t="shared" si="28"/>
        <v>128699.99999999997</v>
      </c>
      <c r="BW39" s="2"/>
      <c r="BX39" s="42">
        <v>0.2</v>
      </c>
      <c r="BY39" s="33">
        <v>1468.1203</v>
      </c>
      <c r="BZ39" s="40">
        <v>1.3492660881133016</v>
      </c>
      <c r="CA39">
        <f t="shared" si="29"/>
        <v>108808.8045</v>
      </c>
      <c r="CB39" s="36">
        <v>441.5847</v>
      </c>
      <c r="CC39" s="4">
        <f t="shared" si="30"/>
        <v>0.40583544872970273</v>
      </c>
    </row>
    <row r="40" spans="1:81" x14ac:dyDescent="0.25">
      <c r="A40" t="s">
        <v>38</v>
      </c>
      <c r="B40" s="2"/>
      <c r="D40" s="4"/>
      <c r="G40" s="2"/>
      <c r="H40" s="13"/>
      <c r="J40" s="2"/>
      <c r="K40" s="4"/>
      <c r="L40" s="2"/>
      <c r="N40" s="4"/>
      <c r="O40" s="2"/>
      <c r="P40" s="4"/>
      <c r="S40" s="4"/>
      <c r="V40" s="8">
        <v>0.7</v>
      </c>
      <c r="W40" s="9">
        <v>0.1</v>
      </c>
      <c r="X40" s="4">
        <f t="shared" si="9"/>
        <v>699.99999999999989</v>
      </c>
      <c r="Z40">
        <f t="shared" si="10"/>
        <v>0</v>
      </c>
      <c r="AA40" s="8">
        <v>0.7</v>
      </c>
      <c r="AB40" s="10">
        <v>0.1</v>
      </c>
      <c r="AC40" s="4">
        <f t="shared" si="11"/>
        <v>699.99999999999989</v>
      </c>
      <c r="AD40" s="8" t="s">
        <v>85</v>
      </c>
      <c r="AE40" s="4"/>
      <c r="AF40" s="8">
        <v>7.7</v>
      </c>
      <c r="AG40" s="11">
        <v>0.2</v>
      </c>
      <c r="AH40" s="4">
        <f t="shared" si="13"/>
        <v>3850</v>
      </c>
      <c r="AI40" s="8" t="s">
        <v>85</v>
      </c>
      <c r="AJ40" s="4"/>
      <c r="AK40" s="8">
        <v>28.3</v>
      </c>
      <c r="AL40" s="12">
        <v>1.1000000000000001</v>
      </c>
      <c r="AM40">
        <f>AK40/AL40*100</f>
        <v>2572.7272727272725</v>
      </c>
      <c r="AN40" s="8" t="s">
        <v>85</v>
      </c>
      <c r="AO40" s="4"/>
      <c r="AP40" s="8" t="s">
        <v>85</v>
      </c>
      <c r="AQ40" s="12" t="s">
        <v>85</v>
      </c>
      <c r="AR40" s="4"/>
      <c r="AS40" s="8" t="s">
        <v>85</v>
      </c>
      <c r="AT40" s="4"/>
      <c r="AU40" s="8">
        <v>6.1</v>
      </c>
      <c r="AV40" s="12">
        <v>0.2</v>
      </c>
      <c r="AW40">
        <f t="shared" si="18"/>
        <v>3049.9999999999995</v>
      </c>
      <c r="AX40" s="8">
        <v>77.3</v>
      </c>
      <c r="AY40" s="4">
        <f t="shared" si="19"/>
        <v>2.5344262295081967</v>
      </c>
      <c r="AZ40" s="9">
        <v>5.4</v>
      </c>
      <c r="BA40" s="10">
        <v>0.1</v>
      </c>
      <c r="BB40">
        <f t="shared" si="20"/>
        <v>5400</v>
      </c>
      <c r="BC40" s="21">
        <v>0.8</v>
      </c>
      <c r="BD40" s="4">
        <f t="shared" si="21"/>
        <v>1.4814814814814815E-2</v>
      </c>
      <c r="BE40" s="9">
        <v>22.5</v>
      </c>
      <c r="BF40" s="9">
        <v>0.9</v>
      </c>
      <c r="BG40">
        <f t="shared" si="22"/>
        <v>2500</v>
      </c>
      <c r="BH40" s="8" t="s">
        <v>85</v>
      </c>
      <c r="BI40" s="4"/>
      <c r="BJ40" s="9">
        <v>22.8</v>
      </c>
      <c r="BK40" s="10">
        <v>0.5</v>
      </c>
      <c r="BL40">
        <f t="shared" si="24"/>
        <v>4560</v>
      </c>
      <c r="BM40" s="36">
        <v>0.68300000000000005</v>
      </c>
      <c r="BN40" s="4">
        <f t="shared" si="25"/>
        <v>1.4978070175438599E-2</v>
      </c>
      <c r="BO40" s="9">
        <v>17.5</v>
      </c>
      <c r="BP40" s="10">
        <v>0.4</v>
      </c>
      <c r="BQ40">
        <f t="shared" si="26"/>
        <v>4375</v>
      </c>
      <c r="BR40" s="36" t="s">
        <v>85</v>
      </c>
      <c r="BS40" s="4"/>
      <c r="BT40" s="21">
        <v>40.6</v>
      </c>
      <c r="BU40" s="10">
        <v>0.4</v>
      </c>
      <c r="BV40">
        <f t="shared" si="28"/>
        <v>10150</v>
      </c>
      <c r="BW40" s="2"/>
      <c r="BX40" s="42">
        <v>0</v>
      </c>
      <c r="BY40" s="33"/>
      <c r="BZ40" s="41">
        <v>4.526983370177712</v>
      </c>
      <c r="CA40">
        <f t="shared" si="29"/>
        <v>0</v>
      </c>
      <c r="CB40" s="36">
        <v>39.416699999999999</v>
      </c>
      <c r="CC40" s="4"/>
    </row>
    <row r="41" spans="1:81" x14ac:dyDescent="0.25">
      <c r="A41" t="s">
        <v>42</v>
      </c>
      <c r="B41" s="2">
        <v>294.7</v>
      </c>
      <c r="C41" s="9">
        <v>3.1</v>
      </c>
      <c r="D41" s="4">
        <f>B41/C41*100</f>
        <v>9506.4516129032254</v>
      </c>
      <c r="E41" s="9">
        <v>24013</v>
      </c>
      <c r="F41">
        <f>E41/D41*100</f>
        <v>252.59687818120122</v>
      </c>
      <c r="G41" s="8">
        <v>431.6</v>
      </c>
      <c r="H41" s="9">
        <v>3.5</v>
      </c>
      <c r="I41">
        <f t="shared" si="4"/>
        <v>12331.428571428572</v>
      </c>
      <c r="J41" s="2">
        <v>39370</v>
      </c>
      <c r="K41" s="4">
        <f>J41/I41*100</f>
        <v>319.26552363299351</v>
      </c>
      <c r="L41" s="8">
        <v>281.39999999999998</v>
      </c>
      <c r="M41">
        <v>1.8</v>
      </c>
      <c r="N41" s="4">
        <f t="shared" si="5"/>
        <v>15633.333333333332</v>
      </c>
      <c r="O41">
        <v>120439</v>
      </c>
      <c r="P41" s="4">
        <f t="shared" si="6"/>
        <v>770.39872068230284</v>
      </c>
      <c r="Q41" s="9">
        <v>255.9</v>
      </c>
      <c r="R41">
        <v>1.4</v>
      </c>
      <c r="S41" s="4">
        <f t="shared" si="7"/>
        <v>18278.571428571431</v>
      </c>
      <c r="T41">
        <v>152.69999999999999</v>
      </c>
      <c r="U41">
        <f t="shared" si="8"/>
        <v>0.83540445486518145</v>
      </c>
      <c r="V41" s="8">
        <v>720.8</v>
      </c>
      <c r="W41" s="9">
        <v>3.7</v>
      </c>
      <c r="X41" s="4">
        <f t="shared" si="9"/>
        <v>19481.081081081076</v>
      </c>
      <c r="Y41">
        <v>172.6</v>
      </c>
      <c r="Z41">
        <f t="shared" si="10"/>
        <v>0.88598779134295247</v>
      </c>
      <c r="AA41" s="8">
        <v>2070.1</v>
      </c>
      <c r="AB41" s="10">
        <v>7.4</v>
      </c>
      <c r="AC41" s="4">
        <f t="shared" si="11"/>
        <v>27974.324324324323</v>
      </c>
      <c r="AD41" s="8">
        <v>215.9</v>
      </c>
      <c r="AE41" s="4">
        <f t="shared" si="12"/>
        <v>0.77177914110429457</v>
      </c>
      <c r="AF41" s="8">
        <v>1959.1</v>
      </c>
      <c r="AG41" s="11">
        <v>6.7</v>
      </c>
      <c r="AH41" s="4">
        <f t="shared" si="13"/>
        <v>29240.298507462681</v>
      </c>
      <c r="AI41" s="8">
        <v>325.2</v>
      </c>
      <c r="AJ41" s="4">
        <f t="shared" si="14"/>
        <v>1.1121637486600993</v>
      </c>
      <c r="AK41" s="8">
        <v>838.5</v>
      </c>
      <c r="AL41" s="12">
        <v>3</v>
      </c>
      <c r="AM41">
        <f>AK41/AL41*100</f>
        <v>27950</v>
      </c>
      <c r="AN41" s="8">
        <v>376.8</v>
      </c>
      <c r="AO41" s="4">
        <f t="shared" si="15"/>
        <v>1.3481216457960643</v>
      </c>
      <c r="AP41" s="8">
        <v>925.4</v>
      </c>
      <c r="AQ41" s="12">
        <v>3.3</v>
      </c>
      <c r="AR41" s="4">
        <f t="shared" si="16"/>
        <v>28042.424242424244</v>
      </c>
      <c r="AS41" s="8">
        <v>645.9</v>
      </c>
      <c r="AT41" s="4">
        <f t="shared" si="17"/>
        <v>2.3032958720553274</v>
      </c>
      <c r="AU41" s="8">
        <v>752.2</v>
      </c>
      <c r="AV41" s="12">
        <v>2.4</v>
      </c>
      <c r="AW41">
        <f t="shared" si="18"/>
        <v>31341.666666666668</v>
      </c>
      <c r="AX41" s="8">
        <v>221.7</v>
      </c>
      <c r="AY41" s="4">
        <f t="shared" si="19"/>
        <v>0.70736506248338205</v>
      </c>
      <c r="AZ41" s="9">
        <v>1327</v>
      </c>
      <c r="BA41" s="10">
        <v>4.0999999999999996</v>
      </c>
      <c r="BB41">
        <f t="shared" si="20"/>
        <v>32365.853658536587</v>
      </c>
      <c r="BC41" s="21">
        <v>5.5</v>
      </c>
      <c r="BD41" s="4">
        <f t="shared" si="21"/>
        <v>1.6993217784476263E-2</v>
      </c>
      <c r="BE41" s="9">
        <v>421.8</v>
      </c>
      <c r="BF41" s="9">
        <v>1.3</v>
      </c>
      <c r="BG41">
        <f t="shared" si="22"/>
        <v>32446.153846153844</v>
      </c>
      <c r="BH41" s="8">
        <v>86.2</v>
      </c>
      <c r="BI41" s="4">
        <f t="shared" si="23"/>
        <v>0.26567093409198678</v>
      </c>
      <c r="BJ41" s="9">
        <v>307.10000000000002</v>
      </c>
      <c r="BK41" s="10">
        <v>0.9</v>
      </c>
      <c r="BL41">
        <f t="shared" si="24"/>
        <v>34122.222222222226</v>
      </c>
      <c r="BM41" s="36">
        <v>296.54409999999996</v>
      </c>
      <c r="BN41" s="4">
        <f t="shared" si="25"/>
        <v>0.86906444154998352</v>
      </c>
      <c r="BO41" s="9">
        <v>314.2</v>
      </c>
      <c r="BP41" s="10">
        <v>0.9</v>
      </c>
      <c r="BQ41">
        <f t="shared" si="26"/>
        <v>34911.111111111109</v>
      </c>
      <c r="BR41" s="36">
        <v>326.0335</v>
      </c>
      <c r="BS41" s="4">
        <f t="shared" si="27"/>
        <v>0.93389608529598989</v>
      </c>
      <c r="BT41" s="21">
        <v>296.7</v>
      </c>
      <c r="BU41" s="10">
        <v>0.6</v>
      </c>
      <c r="BV41">
        <f t="shared" si="28"/>
        <v>49450</v>
      </c>
      <c r="BW41" s="2"/>
      <c r="BX41" s="42">
        <v>0.5</v>
      </c>
      <c r="BY41" s="33">
        <v>552.63790000000006</v>
      </c>
      <c r="BZ41" s="40">
        <v>0.98396226923371788</v>
      </c>
      <c r="CA41">
        <f t="shared" si="29"/>
        <v>56164.541800000006</v>
      </c>
      <c r="CB41" s="36">
        <v>324.22379999999998</v>
      </c>
      <c r="CC41" s="4">
        <f t="shared" si="30"/>
        <v>0.57727489552848077</v>
      </c>
    </row>
    <row r="42" spans="1:81" x14ac:dyDescent="0.25">
      <c r="A42" t="s">
        <v>39</v>
      </c>
      <c r="B42" s="2">
        <v>35.9</v>
      </c>
      <c r="C42" s="9">
        <v>0.5</v>
      </c>
      <c r="D42" s="4">
        <f>B42/C42*100</f>
        <v>7180</v>
      </c>
      <c r="E42" s="9">
        <v>31492</v>
      </c>
      <c r="F42">
        <f>E42/D42*100</f>
        <v>438.60724233983285</v>
      </c>
      <c r="G42" s="8">
        <v>574.9</v>
      </c>
      <c r="H42" s="9">
        <v>4.7</v>
      </c>
      <c r="I42">
        <f t="shared" si="4"/>
        <v>12231.91489361702</v>
      </c>
      <c r="J42" s="2">
        <v>13514</v>
      </c>
      <c r="K42" s="4">
        <f>J42/I42*100</f>
        <v>110.48147503913725</v>
      </c>
      <c r="L42" s="8">
        <v>208.8</v>
      </c>
      <c r="M42">
        <v>1.5</v>
      </c>
      <c r="N42" s="4">
        <f t="shared" si="5"/>
        <v>13920.000000000002</v>
      </c>
      <c r="O42">
        <v>325420</v>
      </c>
      <c r="P42" s="4">
        <f t="shared" si="6"/>
        <v>2337.7873563218386</v>
      </c>
      <c r="Q42" s="9">
        <v>1528.1</v>
      </c>
      <c r="R42" s="9">
        <v>8.5</v>
      </c>
      <c r="S42" s="4">
        <f t="shared" si="7"/>
        <v>17977.647058823528</v>
      </c>
      <c r="T42" s="9">
        <v>1803.2</v>
      </c>
      <c r="U42">
        <f t="shared" si="8"/>
        <v>10.030233623453963</v>
      </c>
      <c r="V42" s="8">
        <v>202.6</v>
      </c>
      <c r="W42" s="9">
        <v>1.2</v>
      </c>
      <c r="X42" s="4">
        <f t="shared" si="9"/>
        <v>16883.333333333336</v>
      </c>
      <c r="Y42" s="9">
        <v>705.9</v>
      </c>
      <c r="Z42">
        <f t="shared" si="10"/>
        <v>4.181046396841066</v>
      </c>
      <c r="AA42" s="8">
        <v>2766.3</v>
      </c>
      <c r="AB42" s="10">
        <v>12</v>
      </c>
      <c r="AC42" s="4">
        <f t="shared" si="11"/>
        <v>23052.5</v>
      </c>
      <c r="AD42" s="8">
        <v>129.5</v>
      </c>
      <c r="AE42" s="4">
        <f t="shared" si="12"/>
        <v>0.56176119726710771</v>
      </c>
      <c r="AF42" s="8">
        <v>7450.4</v>
      </c>
      <c r="AG42" s="11">
        <v>24.1</v>
      </c>
      <c r="AH42" s="4">
        <f t="shared" si="13"/>
        <v>30914.52282157676</v>
      </c>
      <c r="AI42" s="8">
        <v>220.8</v>
      </c>
      <c r="AJ42" s="4">
        <f t="shared" si="14"/>
        <v>0.71422742403092465</v>
      </c>
      <c r="AK42" s="8">
        <v>1638.7</v>
      </c>
      <c r="AL42" s="12">
        <v>4.2</v>
      </c>
      <c r="AM42">
        <f>AK42/AL42*100</f>
        <v>39016.666666666672</v>
      </c>
      <c r="AN42" s="8">
        <v>234</v>
      </c>
      <c r="AO42" s="4">
        <f t="shared" si="15"/>
        <v>0.59974369927381455</v>
      </c>
      <c r="AP42" s="8">
        <v>175.1</v>
      </c>
      <c r="AQ42" s="12">
        <v>0.4</v>
      </c>
      <c r="AR42" s="4">
        <f t="shared" si="16"/>
        <v>43774.999999999993</v>
      </c>
      <c r="AS42" s="8">
        <v>171.5</v>
      </c>
      <c r="AT42" s="4">
        <f t="shared" si="17"/>
        <v>0.39177612792689898</v>
      </c>
      <c r="AU42" s="8">
        <v>19.7</v>
      </c>
      <c r="AV42" s="12">
        <v>0.1</v>
      </c>
      <c r="AW42">
        <f t="shared" si="18"/>
        <v>19699.999999999996</v>
      </c>
      <c r="AX42" s="8">
        <v>77.5</v>
      </c>
      <c r="AY42" s="4">
        <f t="shared" si="19"/>
        <v>0.39340101522842652</v>
      </c>
      <c r="AZ42" s="9">
        <v>43</v>
      </c>
      <c r="BA42" s="10">
        <v>0.1</v>
      </c>
      <c r="BB42">
        <f t="shared" si="20"/>
        <v>43000</v>
      </c>
      <c r="BC42" s="21">
        <v>271.39999999999998</v>
      </c>
      <c r="BD42" s="4">
        <f t="shared" si="21"/>
        <v>0.63116279069767445</v>
      </c>
      <c r="BE42" s="9">
        <v>62.9</v>
      </c>
      <c r="BF42" s="9">
        <v>0.1</v>
      </c>
      <c r="BG42">
        <f t="shared" si="22"/>
        <v>62900</v>
      </c>
      <c r="BH42" s="8">
        <v>8.1</v>
      </c>
      <c r="BI42" s="4">
        <f t="shared" si="23"/>
        <v>1.2877583465818758E-2</v>
      </c>
      <c r="BJ42" s="9">
        <v>40.9</v>
      </c>
      <c r="BK42" s="10">
        <v>0.1</v>
      </c>
      <c r="BL42">
        <f t="shared" si="24"/>
        <v>40899.999999999993</v>
      </c>
      <c r="BM42" s="36">
        <v>26.672999999999998</v>
      </c>
      <c r="BN42" s="4">
        <f t="shared" si="25"/>
        <v>6.5215158924205388E-2</v>
      </c>
      <c r="BO42" s="9">
        <v>202.2</v>
      </c>
      <c r="BP42" s="10">
        <v>0.4</v>
      </c>
      <c r="BQ42">
        <f t="shared" si="26"/>
        <v>50549.999999999993</v>
      </c>
      <c r="BR42" s="36">
        <v>12.896000000000001</v>
      </c>
      <c r="BS42" s="4">
        <f t="shared" si="27"/>
        <v>2.5511374876360043E-2</v>
      </c>
      <c r="BT42" s="21">
        <v>199.2</v>
      </c>
      <c r="BU42" s="10">
        <v>0.3</v>
      </c>
      <c r="BV42">
        <f t="shared" si="28"/>
        <v>66400</v>
      </c>
      <c r="BW42" s="2"/>
      <c r="BX42" s="42">
        <v>0.1</v>
      </c>
      <c r="BY42" s="33">
        <v>438.22050000000002</v>
      </c>
      <c r="BZ42" s="40">
        <v>0.75692952192042562</v>
      </c>
      <c r="CA42">
        <f t="shared" si="29"/>
        <v>57894.491800000003</v>
      </c>
      <c r="CB42" s="36">
        <v>64.424400000000006</v>
      </c>
      <c r="CC42" s="4">
        <f t="shared" si="30"/>
        <v>0.11127898008425044</v>
      </c>
    </row>
    <row r="43" spans="1:81" x14ac:dyDescent="0.25">
      <c r="A43" t="s">
        <v>43</v>
      </c>
      <c r="B43" s="2">
        <v>12.7</v>
      </c>
      <c r="C43" s="9">
        <v>0.1</v>
      </c>
      <c r="D43" s="4">
        <f>B43/C43*100</f>
        <v>12699.999999999998</v>
      </c>
      <c r="E43" s="9">
        <v>9871</v>
      </c>
      <c r="F43">
        <f>E43/D43*100</f>
        <v>77.724409448818903</v>
      </c>
      <c r="G43" s="8">
        <v>12.5</v>
      </c>
      <c r="H43" s="9">
        <v>0.1</v>
      </c>
      <c r="I43">
        <f t="shared" si="4"/>
        <v>12500</v>
      </c>
      <c r="J43" s="2">
        <v>18482</v>
      </c>
      <c r="K43" s="4">
        <f>J43/I43*100</f>
        <v>147.85600000000002</v>
      </c>
      <c r="L43" s="8">
        <v>45.5</v>
      </c>
      <c r="M43">
        <v>0.2</v>
      </c>
      <c r="N43" s="4">
        <f t="shared" si="5"/>
        <v>22750</v>
      </c>
      <c r="O43" s="9">
        <v>28957</v>
      </c>
      <c r="P43" s="4">
        <f t="shared" si="6"/>
        <v>127.28351648351648</v>
      </c>
      <c r="Q43" s="9">
        <v>5.9</v>
      </c>
      <c r="R43">
        <v>0</v>
      </c>
      <c r="S43" s="4"/>
      <c r="T43" s="9">
        <v>561.1</v>
      </c>
      <c r="V43" s="8">
        <v>76.900000000000006</v>
      </c>
      <c r="W43">
        <v>0.4</v>
      </c>
      <c r="X43" s="4">
        <f t="shared" si="9"/>
        <v>19225</v>
      </c>
      <c r="Y43" s="9">
        <v>102.4</v>
      </c>
      <c r="Z43">
        <f t="shared" si="10"/>
        <v>0.53263979193758137</v>
      </c>
      <c r="AA43" s="8">
        <v>344.3</v>
      </c>
      <c r="AB43" s="10">
        <v>1.8</v>
      </c>
      <c r="AC43" s="4">
        <f t="shared" si="11"/>
        <v>19127.777777777777</v>
      </c>
      <c r="AD43" s="8">
        <v>86.5</v>
      </c>
      <c r="AE43" s="4">
        <f t="shared" si="12"/>
        <v>0.45222189950624453</v>
      </c>
      <c r="AF43" s="8">
        <v>71</v>
      </c>
      <c r="AG43" s="11">
        <v>0.3</v>
      </c>
      <c r="AH43" s="4">
        <f t="shared" si="13"/>
        <v>23666.666666666668</v>
      </c>
      <c r="AI43" s="8">
        <v>118.3</v>
      </c>
      <c r="AJ43" s="4">
        <f t="shared" si="14"/>
        <v>0.49985915492957739</v>
      </c>
      <c r="AK43" s="8">
        <v>41.2</v>
      </c>
      <c r="AL43" s="12">
        <v>0.2</v>
      </c>
      <c r="AM43">
        <f>AK43/AL43*100</f>
        <v>20600</v>
      </c>
      <c r="AN43" s="8">
        <v>90.6</v>
      </c>
      <c r="AO43" s="4">
        <f t="shared" si="15"/>
        <v>0.43980582524271838</v>
      </c>
      <c r="AP43" s="8">
        <v>9.1999999999999993</v>
      </c>
      <c r="AQ43" s="12" t="s">
        <v>85</v>
      </c>
      <c r="AR43" s="4"/>
      <c r="AS43" s="8">
        <v>136.9</v>
      </c>
      <c r="AT43" s="4"/>
      <c r="AU43" s="8">
        <v>19.100000000000001</v>
      </c>
      <c r="AV43" s="12">
        <v>0.1</v>
      </c>
      <c r="AW43">
        <f t="shared" si="18"/>
        <v>19100</v>
      </c>
      <c r="AX43" s="8">
        <v>176</v>
      </c>
      <c r="AY43" s="4">
        <f t="shared" si="19"/>
        <v>0.92146596858638741</v>
      </c>
      <c r="AZ43" s="9">
        <v>33.9</v>
      </c>
      <c r="BA43" s="10">
        <v>0.1</v>
      </c>
      <c r="BB43">
        <f t="shared" si="20"/>
        <v>33899.999999999993</v>
      </c>
      <c r="BC43" s="21">
        <v>27.5</v>
      </c>
      <c r="BD43" s="4">
        <f t="shared" si="21"/>
        <v>8.112094395280238E-2</v>
      </c>
      <c r="BE43" s="9">
        <v>57.8</v>
      </c>
      <c r="BF43" s="9">
        <v>0.2</v>
      </c>
      <c r="BG43">
        <f t="shared" si="22"/>
        <v>28899.999999999993</v>
      </c>
      <c r="BH43" s="8">
        <v>19.399999999999999</v>
      </c>
      <c r="BI43" s="4">
        <f t="shared" si="23"/>
        <v>6.7128027681660915E-2</v>
      </c>
      <c r="BJ43" s="9">
        <v>26.4</v>
      </c>
      <c r="BK43" s="10">
        <v>0.1</v>
      </c>
      <c r="BL43">
        <f t="shared" si="24"/>
        <v>26399.999999999993</v>
      </c>
      <c r="BM43" s="36">
        <v>49.535199999999996</v>
      </c>
      <c r="BN43" s="4">
        <f t="shared" si="25"/>
        <v>0.18763333333333337</v>
      </c>
      <c r="BO43" s="9">
        <v>94.9</v>
      </c>
      <c r="BP43" s="10">
        <v>0.4</v>
      </c>
      <c r="BQ43">
        <f t="shared" si="26"/>
        <v>23725</v>
      </c>
      <c r="BR43" s="36">
        <v>36.1252</v>
      </c>
      <c r="BS43" s="4">
        <f t="shared" si="27"/>
        <v>0.1522663856691254</v>
      </c>
      <c r="BT43" s="21">
        <v>148.80000000000001</v>
      </c>
      <c r="BU43" s="10">
        <v>0.4</v>
      </c>
      <c r="BV43">
        <f t="shared" si="28"/>
        <v>37200</v>
      </c>
      <c r="BW43" s="2"/>
      <c r="BX43" s="42">
        <v>0.1</v>
      </c>
      <c r="BY43" s="33"/>
      <c r="BZ43" s="40">
        <v>1.3057338952707698</v>
      </c>
      <c r="CB43" s="36">
        <v>168.45129999999997</v>
      </c>
      <c r="CC43" s="4"/>
    </row>
    <row r="44" spans="1:81" x14ac:dyDescent="0.25">
      <c r="A44" t="s">
        <v>40</v>
      </c>
      <c r="B44" s="2"/>
      <c r="D44" s="4"/>
      <c r="E44" s="9"/>
      <c r="G44" s="2"/>
      <c r="H44" s="13"/>
      <c r="J44" s="2"/>
      <c r="K44" s="4"/>
      <c r="L44" s="2"/>
      <c r="N44" s="4"/>
      <c r="O44" s="2"/>
      <c r="P44" s="4"/>
      <c r="S44" s="4"/>
      <c r="V44" s="8" t="s">
        <v>85</v>
      </c>
      <c r="X44" s="4"/>
      <c r="Y44">
        <v>0</v>
      </c>
      <c r="AA44" s="8">
        <v>1064.5999999999999</v>
      </c>
      <c r="AB44" s="10">
        <v>13.6</v>
      </c>
      <c r="AC44" s="4">
        <f t="shared" si="11"/>
        <v>7827.9411764705883</v>
      </c>
      <c r="AD44" s="8" t="s">
        <v>85</v>
      </c>
      <c r="AE44" s="4"/>
      <c r="AF44" s="8">
        <v>70.7</v>
      </c>
      <c r="AG44" s="11">
        <v>0.6</v>
      </c>
      <c r="AH44" s="4">
        <f t="shared" si="13"/>
        <v>11783.333333333334</v>
      </c>
      <c r="AI44" s="8" t="s">
        <v>85</v>
      </c>
      <c r="AJ44" s="4"/>
      <c r="AK44" s="8">
        <v>4.9000000000000004</v>
      </c>
      <c r="AL44" s="12">
        <v>0</v>
      </c>
      <c r="AN44" s="8" t="s">
        <v>85</v>
      </c>
      <c r="AO44" s="4"/>
      <c r="AP44" s="8" t="s">
        <v>85</v>
      </c>
      <c r="AQ44" s="12" t="s">
        <v>85</v>
      </c>
      <c r="AR44" s="4"/>
      <c r="AS44" s="8" t="s">
        <v>85</v>
      </c>
      <c r="AT44" s="4"/>
      <c r="AU44" s="8">
        <v>103.8</v>
      </c>
      <c r="AV44" s="12">
        <v>1.6</v>
      </c>
      <c r="AW44">
        <f t="shared" si="18"/>
        <v>6487.5</v>
      </c>
      <c r="AX44" s="8">
        <v>108.6</v>
      </c>
      <c r="AY44" s="4">
        <f t="shared" si="19"/>
        <v>1.6739884393063582</v>
      </c>
      <c r="AZ44" s="9">
        <v>100</v>
      </c>
      <c r="BA44" s="10">
        <v>0.2</v>
      </c>
      <c r="BB44">
        <f t="shared" si="20"/>
        <v>50000</v>
      </c>
      <c r="BC44" s="21">
        <v>78.8</v>
      </c>
      <c r="BD44" s="4">
        <f t="shared" si="21"/>
        <v>0.15759999999999999</v>
      </c>
      <c r="BE44" s="9">
        <v>39.4</v>
      </c>
      <c r="BF44" s="9">
        <v>0.1</v>
      </c>
      <c r="BG44">
        <f t="shared" si="22"/>
        <v>39399.999999999993</v>
      </c>
      <c r="BH44" s="8">
        <v>39.4</v>
      </c>
      <c r="BI44" s="4">
        <f t="shared" si="23"/>
        <v>0.10000000000000002</v>
      </c>
      <c r="BJ44" s="9">
        <v>576.4</v>
      </c>
      <c r="BK44" s="10">
        <v>2.8</v>
      </c>
      <c r="BL44">
        <f t="shared" si="24"/>
        <v>20585.714285714286</v>
      </c>
      <c r="BM44" s="36">
        <v>77.499800000000008</v>
      </c>
      <c r="BN44" s="4">
        <f t="shared" si="25"/>
        <v>0.37647369882026371</v>
      </c>
      <c r="BO44" s="9">
        <v>0</v>
      </c>
      <c r="BP44" s="10">
        <v>0</v>
      </c>
      <c r="BR44" s="36">
        <v>13.168700000000001</v>
      </c>
      <c r="BS44" s="4"/>
      <c r="BT44" s="21">
        <v>26.6</v>
      </c>
      <c r="BU44" s="10">
        <v>0</v>
      </c>
      <c r="BW44" s="2"/>
      <c r="BX44" s="42">
        <v>0</v>
      </c>
      <c r="BY44" s="33"/>
      <c r="BZ44" s="40">
        <v>3.8589169902202659E-2</v>
      </c>
      <c r="CB44" s="36">
        <v>120.92749999999999</v>
      </c>
      <c r="CC44" s="4"/>
    </row>
    <row r="45" spans="1:81" x14ac:dyDescent="0.25">
      <c r="A45" t="s">
        <v>41</v>
      </c>
      <c r="B45" s="2">
        <v>1666.7</v>
      </c>
      <c r="C45">
        <v>2.2999999999999998</v>
      </c>
      <c r="D45" s="4">
        <f t="shared" ref="D45:D63" si="33">B45/C45*100</f>
        <v>72465.217391304352</v>
      </c>
      <c r="E45">
        <v>1690066</v>
      </c>
      <c r="F45">
        <f t="shared" ref="F45:F63" si="34">E45/D45*100</f>
        <v>2332.2444351112977</v>
      </c>
      <c r="G45" s="2">
        <v>4811.2</v>
      </c>
      <c r="H45">
        <v>3.9</v>
      </c>
      <c r="I45">
        <f t="shared" si="4"/>
        <v>123364.10256410256</v>
      </c>
      <c r="J45" s="2">
        <v>2621897</v>
      </c>
      <c r="K45" s="4">
        <f t="shared" ref="K45:K62" si="35">J45/I45*100</f>
        <v>2125.3322040239441</v>
      </c>
      <c r="L45" s="8">
        <v>11358.7</v>
      </c>
      <c r="M45">
        <v>7.5</v>
      </c>
      <c r="N45" s="4">
        <f t="shared" si="5"/>
        <v>151449.33333333334</v>
      </c>
      <c r="O45">
        <v>1409443</v>
      </c>
      <c r="P45" s="4">
        <f t="shared" si="6"/>
        <v>930.63664856013452</v>
      </c>
      <c r="Q45">
        <v>19366.400000000001</v>
      </c>
      <c r="R45" s="9">
        <v>13.3</v>
      </c>
      <c r="S45" s="4">
        <f t="shared" si="7"/>
        <v>145612.03007518797</v>
      </c>
      <c r="T45">
        <v>2267.1</v>
      </c>
      <c r="U45">
        <f t="shared" si="8"/>
        <v>1.5569455345340382</v>
      </c>
      <c r="V45" s="8">
        <v>16325.3</v>
      </c>
      <c r="W45">
        <v>9.5</v>
      </c>
      <c r="X45" s="4">
        <f t="shared" si="9"/>
        <v>171845.26315789475</v>
      </c>
      <c r="Y45">
        <v>1935.3</v>
      </c>
      <c r="Z45">
        <f t="shared" si="10"/>
        <v>1.1261875738883818</v>
      </c>
      <c r="AA45" s="8">
        <v>19894.599999999999</v>
      </c>
      <c r="AB45" s="10">
        <v>9.1</v>
      </c>
      <c r="AC45" s="4">
        <f t="shared" si="11"/>
        <v>218621.97802197802</v>
      </c>
      <c r="AD45" s="8">
        <v>6020.7</v>
      </c>
      <c r="AE45" s="4">
        <f t="shared" si="12"/>
        <v>2.7539317201652711</v>
      </c>
      <c r="AF45" s="8">
        <v>22274.400000000001</v>
      </c>
      <c r="AG45" s="11">
        <v>9.9</v>
      </c>
      <c r="AH45" s="4">
        <f t="shared" si="13"/>
        <v>224993.93939393939</v>
      </c>
      <c r="AI45" s="8">
        <v>1397.1</v>
      </c>
      <c r="AJ45" s="4">
        <f t="shared" si="14"/>
        <v>0.62095005926085545</v>
      </c>
      <c r="AK45" s="8">
        <v>24209.9</v>
      </c>
      <c r="AL45" s="12">
        <v>11.1</v>
      </c>
      <c r="AM45">
        <f t="shared" ref="AM45:AM63" si="36">AK45/AL45*100</f>
        <v>218107.20720720725</v>
      </c>
      <c r="AN45" s="8">
        <v>2174</v>
      </c>
      <c r="AO45" s="4">
        <f t="shared" si="15"/>
        <v>0.99675752481422875</v>
      </c>
      <c r="AP45" s="8">
        <v>22758.6</v>
      </c>
      <c r="AQ45" s="12">
        <v>9.6999999999999993</v>
      </c>
      <c r="AR45" s="4">
        <f t="shared" si="16"/>
        <v>234624.74226804124</v>
      </c>
      <c r="AS45" s="8">
        <v>4540</v>
      </c>
      <c r="AT45" s="4">
        <f t="shared" si="17"/>
        <v>1.9350047893982936</v>
      </c>
      <c r="AU45" s="8">
        <v>26940.7</v>
      </c>
      <c r="AV45" s="12">
        <v>11</v>
      </c>
      <c r="AW45">
        <f t="shared" si="18"/>
        <v>244915.45454545453</v>
      </c>
      <c r="AX45" s="8">
        <v>8557.2000000000007</v>
      </c>
      <c r="AY45" s="4">
        <f t="shared" si="19"/>
        <v>3.4939403950157204</v>
      </c>
      <c r="AZ45" s="9">
        <v>39776.800000000003</v>
      </c>
      <c r="BA45" s="10">
        <v>13.5</v>
      </c>
      <c r="BB45">
        <f t="shared" si="20"/>
        <v>294642.96296296298</v>
      </c>
      <c r="BC45" s="21">
        <v>5471.4</v>
      </c>
      <c r="BD45" s="4">
        <f t="shared" si="21"/>
        <v>1.8569593330785783</v>
      </c>
      <c r="BE45" s="9">
        <v>36242.1</v>
      </c>
      <c r="BF45" s="9">
        <v>9.3000000000000007</v>
      </c>
      <c r="BG45">
        <f t="shared" si="22"/>
        <v>389699.99999999994</v>
      </c>
      <c r="BH45" s="8">
        <v>7687.4</v>
      </c>
      <c r="BI45" s="4">
        <f t="shared" si="23"/>
        <v>1.9726456248396202</v>
      </c>
      <c r="BJ45" s="9">
        <v>33566.699999999997</v>
      </c>
      <c r="BK45" s="10">
        <v>8.3000000000000007</v>
      </c>
      <c r="BL45">
        <f t="shared" si="24"/>
        <v>404418.07228915655</v>
      </c>
      <c r="BM45" s="36">
        <v>8485.83</v>
      </c>
      <c r="BN45" s="4">
        <f t="shared" si="25"/>
        <v>2.0982816005147962</v>
      </c>
      <c r="BO45" s="9">
        <v>39132.300000000003</v>
      </c>
      <c r="BP45" s="10">
        <v>9</v>
      </c>
      <c r="BQ45">
        <f t="shared" si="26"/>
        <v>434803.33333333337</v>
      </c>
      <c r="BR45" s="36">
        <v>6081.7622000000001</v>
      </c>
      <c r="BS45" s="4">
        <f t="shared" si="27"/>
        <v>1.398738632791837</v>
      </c>
      <c r="BT45" s="21">
        <v>42998.8</v>
      </c>
      <c r="BU45" s="10">
        <v>8.6999999999999993</v>
      </c>
      <c r="BV45">
        <f t="shared" si="28"/>
        <v>494239.08045977022</v>
      </c>
      <c r="BW45" s="2"/>
      <c r="BX45" s="42">
        <v>0.9</v>
      </c>
      <c r="BY45" s="33">
        <v>40965.386200000001</v>
      </c>
      <c r="BZ45" s="40">
        <v>7.713015858048526</v>
      </c>
      <c r="CA45">
        <f t="shared" si="29"/>
        <v>531120.21230000001</v>
      </c>
      <c r="CB45" s="36">
        <v>4064.6651000000002</v>
      </c>
      <c r="CC45" s="4">
        <f t="shared" si="30"/>
        <v>0.76530039826541174</v>
      </c>
    </row>
    <row r="46" spans="1:81" x14ac:dyDescent="0.25">
      <c r="A46" t="s">
        <v>44</v>
      </c>
      <c r="B46" s="2">
        <v>11886</v>
      </c>
      <c r="C46" s="9">
        <v>3.7</v>
      </c>
      <c r="D46" s="4">
        <f t="shared" si="33"/>
        <v>321243.2432432432</v>
      </c>
      <c r="E46" s="9">
        <v>2101112</v>
      </c>
      <c r="F46">
        <f t="shared" si="34"/>
        <v>654.05640249032479</v>
      </c>
      <c r="G46" s="2">
        <v>11284</v>
      </c>
      <c r="H46">
        <v>2.5</v>
      </c>
      <c r="I46">
        <f t="shared" si="4"/>
        <v>451360.00000000006</v>
      </c>
      <c r="J46" s="8">
        <v>5856702</v>
      </c>
      <c r="K46" s="4">
        <f t="shared" si="35"/>
        <v>1297.5677951081175</v>
      </c>
      <c r="L46" s="8">
        <v>14856.3</v>
      </c>
      <c r="M46">
        <v>3</v>
      </c>
      <c r="N46" s="4">
        <f t="shared" si="5"/>
        <v>495209.99999999994</v>
      </c>
      <c r="O46" s="9">
        <v>5917376</v>
      </c>
      <c r="P46" s="4">
        <f t="shared" si="6"/>
        <v>1194.9225581066619</v>
      </c>
      <c r="Q46" s="9">
        <v>26967.200000000001</v>
      </c>
      <c r="R46" s="9">
        <v>4.2</v>
      </c>
      <c r="S46" s="4">
        <f t="shared" si="7"/>
        <v>642076.19047619042</v>
      </c>
      <c r="T46" s="9">
        <v>8179.5</v>
      </c>
      <c r="U46">
        <f t="shared" si="8"/>
        <v>1.2739142365540361</v>
      </c>
      <c r="V46" s="8">
        <v>26995.200000000001</v>
      </c>
      <c r="W46">
        <v>4.5</v>
      </c>
      <c r="X46" s="4">
        <f t="shared" si="9"/>
        <v>599893.33333333337</v>
      </c>
      <c r="Y46" s="9">
        <v>11674.8</v>
      </c>
      <c r="Z46">
        <f t="shared" si="10"/>
        <v>1.9461459815078235</v>
      </c>
      <c r="AA46" s="8">
        <v>44702.1</v>
      </c>
      <c r="AB46" s="10">
        <v>5.5</v>
      </c>
      <c r="AC46" s="4">
        <f t="shared" si="11"/>
        <v>812765.45454545447</v>
      </c>
      <c r="AD46" s="8">
        <v>6950.1</v>
      </c>
      <c r="AE46" s="4">
        <f t="shared" si="12"/>
        <v>0.85511754481333113</v>
      </c>
      <c r="AF46" s="8">
        <v>58248.800000000003</v>
      </c>
      <c r="AG46" s="11">
        <v>5.6</v>
      </c>
      <c r="AH46" s="4">
        <f t="shared" si="13"/>
        <v>1040157.142857143</v>
      </c>
      <c r="AI46" s="8">
        <v>13754.3</v>
      </c>
      <c r="AJ46" s="4">
        <f t="shared" si="14"/>
        <v>1.3223290436884534</v>
      </c>
      <c r="AK46" s="8">
        <v>62171.4</v>
      </c>
      <c r="AL46" s="12">
        <v>6</v>
      </c>
      <c r="AM46">
        <f t="shared" si="36"/>
        <v>1036190</v>
      </c>
      <c r="AN46" s="8">
        <v>12750.3</v>
      </c>
      <c r="AO46" s="4">
        <f t="shared" si="15"/>
        <v>1.2304982676922185</v>
      </c>
      <c r="AP46" s="8">
        <v>74681.8</v>
      </c>
      <c r="AQ46" s="12">
        <v>6.2</v>
      </c>
      <c r="AR46" s="4">
        <f t="shared" si="16"/>
        <v>1204545.1612903224</v>
      </c>
      <c r="AS46" s="8">
        <v>18460.400000000001</v>
      </c>
      <c r="AT46" s="4">
        <f t="shared" si="17"/>
        <v>1.5325618825470197</v>
      </c>
      <c r="AU46" s="8">
        <v>111871.7</v>
      </c>
      <c r="AV46" s="12">
        <v>8.1999999999999993</v>
      </c>
      <c r="AW46">
        <f t="shared" si="18"/>
        <v>1364289.0243902442</v>
      </c>
      <c r="AX46" s="8">
        <v>30009.7</v>
      </c>
      <c r="AY46" s="4">
        <f t="shared" si="19"/>
        <v>2.1996585374138409</v>
      </c>
      <c r="AZ46" s="9">
        <v>139331.29999999999</v>
      </c>
      <c r="BA46" s="10">
        <v>10.7</v>
      </c>
      <c r="BB46">
        <f t="shared" si="20"/>
        <v>1302161.6822429907</v>
      </c>
      <c r="BC46" s="21">
        <v>25320.7</v>
      </c>
      <c r="BD46" s="4">
        <f t="shared" si="21"/>
        <v>1.9445127548512071</v>
      </c>
      <c r="BE46" s="9">
        <v>122263.7</v>
      </c>
      <c r="BF46" s="9">
        <v>8.4</v>
      </c>
      <c r="BG46">
        <f t="shared" si="22"/>
        <v>1455520.2380952379</v>
      </c>
      <c r="BH46" s="8">
        <v>28932.400000000001</v>
      </c>
      <c r="BI46" s="4">
        <f t="shared" si="23"/>
        <v>1.9877703684740444</v>
      </c>
      <c r="BJ46" s="9">
        <v>109688.9</v>
      </c>
      <c r="BK46" s="10">
        <v>7</v>
      </c>
      <c r="BL46">
        <f t="shared" si="24"/>
        <v>1566984.2857142857</v>
      </c>
      <c r="BM46" s="36">
        <v>29888.727600000002</v>
      </c>
      <c r="BN46" s="4">
        <f t="shared" si="25"/>
        <v>1.9074044246956621</v>
      </c>
      <c r="BO46" s="9">
        <v>143745.5</v>
      </c>
      <c r="BP46" s="10">
        <v>6.3</v>
      </c>
      <c r="BQ46">
        <f t="shared" si="26"/>
        <v>2281674.6031746031</v>
      </c>
      <c r="BR46" s="36">
        <v>29251.8426</v>
      </c>
      <c r="BS46" s="4">
        <f t="shared" si="27"/>
        <v>1.2820339306621773</v>
      </c>
      <c r="BT46" s="21">
        <v>152873.1</v>
      </c>
      <c r="BU46" s="10">
        <v>6.5</v>
      </c>
      <c r="BV46">
        <f t="shared" si="28"/>
        <v>2351893.846153846</v>
      </c>
      <c r="BW46" s="2"/>
      <c r="BX46" s="42">
        <v>1.2</v>
      </c>
      <c r="BY46" s="32">
        <v>150637.86430000002</v>
      </c>
      <c r="BZ46" s="40">
        <v>7.9253157052839214</v>
      </c>
      <c r="CA46">
        <f t="shared" si="29"/>
        <v>1900717.5222000002</v>
      </c>
      <c r="CB46" s="36">
        <v>25915.713399999997</v>
      </c>
      <c r="CC46" s="4">
        <f t="shared" si="30"/>
        <v>1.3634700105254807</v>
      </c>
    </row>
    <row r="47" spans="1:81" x14ac:dyDescent="0.25">
      <c r="A47" t="s">
        <v>45</v>
      </c>
      <c r="B47" s="8">
        <v>31.6</v>
      </c>
      <c r="C47" s="9">
        <v>0.2</v>
      </c>
      <c r="D47" s="4">
        <f t="shared" si="33"/>
        <v>15800</v>
      </c>
      <c r="E47" s="9">
        <v>200536</v>
      </c>
      <c r="F47">
        <f t="shared" si="34"/>
        <v>1269.2151898734178</v>
      </c>
      <c r="G47" s="8">
        <v>461.5</v>
      </c>
      <c r="H47" s="9">
        <v>1.5</v>
      </c>
      <c r="I47">
        <f t="shared" si="4"/>
        <v>30766.666666666668</v>
      </c>
      <c r="J47" s="8">
        <v>55736</v>
      </c>
      <c r="K47" s="4">
        <f t="shared" si="35"/>
        <v>181.15709642470205</v>
      </c>
      <c r="L47" s="8">
        <v>702.3</v>
      </c>
      <c r="M47" s="9">
        <v>1.7</v>
      </c>
      <c r="N47" s="4">
        <f t="shared" si="5"/>
        <v>41311.764705882357</v>
      </c>
      <c r="O47" s="9">
        <v>80395</v>
      </c>
      <c r="P47" s="4">
        <f t="shared" si="6"/>
        <v>194.60558166025913</v>
      </c>
      <c r="Q47" s="9">
        <v>889.7</v>
      </c>
      <c r="R47" s="9">
        <v>1.9</v>
      </c>
      <c r="S47" s="4">
        <f t="shared" si="7"/>
        <v>46826.315789473687</v>
      </c>
      <c r="T47" s="9">
        <v>130.5</v>
      </c>
      <c r="U47">
        <f t="shared" si="8"/>
        <v>0.27868944588063393</v>
      </c>
      <c r="V47" s="8">
        <v>1406.6</v>
      </c>
      <c r="W47">
        <v>3.1</v>
      </c>
      <c r="X47" s="4">
        <f t="shared" si="9"/>
        <v>45374.193548387091</v>
      </c>
      <c r="Y47" s="9">
        <v>507.4</v>
      </c>
      <c r="Z47">
        <f t="shared" si="10"/>
        <v>1.1182567894212996</v>
      </c>
      <c r="AA47" s="8">
        <v>1632.2</v>
      </c>
      <c r="AB47" s="10">
        <v>2.9</v>
      </c>
      <c r="AC47" s="4">
        <f t="shared" si="11"/>
        <v>56282.758620689659</v>
      </c>
      <c r="AD47" s="8">
        <v>221.7</v>
      </c>
      <c r="AE47" s="4">
        <f t="shared" si="12"/>
        <v>0.3939039333415022</v>
      </c>
      <c r="AF47" s="8">
        <v>3432.8</v>
      </c>
      <c r="AG47" s="11">
        <v>4.9000000000000004</v>
      </c>
      <c r="AH47" s="4">
        <f t="shared" si="13"/>
        <v>70057.142857142855</v>
      </c>
      <c r="AI47" s="8">
        <v>549.1</v>
      </c>
      <c r="AJ47" s="4">
        <f t="shared" si="14"/>
        <v>0.78378874388254505</v>
      </c>
      <c r="AK47" s="8">
        <v>804.8</v>
      </c>
      <c r="AL47" s="12">
        <v>1</v>
      </c>
      <c r="AM47">
        <f t="shared" si="36"/>
        <v>80480</v>
      </c>
      <c r="AN47" s="8">
        <v>935.1</v>
      </c>
      <c r="AO47" s="4">
        <f t="shared" si="15"/>
        <v>1.161903578528827</v>
      </c>
      <c r="AP47" s="8">
        <v>1551.6</v>
      </c>
      <c r="AQ47" s="12">
        <v>2.2000000000000002</v>
      </c>
      <c r="AR47" s="4">
        <f t="shared" si="16"/>
        <v>70527.272727272721</v>
      </c>
      <c r="AS47" s="8">
        <v>858.5</v>
      </c>
      <c r="AT47" s="4">
        <f t="shared" si="17"/>
        <v>1.2172596029904617</v>
      </c>
      <c r="AU47" s="8">
        <v>9925.6</v>
      </c>
      <c r="AV47" s="12">
        <v>10.4</v>
      </c>
      <c r="AW47">
        <f t="shared" si="18"/>
        <v>95438.461538461532</v>
      </c>
      <c r="AX47" s="8">
        <v>990.9</v>
      </c>
      <c r="AY47" s="4">
        <f t="shared" si="19"/>
        <v>1.038260659305231</v>
      </c>
      <c r="AZ47" s="9">
        <v>10323.200000000001</v>
      </c>
      <c r="BA47" s="10">
        <v>9.1999999999999993</v>
      </c>
      <c r="BB47">
        <f t="shared" si="20"/>
        <v>112208.69565217392</v>
      </c>
      <c r="BC47" s="21">
        <v>744</v>
      </c>
      <c r="BD47" s="4">
        <f t="shared" si="21"/>
        <v>0.66305021698698074</v>
      </c>
      <c r="BE47" s="9">
        <v>11508.1</v>
      </c>
      <c r="BF47" s="9">
        <v>8.1999999999999993</v>
      </c>
      <c r="BG47">
        <f t="shared" si="22"/>
        <v>140342.68292682926</v>
      </c>
      <c r="BH47" s="8">
        <v>1287.5</v>
      </c>
      <c r="BI47" s="4">
        <f t="shared" si="23"/>
        <v>0.91739731145888537</v>
      </c>
      <c r="BJ47" s="9">
        <v>14926.4</v>
      </c>
      <c r="BK47" s="10">
        <v>14.2</v>
      </c>
      <c r="BL47">
        <f t="shared" si="24"/>
        <v>105115.49295774648</v>
      </c>
      <c r="BM47" s="36">
        <v>1123.9214999999999</v>
      </c>
      <c r="BN47" s="4">
        <f t="shared" si="25"/>
        <v>1.0692253523957551</v>
      </c>
      <c r="BO47" s="9">
        <v>3982.8</v>
      </c>
      <c r="BP47" s="10">
        <v>2.8</v>
      </c>
      <c r="BQ47">
        <f t="shared" si="26"/>
        <v>142242.85714285716</v>
      </c>
      <c r="BR47" s="36">
        <v>905.31990000000008</v>
      </c>
      <c r="BS47" s="4">
        <f t="shared" si="27"/>
        <v>0.63646071105754742</v>
      </c>
      <c r="BT47" s="21">
        <v>16364.5</v>
      </c>
      <c r="BU47" s="10">
        <v>10.6</v>
      </c>
      <c r="BV47">
        <f t="shared" si="28"/>
        <v>154382.0754716981</v>
      </c>
      <c r="BW47" s="2"/>
      <c r="BX47" s="42">
        <v>0.5</v>
      </c>
      <c r="BY47" s="32">
        <v>8233.2523000000001</v>
      </c>
      <c r="BZ47" s="40">
        <v>6.1532027287007285</v>
      </c>
      <c r="CA47">
        <f t="shared" si="29"/>
        <v>133804.34</v>
      </c>
      <c r="CB47" s="36">
        <v>1131.1069</v>
      </c>
      <c r="CC47" s="4">
        <f t="shared" si="30"/>
        <v>0.84534395521101924</v>
      </c>
    </row>
    <row r="48" spans="1:81" x14ac:dyDescent="0.25">
      <c r="A48" t="s">
        <v>46</v>
      </c>
      <c r="B48" s="8">
        <v>2325.6</v>
      </c>
      <c r="C48" s="9">
        <v>5.6</v>
      </c>
      <c r="D48" s="4">
        <f t="shared" si="33"/>
        <v>41528.571428571428</v>
      </c>
      <c r="E48" s="9">
        <v>939931</v>
      </c>
      <c r="F48">
        <f t="shared" si="34"/>
        <v>2263.3357413140698</v>
      </c>
      <c r="G48" s="8">
        <v>6752.9</v>
      </c>
      <c r="H48" s="9">
        <v>12.3</v>
      </c>
      <c r="I48">
        <f t="shared" si="4"/>
        <v>54901.626016260161</v>
      </c>
      <c r="J48" s="8">
        <v>3342923</v>
      </c>
      <c r="K48" s="4">
        <f t="shared" si="35"/>
        <v>6088.9325919234698</v>
      </c>
      <c r="L48" s="8">
        <v>22547.4</v>
      </c>
      <c r="M48" s="9">
        <v>37.299999999999997</v>
      </c>
      <c r="N48" s="4">
        <f t="shared" si="5"/>
        <v>60448.793565683649</v>
      </c>
      <c r="O48" s="9">
        <v>2706069</v>
      </c>
      <c r="P48" s="4">
        <f t="shared" si="6"/>
        <v>4476.6302855318127</v>
      </c>
      <c r="Q48" s="9">
        <v>10539.9</v>
      </c>
      <c r="R48" s="9">
        <v>9.9</v>
      </c>
      <c r="S48" s="4">
        <f t="shared" si="7"/>
        <v>106463.63636363635</v>
      </c>
      <c r="T48" s="9">
        <v>2851.2</v>
      </c>
      <c r="U48">
        <f t="shared" si="8"/>
        <v>2.6780975151566904</v>
      </c>
      <c r="V48" s="8">
        <v>14535.3</v>
      </c>
      <c r="W48" s="9">
        <v>20.2</v>
      </c>
      <c r="X48" s="4">
        <f t="shared" si="9"/>
        <v>71956.930693069313</v>
      </c>
      <c r="Y48" s="9">
        <v>597.5</v>
      </c>
      <c r="Z48">
        <f t="shared" si="10"/>
        <v>0.83035781855207658</v>
      </c>
      <c r="AA48" s="8">
        <v>20995.7</v>
      </c>
      <c r="AB48" s="10">
        <v>23.1</v>
      </c>
      <c r="AC48" s="4">
        <f t="shared" si="11"/>
        <v>90890.476190476198</v>
      </c>
      <c r="AD48" s="8">
        <v>988.9</v>
      </c>
      <c r="AE48" s="4">
        <f t="shared" si="12"/>
        <v>1.0880127835699689</v>
      </c>
      <c r="AF48" s="8">
        <v>21702.2</v>
      </c>
      <c r="AG48" s="11">
        <v>22</v>
      </c>
      <c r="AH48" s="4">
        <f t="shared" si="13"/>
        <v>98646.363636363647</v>
      </c>
      <c r="AI48" s="8">
        <v>16107.7</v>
      </c>
      <c r="AJ48" s="4">
        <f t="shared" si="14"/>
        <v>16.328731649325874</v>
      </c>
      <c r="AK48" s="8">
        <v>27318</v>
      </c>
      <c r="AL48" s="12">
        <v>22.9</v>
      </c>
      <c r="AM48">
        <f t="shared" si="36"/>
        <v>119292.57641921399</v>
      </c>
      <c r="AN48" s="8">
        <v>3621.3</v>
      </c>
      <c r="AO48" s="4">
        <f t="shared" si="15"/>
        <v>3.0356457280913682</v>
      </c>
      <c r="AP48" s="8">
        <v>28846.400000000001</v>
      </c>
      <c r="AQ48" s="12">
        <v>23.9</v>
      </c>
      <c r="AR48" s="4">
        <f t="shared" si="16"/>
        <v>120696.23430962344</v>
      </c>
      <c r="AS48" s="8">
        <v>3235.6</v>
      </c>
      <c r="AT48" s="4">
        <f t="shared" si="17"/>
        <v>2.6807795773476064</v>
      </c>
      <c r="AU48" s="8">
        <v>29501.3</v>
      </c>
      <c r="AV48" s="12">
        <v>26.9</v>
      </c>
      <c r="AW48">
        <f t="shared" si="18"/>
        <v>109670.26022304833</v>
      </c>
      <c r="AX48" s="8">
        <v>6317</v>
      </c>
      <c r="AY48" s="4">
        <f t="shared" si="19"/>
        <v>5.7599936273994707</v>
      </c>
      <c r="AZ48" s="9">
        <v>33676.699999999997</v>
      </c>
      <c r="BA48" s="10">
        <v>27</v>
      </c>
      <c r="BB48">
        <f t="shared" si="20"/>
        <v>124728.51851851851</v>
      </c>
      <c r="BC48" s="21">
        <v>5196.1000000000004</v>
      </c>
      <c r="BD48" s="4">
        <f t="shared" si="21"/>
        <v>4.1659277779592427</v>
      </c>
      <c r="BE48" s="9">
        <v>45913.9</v>
      </c>
      <c r="BF48" s="9">
        <v>27.2</v>
      </c>
      <c r="BG48">
        <f t="shared" si="22"/>
        <v>168801.10294117648</v>
      </c>
      <c r="BH48" s="8">
        <v>5240.3999999999996</v>
      </c>
      <c r="BI48" s="4">
        <f t="shared" si="23"/>
        <v>3.1044820849459529</v>
      </c>
      <c r="BJ48" s="9">
        <v>52414.7</v>
      </c>
      <c r="BK48" s="10">
        <v>27.5</v>
      </c>
      <c r="BL48">
        <f t="shared" si="24"/>
        <v>190598.90909090906</v>
      </c>
      <c r="BM48" s="36">
        <v>3894.2918999999997</v>
      </c>
      <c r="BN48" s="4">
        <f t="shared" si="25"/>
        <v>2.0431868779178362</v>
      </c>
      <c r="BO48" s="9">
        <v>52649</v>
      </c>
      <c r="BP48" s="10">
        <v>24.3</v>
      </c>
      <c r="BQ48">
        <f t="shared" si="26"/>
        <v>216662.5514403292</v>
      </c>
      <c r="BR48" s="36">
        <v>2681.1917999999996</v>
      </c>
      <c r="BS48" s="4">
        <f t="shared" si="27"/>
        <v>1.2374966426712757</v>
      </c>
      <c r="BT48" s="21">
        <v>63526</v>
      </c>
      <c r="BU48" s="10">
        <v>23.8</v>
      </c>
      <c r="BV48">
        <f t="shared" si="28"/>
        <v>266915.96638655459</v>
      </c>
      <c r="BW48" s="2"/>
      <c r="BX48" s="42">
        <v>3.1</v>
      </c>
      <c r="BY48" s="32">
        <v>61535.8508</v>
      </c>
      <c r="BZ48" s="40">
        <v>20.858747206727887</v>
      </c>
      <c r="CA48">
        <f t="shared" si="29"/>
        <v>295012.20850000001</v>
      </c>
      <c r="CB48" s="36">
        <v>7386.6565999999993</v>
      </c>
      <c r="CC48" s="4">
        <f t="shared" si="30"/>
        <v>2.5038477687271707</v>
      </c>
    </row>
    <row r="49" spans="1:81" x14ac:dyDescent="0.25">
      <c r="A49" t="s">
        <v>47</v>
      </c>
      <c r="B49" s="8">
        <v>95409.5</v>
      </c>
      <c r="C49" s="9">
        <v>20.8</v>
      </c>
      <c r="D49" s="4">
        <f t="shared" si="33"/>
        <v>458699.51923076925</v>
      </c>
      <c r="E49" s="9">
        <v>9887378</v>
      </c>
      <c r="F49">
        <f t="shared" si="34"/>
        <v>2155.5239509692433</v>
      </c>
      <c r="G49" s="2">
        <v>107735.7</v>
      </c>
      <c r="H49" s="9">
        <v>16.3</v>
      </c>
      <c r="I49">
        <f t="shared" si="4"/>
        <v>660955.21472392627</v>
      </c>
      <c r="J49" s="8">
        <v>17568442</v>
      </c>
      <c r="K49" s="4">
        <f t="shared" si="35"/>
        <v>2658.0381860423245</v>
      </c>
      <c r="L49" s="8">
        <v>127077.3</v>
      </c>
      <c r="M49" s="9">
        <v>17.3</v>
      </c>
      <c r="N49" s="4">
        <f t="shared" si="5"/>
        <v>734550.86705202307</v>
      </c>
      <c r="O49" s="9">
        <v>18893096</v>
      </c>
      <c r="P49" s="4">
        <f t="shared" si="6"/>
        <v>2572.0609487296319</v>
      </c>
      <c r="Q49" s="9">
        <v>132817.1</v>
      </c>
      <c r="R49" s="9">
        <v>14.8</v>
      </c>
      <c r="S49" s="4">
        <f t="shared" si="7"/>
        <v>897412.83783783787</v>
      </c>
      <c r="T49" s="9">
        <v>23731.3</v>
      </c>
      <c r="U49">
        <f t="shared" si="8"/>
        <v>2.6444128052788383</v>
      </c>
      <c r="V49" s="8">
        <v>152225.9</v>
      </c>
      <c r="W49" s="9">
        <v>17.899999999999999</v>
      </c>
      <c r="X49" s="4">
        <f t="shared" si="9"/>
        <v>850424.02234636887</v>
      </c>
      <c r="Y49" s="9">
        <v>8262.5</v>
      </c>
      <c r="Z49">
        <f t="shared" si="10"/>
        <v>0.97157415393832425</v>
      </c>
      <c r="AA49" s="8">
        <v>161216</v>
      </c>
      <c r="AB49" s="10">
        <v>15.6</v>
      </c>
      <c r="AC49" s="4">
        <f t="shared" si="11"/>
        <v>1033435.8974358975</v>
      </c>
      <c r="AD49" s="8">
        <v>14351.1</v>
      </c>
      <c r="AE49" s="4">
        <f t="shared" si="12"/>
        <v>1.3886782949583167</v>
      </c>
      <c r="AF49" s="8">
        <v>195968.9</v>
      </c>
      <c r="AG49" s="11">
        <v>14.9</v>
      </c>
      <c r="AH49" s="4">
        <f t="shared" si="13"/>
        <v>1315227.5167785233</v>
      </c>
      <c r="AI49" s="8">
        <v>44166.400000000001</v>
      </c>
      <c r="AJ49" s="4">
        <f t="shared" si="14"/>
        <v>3.3580805934002798</v>
      </c>
      <c r="AK49" s="8">
        <v>272573.90000000002</v>
      </c>
      <c r="AL49" s="12">
        <v>18.399999999999999</v>
      </c>
      <c r="AM49">
        <f t="shared" si="36"/>
        <v>1481379.8913043479</v>
      </c>
      <c r="AN49" s="8">
        <v>38101</v>
      </c>
      <c r="AO49" s="4">
        <f t="shared" si="15"/>
        <v>2.5719938702861862</v>
      </c>
      <c r="AP49" s="8">
        <v>322319.8</v>
      </c>
      <c r="AQ49" s="12">
        <v>21.1</v>
      </c>
      <c r="AR49" s="4">
        <f t="shared" si="16"/>
        <v>1527581.9905213267</v>
      </c>
      <c r="AS49" s="8">
        <v>64436.5</v>
      </c>
      <c r="AT49" s="4">
        <f t="shared" si="17"/>
        <v>4.218202387814836</v>
      </c>
      <c r="AU49" s="8">
        <v>338058.5</v>
      </c>
      <c r="AV49" s="12">
        <v>20.5</v>
      </c>
      <c r="AW49">
        <f t="shared" si="18"/>
        <v>1649065.8536585364</v>
      </c>
      <c r="AX49" s="8">
        <v>95720.7</v>
      </c>
      <c r="AY49" s="4">
        <f t="shared" si="19"/>
        <v>5.8045407821427357</v>
      </c>
      <c r="AZ49" s="9">
        <v>373171.4</v>
      </c>
      <c r="BA49" s="10">
        <v>20.399999999999999</v>
      </c>
      <c r="BB49">
        <f t="shared" si="20"/>
        <v>1829271.5686274511</v>
      </c>
      <c r="BC49" s="21">
        <v>53353.8</v>
      </c>
      <c r="BD49" s="4">
        <f t="shared" si="21"/>
        <v>2.9166691766839579</v>
      </c>
      <c r="BE49" s="9">
        <v>391148.5</v>
      </c>
      <c r="BF49" s="9">
        <v>19.600000000000001</v>
      </c>
      <c r="BG49">
        <f t="shared" si="22"/>
        <v>1995655.612244898</v>
      </c>
      <c r="BH49" s="8">
        <v>57571.1</v>
      </c>
      <c r="BI49" s="4">
        <f t="shared" si="23"/>
        <v>2.8848213913641492</v>
      </c>
      <c r="BJ49" s="9">
        <v>435557.7</v>
      </c>
      <c r="BK49" s="10">
        <v>19.600000000000001</v>
      </c>
      <c r="BL49">
        <f t="shared" si="24"/>
        <v>2222233.163265306</v>
      </c>
      <c r="BM49" s="36">
        <v>78404.641199999998</v>
      </c>
      <c r="BN49" s="4">
        <f t="shared" si="25"/>
        <v>3.5281914830572392</v>
      </c>
      <c r="BO49" s="9">
        <v>586666</v>
      </c>
      <c r="BP49" s="10">
        <v>20.9</v>
      </c>
      <c r="BQ49">
        <f t="shared" si="26"/>
        <v>2807014.3540669857</v>
      </c>
      <c r="BR49" s="36">
        <v>126908.4087</v>
      </c>
      <c r="BS49" s="4">
        <f t="shared" si="27"/>
        <v>4.5211171975706783</v>
      </c>
      <c r="BT49" s="21">
        <v>582676.4</v>
      </c>
      <c r="BU49" s="10">
        <v>18.100000000000001</v>
      </c>
      <c r="BV49">
        <f t="shared" si="28"/>
        <v>3219206.6298342538</v>
      </c>
      <c r="BW49" s="2"/>
      <c r="BX49" s="42">
        <v>3.3</v>
      </c>
      <c r="BY49" s="32">
        <v>528840.44760000007</v>
      </c>
      <c r="BZ49" s="40">
        <v>18.066069185941394</v>
      </c>
      <c r="CA49">
        <f t="shared" si="29"/>
        <v>2927257.9561000005</v>
      </c>
      <c r="CB49" s="36">
        <v>147733.2764</v>
      </c>
      <c r="CC49" s="4">
        <f t="shared" si="30"/>
        <v>5.0468144118335827</v>
      </c>
    </row>
    <row r="50" spans="1:81" x14ac:dyDescent="0.25">
      <c r="A50" t="s">
        <v>48</v>
      </c>
      <c r="B50" s="8">
        <v>2184.8000000000002</v>
      </c>
      <c r="C50" s="9">
        <v>1.9</v>
      </c>
      <c r="D50" s="4">
        <f t="shared" si="33"/>
        <v>114989.47368421055</v>
      </c>
      <c r="E50" s="9">
        <v>1744755</v>
      </c>
      <c r="F50">
        <f t="shared" si="34"/>
        <v>1517.317145734163</v>
      </c>
      <c r="G50" s="8">
        <v>2369.6</v>
      </c>
      <c r="H50" s="9">
        <v>1.3</v>
      </c>
      <c r="I50">
        <f t="shared" si="4"/>
        <v>182276.92307692306</v>
      </c>
      <c r="J50" s="8">
        <v>1340961</v>
      </c>
      <c r="K50" s="4">
        <f t="shared" si="35"/>
        <v>735.67239196488867</v>
      </c>
      <c r="L50" s="8">
        <v>8407.9</v>
      </c>
      <c r="M50" s="9">
        <v>3.6</v>
      </c>
      <c r="N50" s="4">
        <f t="shared" si="5"/>
        <v>233552.77777777778</v>
      </c>
      <c r="O50" s="9">
        <v>2776384</v>
      </c>
      <c r="P50" s="4">
        <f t="shared" si="6"/>
        <v>1188.760855861749</v>
      </c>
      <c r="Q50" s="9">
        <v>9577.1</v>
      </c>
      <c r="R50" s="9">
        <v>4.2</v>
      </c>
      <c r="S50" s="4">
        <f t="shared" si="7"/>
        <v>228026.19047619047</v>
      </c>
      <c r="T50" s="9">
        <v>4998.8999999999996</v>
      </c>
      <c r="U50">
        <f t="shared" si="8"/>
        <v>2.1922481753349135</v>
      </c>
      <c r="V50" s="8">
        <v>4015.6</v>
      </c>
      <c r="W50" s="9">
        <v>2</v>
      </c>
      <c r="X50" s="4">
        <f t="shared" si="9"/>
        <v>200780</v>
      </c>
      <c r="Y50" s="9">
        <v>4147.3</v>
      </c>
      <c r="Z50">
        <f t="shared" si="10"/>
        <v>2.0655941826875188</v>
      </c>
      <c r="AA50" s="8">
        <v>8767.7000000000007</v>
      </c>
      <c r="AB50" s="10">
        <v>4</v>
      </c>
      <c r="AC50" s="4">
        <f t="shared" si="11"/>
        <v>219192.50000000003</v>
      </c>
      <c r="AD50" s="8">
        <v>2934.5</v>
      </c>
      <c r="AE50" s="4">
        <f t="shared" si="12"/>
        <v>1.3387775585387274</v>
      </c>
      <c r="AF50" s="8">
        <v>10481.5</v>
      </c>
      <c r="AG50" s="11">
        <v>3.5</v>
      </c>
      <c r="AH50" s="4">
        <f t="shared" si="13"/>
        <v>299471.42857142858</v>
      </c>
      <c r="AI50" s="8">
        <v>4163</v>
      </c>
      <c r="AJ50" s="4">
        <f t="shared" si="14"/>
        <v>1.3901159185231122</v>
      </c>
      <c r="AK50" s="8">
        <v>19553.7</v>
      </c>
      <c r="AL50" s="12">
        <v>6.4</v>
      </c>
      <c r="AM50">
        <f t="shared" si="36"/>
        <v>305526.5625</v>
      </c>
      <c r="AN50" s="8">
        <v>3940.8</v>
      </c>
      <c r="AO50" s="4">
        <f t="shared" si="15"/>
        <v>1.2898387517451941</v>
      </c>
      <c r="AP50" s="8">
        <v>15911</v>
      </c>
      <c r="AQ50" s="12">
        <v>4.8</v>
      </c>
      <c r="AR50" s="4">
        <f t="shared" si="16"/>
        <v>331479.16666666669</v>
      </c>
      <c r="AS50" s="8">
        <v>4928.5</v>
      </c>
      <c r="AT50" s="4">
        <f t="shared" si="17"/>
        <v>1.4868204386902142</v>
      </c>
      <c r="AU50" s="8">
        <v>43005.599999999999</v>
      </c>
      <c r="AV50" s="12">
        <v>11.2</v>
      </c>
      <c r="AW50">
        <f t="shared" si="18"/>
        <v>383978.57142857142</v>
      </c>
      <c r="AX50" s="8">
        <v>8369.5</v>
      </c>
      <c r="AY50" s="4">
        <f t="shared" si="19"/>
        <v>2.1796789255352791</v>
      </c>
      <c r="AZ50" s="9">
        <v>17309.3</v>
      </c>
      <c r="BA50" s="10">
        <v>4</v>
      </c>
      <c r="BB50">
        <f t="shared" si="20"/>
        <v>432732.5</v>
      </c>
      <c r="BC50" s="21">
        <v>6044.7</v>
      </c>
      <c r="BD50" s="4">
        <f t="shared" si="21"/>
        <v>1.3968675798559156</v>
      </c>
      <c r="BE50" s="9">
        <v>85165.3</v>
      </c>
      <c r="BF50" s="9">
        <v>16.3</v>
      </c>
      <c r="BG50">
        <f t="shared" si="22"/>
        <v>522486.50306748471</v>
      </c>
      <c r="BH50" s="8">
        <v>5555.1</v>
      </c>
      <c r="BI50" s="4">
        <f t="shared" si="23"/>
        <v>1.0632044976064194</v>
      </c>
      <c r="BJ50" s="9">
        <v>57346.6</v>
      </c>
      <c r="BK50" s="10">
        <v>10.8</v>
      </c>
      <c r="BL50">
        <f t="shared" si="24"/>
        <v>530987.03703703696</v>
      </c>
      <c r="BM50" s="36">
        <v>6550.7547999999997</v>
      </c>
      <c r="BN50" s="4">
        <f t="shared" si="25"/>
        <v>1.2336939215228107</v>
      </c>
      <c r="BO50" s="9">
        <v>80158.5</v>
      </c>
      <c r="BP50" s="10">
        <v>12.6</v>
      </c>
      <c r="BQ50">
        <f t="shared" si="26"/>
        <v>636178.57142857148</v>
      </c>
      <c r="BR50" s="36">
        <v>9316.6545999999998</v>
      </c>
      <c r="BS50" s="4">
        <f t="shared" si="27"/>
        <v>1.4644716151125581</v>
      </c>
      <c r="BT50" s="21">
        <v>74298.399999999994</v>
      </c>
      <c r="BU50" s="10">
        <v>10.4</v>
      </c>
      <c r="BV50">
        <f t="shared" si="28"/>
        <v>714407.69230769225</v>
      </c>
      <c r="BW50" s="2"/>
      <c r="BX50" s="42">
        <v>0.7</v>
      </c>
      <c r="BY50" s="32">
        <v>63741.175900000002</v>
      </c>
      <c r="BZ50" s="40">
        <v>10.376337930633778</v>
      </c>
      <c r="CA50">
        <f t="shared" si="29"/>
        <v>614293.56220000004</v>
      </c>
      <c r="CB50" s="36">
        <v>5350.5555000000004</v>
      </c>
      <c r="CC50" s="4">
        <f t="shared" si="30"/>
        <v>0.87100953505646239</v>
      </c>
    </row>
    <row r="51" spans="1:81" x14ac:dyDescent="0.25">
      <c r="A51" t="s">
        <v>49</v>
      </c>
      <c r="B51" s="8">
        <v>3106.7</v>
      </c>
      <c r="C51" s="9">
        <v>5.8</v>
      </c>
      <c r="D51" s="4">
        <f t="shared" si="33"/>
        <v>53563.793103448275</v>
      </c>
      <c r="E51" s="9">
        <v>1239619</v>
      </c>
      <c r="F51">
        <f t="shared" si="34"/>
        <v>2314.285318827051</v>
      </c>
      <c r="G51" s="8">
        <v>2926.6</v>
      </c>
      <c r="H51" s="9">
        <v>3.5</v>
      </c>
      <c r="I51">
        <f t="shared" si="4"/>
        <v>83617.142857142855</v>
      </c>
      <c r="J51" s="8">
        <v>1290405</v>
      </c>
      <c r="K51" s="4">
        <f t="shared" si="35"/>
        <v>1543.2301988655779</v>
      </c>
      <c r="L51" s="8">
        <v>6640.6</v>
      </c>
      <c r="M51" s="9">
        <v>8.4</v>
      </c>
      <c r="N51" s="4">
        <f t="shared" si="5"/>
        <v>79054.761904761908</v>
      </c>
      <c r="O51" s="9">
        <v>2518423</v>
      </c>
      <c r="P51" s="4">
        <f t="shared" si="6"/>
        <v>3185.6689455772066</v>
      </c>
      <c r="Q51" s="9">
        <v>8408.7000000000007</v>
      </c>
      <c r="R51" s="9">
        <v>8</v>
      </c>
      <c r="S51" s="4">
        <f t="shared" si="7"/>
        <v>105108.75000000001</v>
      </c>
      <c r="T51" s="9">
        <v>3257.6</v>
      </c>
      <c r="U51">
        <f t="shared" si="8"/>
        <v>3.0992662361601671</v>
      </c>
      <c r="V51" s="8">
        <v>8028.9</v>
      </c>
      <c r="W51" s="9">
        <v>9.1999999999999993</v>
      </c>
      <c r="X51" s="4">
        <f t="shared" si="9"/>
        <v>87270.652173913055</v>
      </c>
      <c r="Y51" s="9">
        <v>3198</v>
      </c>
      <c r="Z51">
        <f t="shared" si="10"/>
        <v>3.6644621305533756</v>
      </c>
      <c r="AA51" s="8">
        <v>9175.6</v>
      </c>
      <c r="AB51" s="10">
        <v>8.9</v>
      </c>
      <c r="AC51" s="4">
        <f t="shared" si="11"/>
        <v>103096.62921348315</v>
      </c>
      <c r="AD51" s="8">
        <v>1834.4</v>
      </c>
      <c r="AE51" s="4">
        <f t="shared" si="12"/>
        <v>1.7793016260517023</v>
      </c>
      <c r="AF51" s="8">
        <v>7847.2</v>
      </c>
      <c r="AG51" s="11">
        <v>6.1</v>
      </c>
      <c r="AH51" s="4">
        <f t="shared" si="13"/>
        <v>128642.62295081967</v>
      </c>
      <c r="AI51" s="8">
        <v>2187.6</v>
      </c>
      <c r="AJ51" s="4">
        <f t="shared" si="14"/>
        <v>1.7005250280354778</v>
      </c>
      <c r="AK51" s="8">
        <v>32243.599999999999</v>
      </c>
      <c r="AL51" s="12">
        <v>22.6</v>
      </c>
      <c r="AM51">
        <f t="shared" si="36"/>
        <v>142670.79646017699</v>
      </c>
      <c r="AN51" s="8">
        <v>5713</v>
      </c>
      <c r="AO51" s="4">
        <f t="shared" si="15"/>
        <v>4.0043233385850217</v>
      </c>
      <c r="AP51" s="8">
        <v>16134.3</v>
      </c>
      <c r="AQ51" s="12">
        <v>12</v>
      </c>
      <c r="AR51" s="4">
        <f t="shared" si="16"/>
        <v>134452.5</v>
      </c>
      <c r="AS51" s="8">
        <v>5337.7</v>
      </c>
      <c r="AT51" s="4">
        <f t="shared" si="17"/>
        <v>3.9699522136070358</v>
      </c>
      <c r="AU51" s="8">
        <v>16739.599999999999</v>
      </c>
      <c r="AV51" s="12">
        <v>12.1</v>
      </c>
      <c r="AW51">
        <f t="shared" si="18"/>
        <v>138343.80165289255</v>
      </c>
      <c r="AX51" s="8">
        <v>4946.7</v>
      </c>
      <c r="AY51" s="4">
        <f t="shared" si="19"/>
        <v>3.5756571244235231</v>
      </c>
      <c r="AZ51" s="9">
        <v>17835</v>
      </c>
      <c r="BA51" s="10">
        <v>12.2</v>
      </c>
      <c r="BB51">
        <f t="shared" si="20"/>
        <v>146188.52459016393</v>
      </c>
      <c r="BC51" s="21">
        <v>5681.2</v>
      </c>
      <c r="BD51" s="4">
        <f t="shared" si="21"/>
        <v>3.8862147462853942</v>
      </c>
      <c r="BE51" s="9">
        <v>23128.3</v>
      </c>
      <c r="BF51" s="9">
        <v>13.1</v>
      </c>
      <c r="BG51">
        <f t="shared" si="22"/>
        <v>176551.90839694656</v>
      </c>
      <c r="BH51" s="8">
        <v>4161.3999999999996</v>
      </c>
      <c r="BI51" s="4">
        <f t="shared" si="23"/>
        <v>2.3570405088138773</v>
      </c>
      <c r="BJ51" s="9">
        <v>23011.4</v>
      </c>
      <c r="BK51" s="10">
        <v>12.2</v>
      </c>
      <c r="BL51">
        <f t="shared" si="24"/>
        <v>188618.03278688525</v>
      </c>
      <c r="BM51" s="36">
        <v>4750.1274000000003</v>
      </c>
      <c r="BN51" s="4">
        <f t="shared" si="25"/>
        <v>2.5183845520046586</v>
      </c>
      <c r="BO51" s="9">
        <v>23322.9</v>
      </c>
      <c r="BP51" s="10">
        <v>11.1</v>
      </c>
      <c r="BQ51">
        <f t="shared" si="26"/>
        <v>210116.21621621624</v>
      </c>
      <c r="BR51" s="36">
        <v>6139.9587000000001</v>
      </c>
      <c r="BS51" s="4">
        <f t="shared" si="27"/>
        <v>2.9221726959340391</v>
      </c>
      <c r="BT51" s="21">
        <v>24761.5</v>
      </c>
      <c r="BU51" s="10">
        <v>9.3000000000000007</v>
      </c>
      <c r="BV51">
        <f t="shared" si="28"/>
        <v>266252.68817204301</v>
      </c>
      <c r="BW51" s="2"/>
      <c r="BX51" s="42">
        <v>3.5</v>
      </c>
      <c r="BY51" s="32">
        <v>23684.295100000003</v>
      </c>
      <c r="BZ51" s="40">
        <v>9.2652091698849919</v>
      </c>
      <c r="CA51">
        <f t="shared" si="29"/>
        <v>255626.12420000005</v>
      </c>
      <c r="CB51" s="36">
        <v>4925.5492000000004</v>
      </c>
      <c r="CC51" s="4">
        <f t="shared" si="30"/>
        <v>1.9268567386900901</v>
      </c>
    </row>
    <row r="52" spans="1:81" x14ac:dyDescent="0.25">
      <c r="A52" t="s">
        <v>50</v>
      </c>
      <c r="B52" s="8">
        <v>25169</v>
      </c>
      <c r="C52" s="9">
        <v>8</v>
      </c>
      <c r="D52" s="4">
        <f t="shared" si="33"/>
        <v>314612.5</v>
      </c>
      <c r="E52" s="9">
        <v>4679410</v>
      </c>
      <c r="F52">
        <f t="shared" si="34"/>
        <v>1487.3566689181137</v>
      </c>
      <c r="G52" s="8">
        <v>66967.100000000006</v>
      </c>
      <c r="H52" s="9">
        <v>20.8</v>
      </c>
      <c r="I52">
        <f t="shared" si="4"/>
        <v>321957.21153846156</v>
      </c>
      <c r="J52" s="8">
        <v>8061432</v>
      </c>
      <c r="K52" s="4">
        <f t="shared" si="35"/>
        <v>2503.8830351023112</v>
      </c>
      <c r="L52" s="8">
        <v>56081.2</v>
      </c>
      <c r="M52" s="9">
        <v>12.4</v>
      </c>
      <c r="N52" s="4">
        <f t="shared" si="5"/>
        <v>452267.74193548382</v>
      </c>
      <c r="O52" s="9">
        <v>9621017</v>
      </c>
      <c r="P52" s="4">
        <f t="shared" si="6"/>
        <v>2127.283488941036</v>
      </c>
      <c r="Q52" s="9">
        <v>64715.6</v>
      </c>
      <c r="R52" s="9">
        <v>10.8</v>
      </c>
      <c r="S52" s="4">
        <f t="shared" si="7"/>
        <v>599218.51851851842</v>
      </c>
      <c r="T52" s="9">
        <v>12634.6</v>
      </c>
      <c r="U52">
        <f t="shared" si="8"/>
        <v>2.1085129396930573</v>
      </c>
      <c r="V52" s="8">
        <v>21739.9</v>
      </c>
      <c r="W52" s="9">
        <v>4.2</v>
      </c>
      <c r="X52" s="4">
        <f t="shared" si="9"/>
        <v>517616.66666666669</v>
      </c>
      <c r="Y52" s="9">
        <v>9773.1</v>
      </c>
      <c r="Z52">
        <f t="shared" si="10"/>
        <v>1.8880960813987184</v>
      </c>
      <c r="AA52" s="8">
        <v>65316.7</v>
      </c>
      <c r="AB52" s="10">
        <v>10.9</v>
      </c>
      <c r="AC52" s="4">
        <f t="shared" si="11"/>
        <v>599235.77981651365</v>
      </c>
      <c r="AD52" s="8">
        <v>9552.9</v>
      </c>
      <c r="AE52" s="4">
        <f t="shared" si="12"/>
        <v>1.5941805082008127</v>
      </c>
      <c r="AF52" s="8">
        <v>77356.2</v>
      </c>
      <c r="AG52" s="11">
        <v>7.7</v>
      </c>
      <c r="AH52" s="4">
        <f t="shared" si="13"/>
        <v>1004625.9740259741</v>
      </c>
      <c r="AI52" s="8">
        <v>17033.5</v>
      </c>
      <c r="AJ52" s="4">
        <f t="shared" si="14"/>
        <v>1.6955066303670552</v>
      </c>
      <c r="AK52" s="8">
        <v>83326.2</v>
      </c>
      <c r="AL52" s="12">
        <v>7.7</v>
      </c>
      <c r="AM52">
        <f t="shared" si="36"/>
        <v>1082158.4415584416</v>
      </c>
      <c r="AN52" s="8">
        <v>22762</v>
      </c>
      <c r="AO52" s="4">
        <f t="shared" si="15"/>
        <v>2.1033888500855675</v>
      </c>
      <c r="AP52" s="8">
        <v>186904.1</v>
      </c>
      <c r="AQ52" s="12">
        <v>16.7</v>
      </c>
      <c r="AR52" s="4">
        <f t="shared" si="16"/>
        <v>1119186.2275449103</v>
      </c>
      <c r="AS52" s="8">
        <v>37873.699999999997</v>
      </c>
      <c r="AT52" s="4">
        <f t="shared" si="17"/>
        <v>3.3840391409284223</v>
      </c>
      <c r="AU52" s="8">
        <v>109015.4</v>
      </c>
      <c r="AV52" s="12">
        <v>9.4</v>
      </c>
      <c r="AW52">
        <f t="shared" si="18"/>
        <v>1159738.2978723403</v>
      </c>
      <c r="AX52" s="8">
        <v>58731.1</v>
      </c>
      <c r="AY52" s="4">
        <f t="shared" si="19"/>
        <v>5.0641683652034493</v>
      </c>
      <c r="AZ52" s="9">
        <v>96344.7</v>
      </c>
      <c r="BA52" s="10">
        <v>7.7</v>
      </c>
      <c r="BB52">
        <f t="shared" si="20"/>
        <v>1251229.8701298703</v>
      </c>
      <c r="BC52" s="21">
        <v>45924.5</v>
      </c>
      <c r="BD52" s="4">
        <f t="shared" si="21"/>
        <v>3.670348758156909</v>
      </c>
      <c r="BE52" s="9">
        <v>193848</v>
      </c>
      <c r="BF52" s="9">
        <v>15.5</v>
      </c>
      <c r="BG52">
        <f t="shared" si="22"/>
        <v>1250632.2580645161</v>
      </c>
      <c r="BH52" s="8">
        <v>35657.300000000003</v>
      </c>
      <c r="BI52" s="4">
        <f t="shared" si="23"/>
        <v>2.8511418740456445</v>
      </c>
      <c r="BJ52" s="9">
        <v>221164.2</v>
      </c>
      <c r="BK52" s="10">
        <v>16</v>
      </c>
      <c r="BL52">
        <f t="shared" si="24"/>
        <v>1382276.25</v>
      </c>
      <c r="BM52" s="36">
        <v>33459.7768</v>
      </c>
      <c r="BN52" s="4">
        <f t="shared" si="25"/>
        <v>2.4206287853097379</v>
      </c>
      <c r="BO52" s="9">
        <v>313076.3</v>
      </c>
      <c r="BP52" s="10">
        <v>18.399999999999999</v>
      </c>
      <c r="BQ52">
        <f t="shared" si="26"/>
        <v>1701501.6304347827</v>
      </c>
      <c r="BR52" s="36">
        <v>36915.164499999999</v>
      </c>
      <c r="BS52" s="4">
        <f t="shared" si="27"/>
        <v>2.1695638628666556</v>
      </c>
      <c r="BT52" s="21">
        <v>223397.9</v>
      </c>
      <c r="BU52" s="10">
        <v>12</v>
      </c>
      <c r="BV52">
        <f t="shared" si="28"/>
        <v>1861649.1666666665</v>
      </c>
      <c r="BW52" s="2"/>
      <c r="BX52" s="42">
        <v>1.5</v>
      </c>
      <c r="BY52" s="32">
        <v>190629.67740000002</v>
      </c>
      <c r="BZ52" s="40">
        <v>11.043460082413228</v>
      </c>
      <c r="CA52">
        <f t="shared" si="29"/>
        <v>1726177.0855999999</v>
      </c>
      <c r="CB52" s="36">
        <v>36442.478999999999</v>
      </c>
      <c r="CC52" s="4">
        <f t="shared" si="30"/>
        <v>2.1111668845570963</v>
      </c>
    </row>
    <row r="53" spans="1:81" x14ac:dyDescent="0.25">
      <c r="A53" t="s">
        <v>51</v>
      </c>
      <c r="B53" s="8">
        <v>314.89999999999998</v>
      </c>
      <c r="C53" s="9">
        <v>0.6</v>
      </c>
      <c r="D53" s="4">
        <f t="shared" si="33"/>
        <v>52483.333333333336</v>
      </c>
      <c r="E53" s="9">
        <v>479352</v>
      </c>
      <c r="F53">
        <f t="shared" si="34"/>
        <v>913.34137821530635</v>
      </c>
      <c r="G53" s="8">
        <v>2066.6</v>
      </c>
      <c r="H53" s="9">
        <v>2.2000000000000002</v>
      </c>
      <c r="I53">
        <f t="shared" si="4"/>
        <v>93936.363636363632</v>
      </c>
      <c r="J53" s="8">
        <v>762591</v>
      </c>
      <c r="K53" s="4">
        <f t="shared" si="35"/>
        <v>811.81660698732219</v>
      </c>
      <c r="L53" s="8">
        <v>5920</v>
      </c>
      <c r="M53" s="9">
        <v>6.5</v>
      </c>
      <c r="N53" s="4">
        <f t="shared" si="5"/>
        <v>91076.923076923078</v>
      </c>
      <c r="O53" s="9">
        <v>914796</v>
      </c>
      <c r="P53" s="4">
        <f t="shared" si="6"/>
        <v>1004.4212837837838</v>
      </c>
      <c r="Q53" s="9">
        <v>9629.7999999999993</v>
      </c>
      <c r="R53" s="9">
        <v>8.6</v>
      </c>
      <c r="S53" s="4">
        <f t="shared" si="7"/>
        <v>111974.41860465117</v>
      </c>
      <c r="T53" s="9">
        <v>3114.7</v>
      </c>
      <c r="U53">
        <f t="shared" si="8"/>
        <v>2.7816174790753698</v>
      </c>
      <c r="V53" s="8">
        <v>5923.2</v>
      </c>
      <c r="W53" s="9">
        <v>6</v>
      </c>
      <c r="X53" s="4">
        <f t="shared" si="9"/>
        <v>98720</v>
      </c>
      <c r="Y53" s="9">
        <v>1143.8</v>
      </c>
      <c r="Z53">
        <f t="shared" si="10"/>
        <v>1.1586304700162076</v>
      </c>
      <c r="AA53" s="8">
        <v>7295.6</v>
      </c>
      <c r="AB53" s="10">
        <v>6.6</v>
      </c>
      <c r="AC53" s="4">
        <f t="shared" si="11"/>
        <v>110539.39393939395</v>
      </c>
      <c r="AD53" s="8">
        <v>877.5</v>
      </c>
      <c r="AE53" s="4">
        <f t="shared" si="12"/>
        <v>0.79383464005702065</v>
      </c>
      <c r="AF53" s="8">
        <v>9646.6</v>
      </c>
      <c r="AG53" s="11">
        <v>7.2</v>
      </c>
      <c r="AH53" s="4">
        <f t="shared" si="13"/>
        <v>133980.55555555556</v>
      </c>
      <c r="AI53" s="8">
        <v>1983</v>
      </c>
      <c r="AJ53" s="4">
        <f t="shared" si="14"/>
        <v>1.480065515311094</v>
      </c>
      <c r="AK53" s="8">
        <v>10126</v>
      </c>
      <c r="AL53" s="12">
        <v>7.2</v>
      </c>
      <c r="AM53">
        <f t="shared" si="36"/>
        <v>140638.88888888891</v>
      </c>
      <c r="AN53" s="8">
        <v>3090.5</v>
      </c>
      <c r="AO53" s="4">
        <f t="shared" si="15"/>
        <v>2.1974718546316407</v>
      </c>
      <c r="AP53" s="8">
        <v>9811.7000000000007</v>
      </c>
      <c r="AQ53" s="12">
        <v>6.8</v>
      </c>
      <c r="AR53" s="4">
        <f t="shared" si="16"/>
        <v>144289.70588235295</v>
      </c>
      <c r="AS53" s="8">
        <v>3107.7</v>
      </c>
      <c r="AT53" s="4">
        <f t="shared" si="17"/>
        <v>2.1537919015053455</v>
      </c>
      <c r="AU53" s="8">
        <v>11346</v>
      </c>
      <c r="AV53" s="12">
        <v>7</v>
      </c>
      <c r="AW53">
        <f t="shared" si="18"/>
        <v>162085.71428571429</v>
      </c>
      <c r="AX53" s="8">
        <v>2777.5</v>
      </c>
      <c r="AY53" s="4">
        <f t="shared" si="19"/>
        <v>1.7135995064339853</v>
      </c>
      <c r="AZ53" s="9">
        <v>8952.4</v>
      </c>
      <c r="BA53" s="10">
        <v>4.8</v>
      </c>
      <c r="BB53">
        <f t="shared" si="20"/>
        <v>186508.33333333331</v>
      </c>
      <c r="BC53" s="21">
        <v>3468.3</v>
      </c>
      <c r="BD53" s="4">
        <f t="shared" si="21"/>
        <v>1.8595951923506548</v>
      </c>
      <c r="BE53" s="9">
        <v>13883.8</v>
      </c>
      <c r="BF53" s="9">
        <v>6.4</v>
      </c>
      <c r="BG53">
        <f t="shared" si="22"/>
        <v>216934.37499999994</v>
      </c>
      <c r="BH53" s="8">
        <v>3132.4</v>
      </c>
      <c r="BI53" s="4">
        <f t="shared" si="23"/>
        <v>1.4439389792419948</v>
      </c>
      <c r="BJ53" s="9">
        <v>13526.9</v>
      </c>
      <c r="BK53" s="10">
        <v>6.2</v>
      </c>
      <c r="BL53">
        <f t="shared" si="24"/>
        <v>218175.80645161288</v>
      </c>
      <c r="BM53" s="36">
        <v>6699.5529999999999</v>
      </c>
      <c r="BN53" s="4">
        <f t="shared" si="25"/>
        <v>3.0707130680348049</v>
      </c>
      <c r="BO53" s="9">
        <v>22501.200000000001</v>
      </c>
      <c r="BP53" s="10">
        <v>8.9</v>
      </c>
      <c r="BQ53">
        <f t="shared" si="26"/>
        <v>252822.47191011233</v>
      </c>
      <c r="BR53" s="36">
        <v>4932.3202999999994</v>
      </c>
      <c r="BS53" s="4">
        <f t="shared" si="27"/>
        <v>1.9509026483032015</v>
      </c>
      <c r="BT53" s="21">
        <v>29363.7</v>
      </c>
      <c r="BU53" s="10">
        <v>9.8000000000000007</v>
      </c>
      <c r="BV53">
        <f t="shared" si="28"/>
        <v>299629.59183673467</v>
      </c>
      <c r="BW53" s="2"/>
      <c r="BX53" s="42">
        <v>2.1</v>
      </c>
      <c r="BY53" s="32">
        <v>27168.3616</v>
      </c>
      <c r="BZ53" s="40">
        <v>8.265842389709368</v>
      </c>
      <c r="CA53">
        <f t="shared" si="29"/>
        <v>328682.30869999999</v>
      </c>
      <c r="CB53" s="36">
        <v>6913.9777999999997</v>
      </c>
      <c r="CC53" s="4">
        <f t="shared" si="30"/>
        <v>2.1035442483491353</v>
      </c>
    </row>
    <row r="54" spans="1:81" x14ac:dyDescent="0.25">
      <c r="A54" t="s">
        <v>52</v>
      </c>
      <c r="B54" s="8">
        <v>6135.9</v>
      </c>
      <c r="C54" s="9">
        <v>1.9</v>
      </c>
      <c r="D54" s="4">
        <f t="shared" si="33"/>
        <v>322942.10526315786</v>
      </c>
      <c r="E54" s="9">
        <v>4602974</v>
      </c>
      <c r="F54">
        <f t="shared" si="34"/>
        <v>1425.3248260238922</v>
      </c>
      <c r="G54" s="8">
        <v>22594</v>
      </c>
      <c r="H54" s="9">
        <v>5.6</v>
      </c>
      <c r="I54">
        <f t="shared" si="4"/>
        <v>403464.28571428574</v>
      </c>
      <c r="J54" s="8">
        <v>5860106</v>
      </c>
      <c r="K54" s="4">
        <f t="shared" si="35"/>
        <v>1452.4472691865096</v>
      </c>
      <c r="L54" s="8">
        <v>16450.5</v>
      </c>
      <c r="M54" s="9">
        <v>2.4</v>
      </c>
      <c r="N54" s="4">
        <f t="shared" si="5"/>
        <v>685437.5</v>
      </c>
      <c r="O54" s="9">
        <v>8357757</v>
      </c>
      <c r="P54" s="4">
        <f t="shared" si="6"/>
        <v>1219.3317406765752</v>
      </c>
      <c r="Q54" s="9">
        <v>22479.7</v>
      </c>
      <c r="R54" s="9">
        <v>3.5</v>
      </c>
      <c r="S54" s="4">
        <f t="shared" si="7"/>
        <v>642277.14285714296</v>
      </c>
      <c r="T54" s="9">
        <v>9745.2999999999993</v>
      </c>
      <c r="U54">
        <f t="shared" si="8"/>
        <v>1.5173045013945912</v>
      </c>
      <c r="V54" s="8">
        <v>37295.5</v>
      </c>
      <c r="W54" s="9">
        <v>6.5</v>
      </c>
      <c r="X54" s="4">
        <f t="shared" si="9"/>
        <v>573776.92307692301</v>
      </c>
      <c r="Y54" s="9">
        <v>23805</v>
      </c>
      <c r="Z54">
        <f t="shared" si="10"/>
        <v>4.1488249252590803</v>
      </c>
      <c r="AA54" s="8">
        <v>76467.5</v>
      </c>
      <c r="AB54" s="10">
        <v>10.199999999999999</v>
      </c>
      <c r="AC54" s="4">
        <f t="shared" si="11"/>
        <v>749681.37254901964</v>
      </c>
      <c r="AD54" s="8">
        <v>18750.3</v>
      </c>
      <c r="AE54" s="4">
        <f t="shared" si="12"/>
        <v>2.5011025599110734</v>
      </c>
      <c r="AF54" s="8">
        <v>153221.79999999999</v>
      </c>
      <c r="AG54" s="11">
        <v>17.100000000000001</v>
      </c>
      <c r="AH54" s="4">
        <f t="shared" si="13"/>
        <v>896033.91812865483</v>
      </c>
      <c r="AI54" s="8">
        <v>30333.3</v>
      </c>
      <c r="AJ54" s="4">
        <f t="shared" si="14"/>
        <v>3.3852847962887789</v>
      </c>
      <c r="AK54" s="8">
        <v>152018.4</v>
      </c>
      <c r="AL54" s="12">
        <v>17</v>
      </c>
      <c r="AM54">
        <f t="shared" si="36"/>
        <v>894225.8823529412</v>
      </c>
      <c r="AN54" s="8">
        <v>59006.8</v>
      </c>
      <c r="AO54" s="4">
        <f t="shared" si="15"/>
        <v>6.5986459533845911</v>
      </c>
      <c r="AP54" s="8">
        <v>172670.5</v>
      </c>
      <c r="AQ54" s="12">
        <v>18.100000000000001</v>
      </c>
      <c r="AR54" s="4">
        <f t="shared" si="16"/>
        <v>953980.66298342531</v>
      </c>
      <c r="AS54" s="8">
        <v>60848</v>
      </c>
      <c r="AT54" s="4">
        <f t="shared" si="17"/>
        <v>6.3783263498976384</v>
      </c>
      <c r="AU54" s="8">
        <v>215681.7</v>
      </c>
      <c r="AV54" s="12">
        <v>21.3</v>
      </c>
      <c r="AW54">
        <f t="shared" si="18"/>
        <v>1012590.1408450705</v>
      </c>
      <c r="AX54" s="8">
        <v>45827.4</v>
      </c>
      <c r="AY54" s="4">
        <f t="shared" si="19"/>
        <v>4.525760043619834</v>
      </c>
      <c r="AZ54" s="9">
        <v>185763.7</v>
      </c>
      <c r="BA54" s="10">
        <v>15.8</v>
      </c>
      <c r="BB54">
        <f t="shared" si="20"/>
        <v>1175719.6202531646</v>
      </c>
      <c r="BC54" s="21">
        <v>55695.4</v>
      </c>
      <c r="BD54" s="4">
        <f t="shared" si="21"/>
        <v>4.7371328198135592</v>
      </c>
      <c r="BE54" s="9">
        <v>223517.3</v>
      </c>
      <c r="BF54" s="9">
        <v>16.5</v>
      </c>
      <c r="BG54">
        <f t="shared" si="22"/>
        <v>1354650.303030303</v>
      </c>
      <c r="BH54" s="8">
        <v>53418.5</v>
      </c>
      <c r="BI54" s="4">
        <f t="shared" si="23"/>
        <v>3.9433424168956948</v>
      </c>
      <c r="BJ54" s="9">
        <v>218802.1</v>
      </c>
      <c r="BK54" s="10">
        <v>15.4</v>
      </c>
      <c r="BL54">
        <f t="shared" si="24"/>
        <v>1420792.857142857</v>
      </c>
      <c r="BM54" s="36">
        <v>94979.165999999997</v>
      </c>
      <c r="BN54" s="4">
        <f t="shared" si="25"/>
        <v>6.6849411244224806</v>
      </c>
      <c r="BO54" s="9">
        <v>246042.6</v>
      </c>
      <c r="BP54" s="10">
        <v>15.7</v>
      </c>
      <c r="BQ54">
        <f t="shared" si="26"/>
        <v>1567150.3184713377</v>
      </c>
      <c r="BR54" s="36">
        <v>95618.095300000001</v>
      </c>
      <c r="BS54" s="4">
        <f t="shared" si="27"/>
        <v>6.1013990919052228</v>
      </c>
      <c r="BT54" s="21">
        <v>266444.5</v>
      </c>
      <c r="BU54" s="10">
        <v>13.7</v>
      </c>
      <c r="BV54">
        <f t="shared" si="28"/>
        <v>1944850.3649635036</v>
      </c>
      <c r="BW54" s="2"/>
      <c r="BX54" s="42">
        <v>8</v>
      </c>
      <c r="BY54" s="32">
        <v>276159.8651</v>
      </c>
      <c r="BZ54" s="40">
        <v>14.586626241320817</v>
      </c>
      <c r="CA54">
        <f t="shared" si="29"/>
        <v>1893240.1538999998</v>
      </c>
      <c r="CB54" s="36">
        <v>181801.8806</v>
      </c>
      <c r="CC54" s="4">
        <f t="shared" si="30"/>
        <v>9.6026845947406798</v>
      </c>
    </row>
    <row r="55" spans="1:81" x14ac:dyDescent="0.25">
      <c r="A55" t="s">
        <v>53</v>
      </c>
      <c r="B55" s="8">
        <v>911.6</v>
      </c>
      <c r="C55" s="9">
        <v>0.4</v>
      </c>
      <c r="D55" s="4">
        <f t="shared" si="33"/>
        <v>227900</v>
      </c>
      <c r="E55" s="9">
        <v>1620499</v>
      </c>
      <c r="F55">
        <f t="shared" si="34"/>
        <v>711.0570425625275</v>
      </c>
      <c r="G55" s="8">
        <v>2256.9</v>
      </c>
      <c r="H55" s="9">
        <v>0.7</v>
      </c>
      <c r="I55">
        <f t="shared" si="4"/>
        <v>322414.28571428574</v>
      </c>
      <c r="J55" s="8">
        <v>736119</v>
      </c>
      <c r="K55" s="4">
        <f t="shared" si="35"/>
        <v>228.31463511896848</v>
      </c>
      <c r="L55" s="8">
        <v>7820</v>
      </c>
      <c r="M55" s="9">
        <v>2.2000000000000002</v>
      </c>
      <c r="N55" s="4">
        <f t="shared" si="5"/>
        <v>355454.54545454541</v>
      </c>
      <c r="O55" s="9">
        <v>2498818</v>
      </c>
      <c r="P55" s="4">
        <f t="shared" si="6"/>
        <v>702.99227621483385</v>
      </c>
      <c r="Q55" s="9">
        <v>10923.6</v>
      </c>
      <c r="R55" s="9">
        <v>2.8</v>
      </c>
      <c r="S55" s="4">
        <f t="shared" si="7"/>
        <v>390128.57142857148</v>
      </c>
      <c r="T55" s="9">
        <v>6656.7</v>
      </c>
      <c r="U55">
        <f t="shared" si="8"/>
        <v>1.7062836427551353</v>
      </c>
      <c r="V55" s="8">
        <v>6914.2</v>
      </c>
      <c r="W55" s="9">
        <v>1.9</v>
      </c>
      <c r="X55" s="4">
        <f t="shared" si="9"/>
        <v>363905.26315789478</v>
      </c>
      <c r="Y55" s="9">
        <v>4132.6000000000004</v>
      </c>
      <c r="Z55">
        <f t="shared" si="10"/>
        <v>1.1356252350235745</v>
      </c>
      <c r="AA55" s="8">
        <v>11651.4</v>
      </c>
      <c r="AB55" s="10">
        <v>2.7</v>
      </c>
      <c r="AC55" s="4">
        <f t="shared" si="11"/>
        <v>431533.33333333331</v>
      </c>
      <c r="AD55" s="8">
        <v>6616.3</v>
      </c>
      <c r="AE55" s="4">
        <f t="shared" si="12"/>
        <v>1.5332071682372934</v>
      </c>
      <c r="AF55" s="8">
        <v>14230.1</v>
      </c>
      <c r="AG55" s="11">
        <v>2.6</v>
      </c>
      <c r="AH55" s="4">
        <f t="shared" si="13"/>
        <v>547311.5384615385</v>
      </c>
      <c r="AI55" s="8">
        <v>6063.4</v>
      </c>
      <c r="AJ55" s="4">
        <f t="shared" si="14"/>
        <v>1.1078516665378317</v>
      </c>
      <c r="AK55" s="8">
        <v>9244.6</v>
      </c>
      <c r="AL55" s="12">
        <v>1.6</v>
      </c>
      <c r="AM55">
        <f t="shared" si="36"/>
        <v>577787.5</v>
      </c>
      <c r="AN55" s="8">
        <v>5077.5</v>
      </c>
      <c r="AO55" s="4">
        <f t="shared" si="15"/>
        <v>0.87878328970425967</v>
      </c>
      <c r="AP55" s="8">
        <v>8870.2999999999993</v>
      </c>
      <c r="AQ55" s="12">
        <v>1.4</v>
      </c>
      <c r="AR55" s="4">
        <f t="shared" si="16"/>
        <v>633592.85714285716</v>
      </c>
      <c r="AS55" s="8">
        <v>4535.8</v>
      </c>
      <c r="AT55" s="4">
        <f t="shared" si="17"/>
        <v>0.71588559575211663</v>
      </c>
      <c r="AU55" s="8">
        <v>6888.9</v>
      </c>
      <c r="AV55" s="12">
        <v>1.1000000000000001</v>
      </c>
      <c r="AW55">
        <f t="shared" si="18"/>
        <v>626263.63636363635</v>
      </c>
      <c r="AX55" s="8">
        <v>5250.7</v>
      </c>
      <c r="AY55" s="4">
        <f t="shared" si="19"/>
        <v>0.83841687352117167</v>
      </c>
      <c r="AZ55" s="9">
        <v>14671.4</v>
      </c>
      <c r="BA55" s="10">
        <v>2.2000000000000002</v>
      </c>
      <c r="BB55">
        <f t="shared" si="20"/>
        <v>666881.81818181812</v>
      </c>
      <c r="BC55" s="21">
        <v>11137.6</v>
      </c>
      <c r="BD55" s="4">
        <f t="shared" si="21"/>
        <v>1.6701010128549423</v>
      </c>
      <c r="BE55" s="9">
        <v>25264.1</v>
      </c>
      <c r="BF55" s="9">
        <v>4</v>
      </c>
      <c r="BG55">
        <f t="shared" si="22"/>
        <v>631602.5</v>
      </c>
      <c r="BH55" s="8">
        <v>11808.5</v>
      </c>
      <c r="BI55" s="4">
        <f t="shared" si="23"/>
        <v>1.8696094458144166</v>
      </c>
      <c r="BJ55" s="9">
        <v>23250.7</v>
      </c>
      <c r="BK55" s="10">
        <v>3.2</v>
      </c>
      <c r="BL55">
        <f t="shared" si="24"/>
        <v>726584.375</v>
      </c>
      <c r="BM55" s="36">
        <v>23093.1433</v>
      </c>
      <c r="BN55" s="4">
        <f t="shared" si="25"/>
        <v>3.1783154296429785</v>
      </c>
      <c r="BO55" s="9">
        <v>28408.6</v>
      </c>
      <c r="BP55" s="10">
        <v>3.2</v>
      </c>
      <c r="BQ55">
        <f t="shared" si="26"/>
        <v>887768.74999999977</v>
      </c>
      <c r="BR55" s="36">
        <v>17131.174199999998</v>
      </c>
      <c r="BS55" s="4">
        <f t="shared" si="27"/>
        <v>1.9296888069105838</v>
      </c>
      <c r="BT55" s="21">
        <v>41663.699999999997</v>
      </c>
      <c r="BU55" s="10">
        <v>3.7</v>
      </c>
      <c r="BV55">
        <f t="shared" si="28"/>
        <v>1126045.9459459458</v>
      </c>
      <c r="BW55" s="2"/>
      <c r="BX55" s="42">
        <v>1.3</v>
      </c>
      <c r="BY55" s="32">
        <v>31172.625800000002</v>
      </c>
      <c r="BZ55" s="40">
        <v>3.4084626184912543</v>
      </c>
      <c r="CA55">
        <f t="shared" si="29"/>
        <v>914565.57660000015</v>
      </c>
      <c r="CB55" s="36">
        <v>11171.266</v>
      </c>
      <c r="CC55" s="4">
        <f t="shared" si="30"/>
        <v>1.2214833234299536</v>
      </c>
    </row>
    <row r="56" spans="1:81" x14ac:dyDescent="0.25">
      <c r="A56" t="s">
        <v>54</v>
      </c>
      <c r="B56" s="8">
        <v>946.8</v>
      </c>
      <c r="C56" s="9">
        <v>2.5</v>
      </c>
      <c r="D56" s="4">
        <f t="shared" si="33"/>
        <v>37872</v>
      </c>
      <c r="E56" s="9">
        <v>594049</v>
      </c>
      <c r="F56">
        <f t="shared" si="34"/>
        <v>1568.5704478242501</v>
      </c>
      <c r="G56" s="8">
        <v>2868.9</v>
      </c>
      <c r="H56" s="9">
        <v>6.1</v>
      </c>
      <c r="I56">
        <f t="shared" si="4"/>
        <v>47031.147540983613</v>
      </c>
      <c r="J56" s="8">
        <v>1455787</v>
      </c>
      <c r="K56" s="4">
        <f t="shared" si="35"/>
        <v>3095.3678064763494</v>
      </c>
      <c r="L56" s="8">
        <v>3405.1</v>
      </c>
      <c r="M56" s="9">
        <v>6</v>
      </c>
      <c r="N56" s="4">
        <f t="shared" si="5"/>
        <v>56751.666666666664</v>
      </c>
      <c r="O56" s="9">
        <v>917333</v>
      </c>
      <c r="P56" s="4">
        <f t="shared" si="6"/>
        <v>1616.3983436609794</v>
      </c>
      <c r="Q56" s="9">
        <v>3391.6</v>
      </c>
      <c r="R56" s="9">
        <v>5.2</v>
      </c>
      <c r="S56" s="4">
        <f t="shared" si="7"/>
        <v>65223.076923076915</v>
      </c>
      <c r="T56" s="9">
        <v>1509.5</v>
      </c>
      <c r="U56">
        <f t="shared" si="8"/>
        <v>2.3143649015214063</v>
      </c>
      <c r="V56" s="8">
        <v>3358.4</v>
      </c>
      <c r="W56" s="9">
        <v>5.2</v>
      </c>
      <c r="X56" s="4">
        <f t="shared" si="9"/>
        <v>64584.615384615383</v>
      </c>
      <c r="Y56" s="9">
        <v>696.2</v>
      </c>
      <c r="Z56">
        <f t="shared" si="10"/>
        <v>1.0779656979514056</v>
      </c>
      <c r="AA56" s="8">
        <v>3680.5</v>
      </c>
      <c r="AB56" s="10">
        <v>4.9000000000000004</v>
      </c>
      <c r="AC56" s="4">
        <f t="shared" si="11"/>
        <v>75112.244897959186</v>
      </c>
      <c r="AD56" s="8">
        <v>2231.1999999999998</v>
      </c>
      <c r="AE56" s="4">
        <f t="shared" si="12"/>
        <v>2.9704877054747993</v>
      </c>
      <c r="AF56" s="8">
        <v>7063.8</v>
      </c>
      <c r="AG56" s="11">
        <v>7</v>
      </c>
      <c r="AH56" s="4">
        <f t="shared" si="13"/>
        <v>100911.42857142858</v>
      </c>
      <c r="AI56" s="8">
        <v>4377</v>
      </c>
      <c r="AJ56" s="4">
        <f t="shared" si="14"/>
        <v>4.3374670857045778</v>
      </c>
      <c r="AK56" s="8">
        <v>11995.7</v>
      </c>
      <c r="AL56" s="12">
        <v>11.5</v>
      </c>
      <c r="AM56">
        <f t="shared" si="36"/>
        <v>104310.43478260869</v>
      </c>
      <c r="AN56" s="8">
        <v>3927.6</v>
      </c>
      <c r="AO56" s="4">
        <f t="shared" si="15"/>
        <v>3.7652992322248808</v>
      </c>
      <c r="AP56" s="8">
        <v>9518.7999999999993</v>
      </c>
      <c r="AQ56" s="12">
        <v>7.5</v>
      </c>
      <c r="AR56" s="4">
        <f t="shared" si="16"/>
        <v>126917.33333333331</v>
      </c>
      <c r="AS56" s="8">
        <v>5705.7</v>
      </c>
      <c r="AT56" s="4">
        <f t="shared" si="17"/>
        <v>4.4956034374080769</v>
      </c>
      <c r="AU56" s="8">
        <v>8167.5</v>
      </c>
      <c r="AV56" s="12">
        <v>7</v>
      </c>
      <c r="AW56">
        <f t="shared" si="18"/>
        <v>116678.57142857142</v>
      </c>
      <c r="AX56" s="8">
        <v>6357.9</v>
      </c>
      <c r="AY56" s="4">
        <f t="shared" si="19"/>
        <v>5.4490725436179988</v>
      </c>
      <c r="AZ56" s="9">
        <v>12432.6</v>
      </c>
      <c r="BA56" s="10">
        <v>8.5</v>
      </c>
      <c r="BB56">
        <f t="shared" si="20"/>
        <v>146265.88235294117</v>
      </c>
      <c r="BC56" s="21">
        <v>7915.3</v>
      </c>
      <c r="BD56" s="4">
        <f t="shared" si="21"/>
        <v>5.41158325692132</v>
      </c>
      <c r="BE56" s="9">
        <v>15347.2</v>
      </c>
      <c r="BF56" s="9">
        <v>7.7</v>
      </c>
      <c r="BG56">
        <f t="shared" si="22"/>
        <v>199314.28571428571</v>
      </c>
      <c r="BH56" s="8">
        <v>4486.2</v>
      </c>
      <c r="BI56" s="4">
        <f t="shared" si="23"/>
        <v>2.250817087155963</v>
      </c>
      <c r="BJ56" s="9">
        <v>20845.5</v>
      </c>
      <c r="BK56" s="10">
        <v>10.1</v>
      </c>
      <c r="BL56">
        <f t="shared" si="24"/>
        <v>206391.08910891091</v>
      </c>
      <c r="BM56" s="36">
        <v>8473.4555999999993</v>
      </c>
      <c r="BN56" s="4">
        <f t="shared" si="25"/>
        <v>4.1055336432323513</v>
      </c>
      <c r="BO56" s="9">
        <v>23441</v>
      </c>
      <c r="BP56" s="10">
        <v>7.7</v>
      </c>
      <c r="BQ56">
        <f t="shared" si="26"/>
        <v>304428.57142857142</v>
      </c>
      <c r="BR56" s="36">
        <v>10075.207400000001</v>
      </c>
      <c r="BS56" s="4">
        <f t="shared" si="27"/>
        <v>3.3095472454246835</v>
      </c>
      <c r="BT56" s="21">
        <v>21014.5</v>
      </c>
      <c r="BU56" s="10">
        <v>8.4</v>
      </c>
      <c r="BV56">
        <f t="shared" si="28"/>
        <v>250172.61904761902</v>
      </c>
      <c r="BW56" s="2"/>
      <c r="BX56" s="42">
        <v>2.1</v>
      </c>
      <c r="BY56" s="32">
        <v>30627.1093</v>
      </c>
      <c r="BZ56" s="40">
        <v>8.6889780070980667</v>
      </c>
      <c r="CA56">
        <f t="shared" si="29"/>
        <v>352482.29740000004</v>
      </c>
      <c r="CB56" s="36">
        <v>11019.627400000001</v>
      </c>
      <c r="CC56" s="4">
        <f t="shared" si="30"/>
        <v>3.126292435473669</v>
      </c>
    </row>
    <row r="57" spans="1:81" x14ac:dyDescent="0.25">
      <c r="A57" t="s">
        <v>55</v>
      </c>
      <c r="B57" s="8">
        <v>109156.3</v>
      </c>
      <c r="C57" s="9">
        <v>26.5</v>
      </c>
      <c r="D57" s="4">
        <f t="shared" si="33"/>
        <v>411910.56603773584</v>
      </c>
      <c r="E57" s="9">
        <v>7683501</v>
      </c>
      <c r="F57">
        <f t="shared" si="34"/>
        <v>1865.3323399565575</v>
      </c>
      <c r="G57" s="8">
        <v>127463.3</v>
      </c>
      <c r="H57" s="9">
        <v>25.1</v>
      </c>
      <c r="I57">
        <f t="shared" si="4"/>
        <v>507821.91235059762</v>
      </c>
      <c r="J57" s="8">
        <v>17248374</v>
      </c>
      <c r="K57" s="4">
        <f t="shared" si="35"/>
        <v>3396.5399248254203</v>
      </c>
      <c r="L57" s="8">
        <v>152911</v>
      </c>
      <c r="M57" s="9">
        <v>25.5</v>
      </c>
      <c r="N57" s="4">
        <f t="shared" si="5"/>
        <v>599650.98039215687</v>
      </c>
      <c r="O57" s="9">
        <v>11785076</v>
      </c>
      <c r="P57" s="4">
        <f t="shared" si="6"/>
        <v>1965.3225601820666</v>
      </c>
      <c r="Q57" s="9">
        <v>142275.1</v>
      </c>
      <c r="R57" s="9">
        <v>21.8</v>
      </c>
      <c r="S57" s="4">
        <f t="shared" si="7"/>
        <v>652638.07339449541</v>
      </c>
      <c r="T57" s="9">
        <v>10396.299999999999</v>
      </c>
      <c r="U57">
        <f t="shared" si="8"/>
        <v>1.592965599743033</v>
      </c>
      <c r="V57" s="8">
        <v>90801.5</v>
      </c>
      <c r="W57" s="9">
        <v>17.8</v>
      </c>
      <c r="X57" s="4">
        <f t="shared" si="9"/>
        <v>510120.7865168539</v>
      </c>
      <c r="Y57" s="9">
        <v>7923.1</v>
      </c>
      <c r="Z57">
        <f t="shared" si="10"/>
        <v>1.5531811699145941</v>
      </c>
      <c r="AA57" s="8">
        <v>96237.5</v>
      </c>
      <c r="AB57" s="10">
        <v>14.2</v>
      </c>
      <c r="AC57" s="4">
        <f t="shared" si="11"/>
        <v>677728.87323943665</v>
      </c>
      <c r="AD57" s="8">
        <v>9445.9</v>
      </c>
      <c r="AE57" s="4">
        <f t="shared" si="12"/>
        <v>1.3937579425899467</v>
      </c>
      <c r="AF57" s="8">
        <v>185468.2</v>
      </c>
      <c r="AG57" s="11">
        <v>21.5</v>
      </c>
      <c r="AH57" s="4">
        <f t="shared" si="13"/>
        <v>862642.7906976745</v>
      </c>
      <c r="AI57" s="8">
        <v>17351.8</v>
      </c>
      <c r="AJ57" s="4">
        <f t="shared" si="14"/>
        <v>2.0114698907952948</v>
      </c>
      <c r="AK57" s="8">
        <v>242591.3</v>
      </c>
      <c r="AL57" s="12">
        <v>24.5</v>
      </c>
      <c r="AM57">
        <f t="shared" si="36"/>
        <v>990168.57142857136</v>
      </c>
      <c r="AN57" s="8">
        <v>74095.100000000006</v>
      </c>
      <c r="AO57" s="4">
        <f t="shared" si="15"/>
        <v>7.4830793602243793</v>
      </c>
      <c r="AP57" s="8">
        <v>238966.8</v>
      </c>
      <c r="AQ57" s="12">
        <v>22.9</v>
      </c>
      <c r="AR57" s="4">
        <f t="shared" si="16"/>
        <v>1043523.1441048036</v>
      </c>
      <c r="AS57" s="8">
        <v>65842</v>
      </c>
      <c r="AT57" s="4">
        <f t="shared" si="17"/>
        <v>6.3095869384366354</v>
      </c>
      <c r="AU57" s="8">
        <v>245579.5</v>
      </c>
      <c r="AV57" s="12">
        <v>21.1</v>
      </c>
      <c r="AW57">
        <f t="shared" si="18"/>
        <v>1163883.8862559241</v>
      </c>
      <c r="AX57" s="8">
        <v>57558.3</v>
      </c>
      <c r="AY57" s="4">
        <f t="shared" si="19"/>
        <v>4.9453644542805897</v>
      </c>
      <c r="AZ57" s="9">
        <v>232953.1</v>
      </c>
      <c r="BA57" s="10">
        <v>19.100000000000001</v>
      </c>
      <c r="BB57">
        <f t="shared" si="20"/>
        <v>1219649.7382198952</v>
      </c>
      <c r="BC57" s="21">
        <v>61181.3</v>
      </c>
      <c r="BD57" s="4">
        <f t="shared" si="21"/>
        <v>5.0163008348032294</v>
      </c>
      <c r="BE57" s="9">
        <v>217330</v>
      </c>
      <c r="BF57" s="9">
        <v>17.7</v>
      </c>
      <c r="BG57">
        <f t="shared" si="22"/>
        <v>1227853.1073446327</v>
      </c>
      <c r="BH57" s="8">
        <v>36138.300000000003</v>
      </c>
      <c r="BI57" s="4">
        <f t="shared" si="23"/>
        <v>2.9432103713247137</v>
      </c>
      <c r="BJ57" s="9">
        <v>209373.9</v>
      </c>
      <c r="BK57" s="10">
        <v>15.6</v>
      </c>
      <c r="BL57">
        <f t="shared" si="24"/>
        <v>1342140.3846153845</v>
      </c>
      <c r="BM57" s="36">
        <v>31226.9542</v>
      </c>
      <c r="BN57" s="4">
        <f t="shared" si="25"/>
        <v>2.3266533484832639</v>
      </c>
      <c r="BO57" s="9">
        <v>205521.9</v>
      </c>
      <c r="BP57" s="10">
        <v>13.5</v>
      </c>
      <c r="BQ57">
        <f t="shared" si="26"/>
        <v>1522384.4444444445</v>
      </c>
      <c r="BR57" s="36">
        <v>42523.645899999996</v>
      </c>
      <c r="BS57" s="4">
        <f t="shared" si="27"/>
        <v>2.7932265108973784</v>
      </c>
      <c r="BT57" s="21">
        <v>164854.9</v>
      </c>
      <c r="BU57" s="10">
        <v>9.3000000000000007</v>
      </c>
      <c r="BV57">
        <f t="shared" si="28"/>
        <v>1772633.3333333333</v>
      </c>
      <c r="BW57" s="2"/>
      <c r="BX57" s="42">
        <v>2.9</v>
      </c>
      <c r="BY57" s="32">
        <v>157163.234</v>
      </c>
      <c r="BZ57" s="40">
        <v>9.2343339684765287</v>
      </c>
      <c r="CA57">
        <f t="shared" si="29"/>
        <v>1701944.4448999998</v>
      </c>
      <c r="CB57" s="36">
        <v>65381.044500000004</v>
      </c>
      <c r="CC57" s="4">
        <f t="shared" si="30"/>
        <v>3.8415498635057714</v>
      </c>
    </row>
    <row r="58" spans="1:81" x14ac:dyDescent="0.25">
      <c r="A58" t="s">
        <v>56</v>
      </c>
      <c r="B58" s="8">
        <v>4904.1000000000004</v>
      </c>
      <c r="C58" s="9">
        <v>4.2</v>
      </c>
      <c r="D58" s="4">
        <f t="shared" si="33"/>
        <v>116764.28571428571</v>
      </c>
      <c r="E58" s="9">
        <v>3186467</v>
      </c>
      <c r="F58">
        <f t="shared" si="34"/>
        <v>2728.9740013458131</v>
      </c>
      <c r="G58" s="8">
        <v>3700.6</v>
      </c>
      <c r="H58" s="9">
        <v>2.7</v>
      </c>
      <c r="I58">
        <f t="shared" si="4"/>
        <v>137059.25925925924</v>
      </c>
      <c r="J58" s="8">
        <v>1742121</v>
      </c>
      <c r="K58" s="4">
        <f t="shared" si="35"/>
        <v>1271.0713668053831</v>
      </c>
      <c r="L58" s="8">
        <v>6159.2</v>
      </c>
      <c r="M58" s="9">
        <v>3</v>
      </c>
      <c r="N58" s="4">
        <f t="shared" si="5"/>
        <v>205306.66666666666</v>
      </c>
      <c r="O58" s="9">
        <v>3252899</v>
      </c>
      <c r="P58" s="4">
        <f t="shared" si="6"/>
        <v>1584.4098259514224</v>
      </c>
      <c r="Q58" s="9">
        <v>10472.6</v>
      </c>
      <c r="R58" s="9">
        <v>4.4000000000000004</v>
      </c>
      <c r="S58" s="4">
        <f t="shared" si="7"/>
        <v>238013.63636363635</v>
      </c>
      <c r="T58" s="9">
        <v>1712</v>
      </c>
      <c r="U58">
        <f t="shared" si="8"/>
        <v>0.71928651910700314</v>
      </c>
      <c r="V58" s="8">
        <v>16570.5</v>
      </c>
      <c r="W58" s="9">
        <v>7.9</v>
      </c>
      <c r="X58" s="4">
        <f t="shared" si="9"/>
        <v>209753.16455696203</v>
      </c>
      <c r="Y58" s="9">
        <v>3417.2</v>
      </c>
      <c r="Z58">
        <f t="shared" si="10"/>
        <v>1.6291530128843423</v>
      </c>
      <c r="AA58" s="8">
        <v>17222.099999999999</v>
      </c>
      <c r="AB58" s="10">
        <v>7</v>
      </c>
      <c r="AC58" s="4">
        <f t="shared" si="11"/>
        <v>246029.99999999997</v>
      </c>
      <c r="AD58" s="8">
        <v>3315.5</v>
      </c>
      <c r="AE58" s="4">
        <f t="shared" si="12"/>
        <v>1.347599886192741</v>
      </c>
      <c r="AF58" s="8">
        <v>7713.7</v>
      </c>
      <c r="AG58" s="11">
        <v>2.7</v>
      </c>
      <c r="AH58" s="4">
        <f t="shared" si="13"/>
        <v>285692.59259259258</v>
      </c>
      <c r="AI58" s="8">
        <v>5632.5</v>
      </c>
      <c r="AJ58" s="4">
        <f t="shared" si="14"/>
        <v>1.971524689837562</v>
      </c>
      <c r="AK58" s="8">
        <v>10617.4</v>
      </c>
      <c r="AL58" s="12">
        <v>3.4</v>
      </c>
      <c r="AM58">
        <f t="shared" si="36"/>
        <v>312276.47058823524</v>
      </c>
      <c r="AN58" s="8">
        <v>8887.5</v>
      </c>
      <c r="AO58" s="4">
        <f t="shared" si="15"/>
        <v>2.846035752632472</v>
      </c>
      <c r="AP58" s="8">
        <v>13180.7</v>
      </c>
      <c r="AQ58" s="12">
        <v>3.9</v>
      </c>
      <c r="AR58" s="4">
        <f t="shared" si="16"/>
        <v>337966.66666666669</v>
      </c>
      <c r="AS58" s="8">
        <v>6786.6</v>
      </c>
      <c r="AT58" s="4">
        <f t="shared" si="17"/>
        <v>2.0080678567906105</v>
      </c>
      <c r="AU58" s="8">
        <v>8484.9</v>
      </c>
      <c r="AV58" s="12">
        <v>2.5</v>
      </c>
      <c r="AW58">
        <f t="shared" si="18"/>
        <v>339396</v>
      </c>
      <c r="AX58" s="8">
        <v>4829.6000000000004</v>
      </c>
      <c r="AY58" s="4">
        <f t="shared" si="19"/>
        <v>1.4229985032233734</v>
      </c>
      <c r="AZ58" s="9">
        <v>23177.4</v>
      </c>
      <c r="BA58" s="10">
        <v>5.7</v>
      </c>
      <c r="BB58">
        <f t="shared" si="20"/>
        <v>406621.05263157893</v>
      </c>
      <c r="BC58" s="21">
        <v>14846.7</v>
      </c>
      <c r="BD58" s="4">
        <f t="shared" si="21"/>
        <v>3.6512374123068168</v>
      </c>
      <c r="BE58" s="9">
        <v>16065.3</v>
      </c>
      <c r="BF58" s="9">
        <v>3.6</v>
      </c>
      <c r="BG58">
        <f t="shared" si="22"/>
        <v>446258.33333333331</v>
      </c>
      <c r="BH58" s="8">
        <v>7513.1</v>
      </c>
      <c r="BI58" s="4">
        <f t="shared" si="23"/>
        <v>1.6835764038019834</v>
      </c>
      <c r="BJ58" s="9">
        <v>10348.799999999999</v>
      </c>
      <c r="BK58" s="10">
        <v>2.2999999999999998</v>
      </c>
      <c r="BL58">
        <f t="shared" si="24"/>
        <v>449947.82608695648</v>
      </c>
      <c r="BM58" s="36">
        <v>7895.6257999999998</v>
      </c>
      <c r="BN58" s="4">
        <f t="shared" si="25"/>
        <v>1.7547869646722325</v>
      </c>
      <c r="BO58" s="9">
        <v>12833.6</v>
      </c>
      <c r="BP58" s="10">
        <v>2.4</v>
      </c>
      <c r="BQ58">
        <f t="shared" si="26"/>
        <v>534733.33333333337</v>
      </c>
      <c r="BR58" s="36">
        <v>6596.9321</v>
      </c>
      <c r="BS58" s="4">
        <f t="shared" si="27"/>
        <v>1.2336863421019821</v>
      </c>
      <c r="BT58" s="21">
        <v>13457.7</v>
      </c>
      <c r="BU58" s="10">
        <v>2</v>
      </c>
      <c r="BV58">
        <f t="shared" si="28"/>
        <v>672885</v>
      </c>
      <c r="BW58" s="2"/>
      <c r="BX58" s="42">
        <v>1.2</v>
      </c>
      <c r="BY58" s="32">
        <v>9717.0967000000001</v>
      </c>
      <c r="BZ58" s="40">
        <v>1.2584064199214526</v>
      </c>
      <c r="CA58">
        <f t="shared" si="29"/>
        <v>772174.75580000004</v>
      </c>
      <c r="CB58" s="36">
        <v>3123.0868999999998</v>
      </c>
      <c r="CC58" s="4">
        <f t="shared" si="30"/>
        <v>0.40445338008549281</v>
      </c>
    </row>
    <row r="59" spans="1:81" x14ac:dyDescent="0.25">
      <c r="A59" t="s">
        <v>57</v>
      </c>
      <c r="B59" s="8">
        <v>4770</v>
      </c>
      <c r="C59" s="9">
        <v>7.3</v>
      </c>
      <c r="D59" s="4">
        <f t="shared" si="33"/>
        <v>65342.465753424651</v>
      </c>
      <c r="E59" s="9">
        <v>901672</v>
      </c>
      <c r="F59">
        <f t="shared" si="34"/>
        <v>1379.9173165618449</v>
      </c>
      <c r="G59" s="8">
        <v>10235.9</v>
      </c>
      <c r="H59" s="9">
        <v>11.8</v>
      </c>
      <c r="I59">
        <f t="shared" si="4"/>
        <v>86744.915254237276</v>
      </c>
      <c r="J59" s="8">
        <v>704483</v>
      </c>
      <c r="K59" s="4">
        <f t="shared" si="35"/>
        <v>812.13175197100418</v>
      </c>
      <c r="L59" s="8">
        <v>19278.599999999999</v>
      </c>
      <c r="M59" s="9">
        <v>17.8</v>
      </c>
      <c r="N59" s="4">
        <f t="shared" si="5"/>
        <v>108306.74157303369</v>
      </c>
      <c r="O59" s="9">
        <v>913634</v>
      </c>
      <c r="P59" s="4">
        <f t="shared" si="6"/>
        <v>843.56152417706699</v>
      </c>
      <c r="Q59" s="9">
        <v>22552.9</v>
      </c>
      <c r="R59" s="9">
        <v>19.399999999999999</v>
      </c>
      <c r="S59" s="4">
        <f t="shared" si="7"/>
        <v>116252.06185567012</v>
      </c>
      <c r="T59" s="9">
        <v>1094.0999999999999</v>
      </c>
      <c r="U59">
        <f t="shared" si="8"/>
        <v>0.94114459781225457</v>
      </c>
      <c r="V59" s="8">
        <v>8316.2000000000007</v>
      </c>
      <c r="W59" s="9">
        <v>8.8000000000000007</v>
      </c>
      <c r="X59" s="4">
        <f t="shared" si="9"/>
        <v>94502.272727272721</v>
      </c>
      <c r="Y59" s="9">
        <v>1983.4</v>
      </c>
      <c r="Z59">
        <f t="shared" si="10"/>
        <v>2.0987855029941564</v>
      </c>
      <c r="AA59" s="8">
        <v>21594.400000000001</v>
      </c>
      <c r="AB59" s="10">
        <v>17.600000000000001</v>
      </c>
      <c r="AC59" s="4">
        <f t="shared" si="11"/>
        <v>122695.45454545454</v>
      </c>
      <c r="AD59" s="8">
        <v>1232.9000000000001</v>
      </c>
      <c r="AE59" s="4">
        <f t="shared" si="12"/>
        <v>1.0048457007372282</v>
      </c>
      <c r="AF59" s="8">
        <v>29563.1</v>
      </c>
      <c r="AG59" s="11">
        <v>19.8</v>
      </c>
      <c r="AH59" s="4">
        <f t="shared" si="13"/>
        <v>149308.58585858584</v>
      </c>
      <c r="AI59" s="8">
        <v>1497.2</v>
      </c>
      <c r="AJ59" s="4">
        <f t="shared" si="14"/>
        <v>1.0027554620455907</v>
      </c>
      <c r="AK59" s="8">
        <v>16019.9</v>
      </c>
      <c r="AL59" s="12">
        <v>8.5</v>
      </c>
      <c r="AM59">
        <f t="shared" si="36"/>
        <v>188469.41176470587</v>
      </c>
      <c r="AN59" s="8">
        <v>2195.3000000000002</v>
      </c>
      <c r="AO59" s="4">
        <f t="shared" si="15"/>
        <v>1.164804399528087</v>
      </c>
      <c r="AP59" s="8">
        <v>29275.1</v>
      </c>
      <c r="AQ59" s="12">
        <v>15.1</v>
      </c>
      <c r="AR59" s="4">
        <f t="shared" si="16"/>
        <v>193874.8344370861</v>
      </c>
      <c r="AS59" s="8">
        <v>2889.2</v>
      </c>
      <c r="AT59" s="4">
        <f t="shared" si="17"/>
        <v>1.490239828386581</v>
      </c>
      <c r="AU59" s="8">
        <v>25279</v>
      </c>
      <c r="AV59" s="12">
        <v>12</v>
      </c>
      <c r="AW59">
        <f t="shared" si="18"/>
        <v>210658.33333333334</v>
      </c>
      <c r="AX59" s="8">
        <v>3620.9</v>
      </c>
      <c r="AY59" s="4">
        <f t="shared" si="19"/>
        <v>1.7188496380394793</v>
      </c>
      <c r="AZ59" s="9">
        <v>32939.199999999997</v>
      </c>
      <c r="BA59" s="10">
        <v>13.2</v>
      </c>
      <c r="BB59">
        <f t="shared" si="20"/>
        <v>249539.39393939395</v>
      </c>
      <c r="BC59" s="21">
        <v>3615</v>
      </c>
      <c r="BD59" s="4">
        <f t="shared" si="21"/>
        <v>1.4486690630009229</v>
      </c>
      <c r="BE59" s="9">
        <v>33920.300000000003</v>
      </c>
      <c r="BF59" s="9">
        <v>12.3</v>
      </c>
      <c r="BG59">
        <f t="shared" si="22"/>
        <v>275774.79674796748</v>
      </c>
      <c r="BH59" s="8">
        <v>3945</v>
      </c>
      <c r="BI59" s="4">
        <f t="shared" si="23"/>
        <v>1.4305150603031223</v>
      </c>
      <c r="BJ59" s="9">
        <v>35382.400000000001</v>
      </c>
      <c r="BK59" s="10">
        <v>12.8</v>
      </c>
      <c r="BL59">
        <f t="shared" si="24"/>
        <v>276425</v>
      </c>
      <c r="BM59" s="36">
        <v>6478.8733000000002</v>
      </c>
      <c r="BN59" s="4">
        <f t="shared" si="25"/>
        <v>2.343808736546984</v>
      </c>
      <c r="BO59" s="9">
        <v>36335.599999999999</v>
      </c>
      <c r="BP59" s="10">
        <v>13.4</v>
      </c>
      <c r="BQ59">
        <f t="shared" si="26"/>
        <v>271161.19402985071</v>
      </c>
      <c r="BR59" s="36">
        <v>8328.0949999999993</v>
      </c>
      <c r="BS59" s="4">
        <f t="shared" si="27"/>
        <v>3.0712709574081618</v>
      </c>
      <c r="BT59" s="21">
        <v>41842.400000000001</v>
      </c>
      <c r="BU59" s="10">
        <v>11</v>
      </c>
      <c r="BV59">
        <f t="shared" si="28"/>
        <v>380385.45454545459</v>
      </c>
      <c r="BW59" s="2"/>
      <c r="BX59" s="42">
        <v>2.2999999999999998</v>
      </c>
      <c r="BY59" s="32">
        <v>47103.535799999998</v>
      </c>
      <c r="BZ59" s="40">
        <v>13.138342030267992</v>
      </c>
      <c r="CA59">
        <f t="shared" si="29"/>
        <v>358519.63429999998</v>
      </c>
      <c r="CB59" s="36">
        <v>8067.3479000000007</v>
      </c>
      <c r="CC59" s="4">
        <f t="shared" si="30"/>
        <v>2.2501830104092577</v>
      </c>
    </row>
    <row r="60" spans="1:81" x14ac:dyDescent="0.25">
      <c r="A60" t="s">
        <v>58</v>
      </c>
      <c r="B60" s="8">
        <v>709.3</v>
      </c>
      <c r="C60">
        <v>2.4</v>
      </c>
      <c r="D60" s="4">
        <f t="shared" si="33"/>
        <v>29554.166666666668</v>
      </c>
      <c r="E60" s="9">
        <v>380388</v>
      </c>
      <c r="F60">
        <f t="shared" si="34"/>
        <v>1287.087551106725</v>
      </c>
      <c r="G60" s="8">
        <v>2827</v>
      </c>
      <c r="H60" s="9">
        <v>6</v>
      </c>
      <c r="I60">
        <f t="shared" si="4"/>
        <v>47116.666666666672</v>
      </c>
      <c r="J60" s="8">
        <v>501831</v>
      </c>
      <c r="K60" s="4">
        <f t="shared" si="35"/>
        <v>1065.0817120622567</v>
      </c>
      <c r="L60" s="8">
        <v>2709.6</v>
      </c>
      <c r="M60">
        <v>6.3</v>
      </c>
      <c r="N60" s="4">
        <f t="shared" si="5"/>
        <v>43009.523809523809</v>
      </c>
      <c r="O60" s="9">
        <v>1273919</v>
      </c>
      <c r="P60" s="4">
        <f t="shared" si="6"/>
        <v>2961.9463020372009</v>
      </c>
      <c r="Q60" s="9">
        <v>2561.5</v>
      </c>
      <c r="R60" s="9">
        <v>5.0999999999999996</v>
      </c>
      <c r="S60" s="4">
        <f t="shared" si="7"/>
        <v>50225.490196078434</v>
      </c>
      <c r="T60" s="9">
        <v>1669.2</v>
      </c>
      <c r="U60">
        <f t="shared" si="8"/>
        <v>3.3234120632441932</v>
      </c>
      <c r="V60" s="8">
        <v>3391</v>
      </c>
      <c r="W60" s="9">
        <v>7.7</v>
      </c>
      <c r="X60" s="4">
        <f t="shared" si="9"/>
        <v>44038.961038961039</v>
      </c>
      <c r="Y60" s="9">
        <v>571.20000000000005</v>
      </c>
      <c r="Z60">
        <f t="shared" si="10"/>
        <v>1.2970333235033915</v>
      </c>
      <c r="AA60" s="8">
        <v>2517.1999999999998</v>
      </c>
      <c r="AB60" s="10">
        <v>3.8</v>
      </c>
      <c r="AC60" s="4">
        <f t="shared" si="11"/>
        <v>66242.105263157893</v>
      </c>
      <c r="AD60" s="2">
        <v>684.1</v>
      </c>
      <c r="AE60" s="4">
        <f t="shared" si="12"/>
        <v>1.0327268393453044</v>
      </c>
      <c r="AF60" s="8">
        <v>2056.8000000000002</v>
      </c>
      <c r="AG60" s="11">
        <v>3.2</v>
      </c>
      <c r="AH60" s="4">
        <f t="shared" si="13"/>
        <v>64275</v>
      </c>
      <c r="AI60" s="8">
        <v>1019.9</v>
      </c>
      <c r="AJ60" s="4">
        <f t="shared" si="14"/>
        <v>1.5867755737067291</v>
      </c>
      <c r="AK60" s="8">
        <v>2338</v>
      </c>
      <c r="AL60" s="12">
        <v>3</v>
      </c>
      <c r="AM60">
        <f t="shared" si="36"/>
        <v>77933.333333333343</v>
      </c>
      <c r="AN60" s="8">
        <v>1058</v>
      </c>
      <c r="AO60" s="4">
        <f t="shared" si="15"/>
        <v>1.3575705731394352</v>
      </c>
      <c r="AP60" s="8">
        <v>3475.4</v>
      </c>
      <c r="AQ60" s="12">
        <v>3.9</v>
      </c>
      <c r="AR60" s="4">
        <f t="shared" si="16"/>
        <v>89112.820512820515</v>
      </c>
      <c r="AS60" s="8">
        <v>877</v>
      </c>
      <c r="AT60" s="4">
        <f t="shared" si="17"/>
        <v>0.98414570984634853</v>
      </c>
      <c r="AU60" s="8">
        <v>2076.3000000000002</v>
      </c>
      <c r="AV60" s="12">
        <v>2.6</v>
      </c>
      <c r="AW60">
        <f t="shared" si="18"/>
        <v>79857.692307692312</v>
      </c>
      <c r="AX60" s="8">
        <v>680.5</v>
      </c>
      <c r="AY60" s="4">
        <f t="shared" si="19"/>
        <v>0.85214082743341524</v>
      </c>
      <c r="AZ60" s="9">
        <v>5697.6</v>
      </c>
      <c r="BA60" s="10">
        <v>3.6</v>
      </c>
      <c r="BB60">
        <f t="shared" si="20"/>
        <v>158266.66666666669</v>
      </c>
      <c r="BC60" s="21">
        <v>1141.0999999999999</v>
      </c>
      <c r="BD60" s="4">
        <f t="shared" si="21"/>
        <v>0.72099831508003354</v>
      </c>
      <c r="BE60" s="9">
        <v>3606</v>
      </c>
      <c r="BF60" s="9">
        <v>2.7</v>
      </c>
      <c r="BG60">
        <f t="shared" si="22"/>
        <v>133555.55555555553</v>
      </c>
      <c r="BH60" s="8">
        <v>1386.3</v>
      </c>
      <c r="BI60" s="4">
        <f t="shared" si="23"/>
        <v>1.0379950083194678</v>
      </c>
      <c r="BJ60" s="9">
        <v>4665.3999999999996</v>
      </c>
      <c r="BK60" s="10">
        <v>3.6</v>
      </c>
      <c r="BL60">
        <f t="shared" si="24"/>
        <v>129594.44444444444</v>
      </c>
      <c r="BM60" s="36">
        <v>841.80070000000001</v>
      </c>
      <c r="BN60" s="4">
        <f t="shared" si="25"/>
        <v>0.64956542204312595</v>
      </c>
      <c r="BO60" s="9">
        <v>4463.8999999999996</v>
      </c>
      <c r="BP60" s="10">
        <v>3.2</v>
      </c>
      <c r="BQ60">
        <f t="shared" si="26"/>
        <v>139496.87499999997</v>
      </c>
      <c r="BR60" s="36">
        <v>820.79330000000004</v>
      </c>
      <c r="BS60" s="4">
        <f t="shared" si="27"/>
        <v>0.58839547480902366</v>
      </c>
      <c r="BT60" s="21">
        <v>6936</v>
      </c>
      <c r="BU60" s="10">
        <v>3.5</v>
      </c>
      <c r="BV60">
        <f t="shared" si="28"/>
        <v>198171.42857142858</v>
      </c>
      <c r="BW60" s="2"/>
      <c r="BX60" s="42">
        <v>0.6</v>
      </c>
      <c r="BY60" s="32">
        <v>5270.9780999999994</v>
      </c>
      <c r="BZ60" s="40">
        <v>3.1875552242381877</v>
      </c>
      <c r="CA60">
        <f t="shared" si="29"/>
        <v>165361.1539</v>
      </c>
      <c r="CB60" s="36">
        <v>1673.6063999999999</v>
      </c>
      <c r="CC60" s="4">
        <f t="shared" si="30"/>
        <v>1.012091631273988</v>
      </c>
    </row>
    <row r="61" spans="1:81" x14ac:dyDescent="0.25">
      <c r="A61" t="s">
        <v>59</v>
      </c>
      <c r="B61" s="8">
        <v>47975.7</v>
      </c>
      <c r="C61" s="9">
        <v>10.1</v>
      </c>
      <c r="D61" s="4">
        <f t="shared" si="33"/>
        <v>475006.93069306924</v>
      </c>
      <c r="E61" s="9">
        <v>13822921</v>
      </c>
      <c r="F61">
        <f t="shared" si="34"/>
        <v>2910.0461712908832</v>
      </c>
      <c r="G61" s="8">
        <v>68572.600000000006</v>
      </c>
      <c r="H61" s="9">
        <v>7.7</v>
      </c>
      <c r="I61">
        <f t="shared" si="4"/>
        <v>890553.24675324687</v>
      </c>
      <c r="J61" s="8">
        <v>11279134</v>
      </c>
      <c r="K61" s="4">
        <f t="shared" si="35"/>
        <v>1266.5311188433864</v>
      </c>
      <c r="L61" s="8">
        <v>80903.899999999994</v>
      </c>
      <c r="M61">
        <v>8</v>
      </c>
      <c r="N61" s="4">
        <f t="shared" si="5"/>
        <v>1011298.7499999999</v>
      </c>
      <c r="O61" s="9">
        <v>13933408</v>
      </c>
      <c r="P61" s="4">
        <f t="shared" si="6"/>
        <v>1377.7736796371994</v>
      </c>
      <c r="Q61" s="9">
        <v>60355.5</v>
      </c>
      <c r="R61" s="9">
        <v>7</v>
      </c>
      <c r="S61" s="4">
        <f t="shared" si="7"/>
        <v>862221.42857142864</v>
      </c>
      <c r="T61" s="9">
        <v>28928.7</v>
      </c>
      <c r="U61">
        <f t="shared" si="8"/>
        <v>3.3551358202649304</v>
      </c>
      <c r="V61" s="8">
        <v>57055.199999999997</v>
      </c>
      <c r="W61" s="9">
        <v>8</v>
      </c>
      <c r="X61" s="4">
        <f t="shared" si="9"/>
        <v>713190</v>
      </c>
      <c r="Y61" s="9">
        <v>16656.2</v>
      </c>
      <c r="Z61">
        <f t="shared" si="10"/>
        <v>2.335450581191548</v>
      </c>
      <c r="AA61" s="8">
        <v>59747.8</v>
      </c>
      <c r="AB61" s="10">
        <v>5.8</v>
      </c>
      <c r="AC61" s="4">
        <f t="shared" si="11"/>
        <v>1030134.4827586209</v>
      </c>
      <c r="AD61" s="8">
        <v>22591.8</v>
      </c>
      <c r="AE61" s="4">
        <f t="shared" si="12"/>
        <v>2.1930922979590877</v>
      </c>
      <c r="AF61" s="8">
        <v>74410.399999999994</v>
      </c>
      <c r="AG61" s="11">
        <v>5.8</v>
      </c>
      <c r="AH61" s="4">
        <f t="shared" si="13"/>
        <v>1282937.9310344825</v>
      </c>
      <c r="AI61" s="8">
        <v>30620.1</v>
      </c>
      <c r="AJ61" s="4">
        <f t="shared" si="14"/>
        <v>2.3867171793190201</v>
      </c>
      <c r="AK61" s="8">
        <v>61642.6</v>
      </c>
      <c r="AL61" s="12">
        <v>4.0999999999999996</v>
      </c>
      <c r="AM61">
        <f t="shared" si="36"/>
        <v>1503478.0487804879</v>
      </c>
      <c r="AN61" s="8">
        <v>33786.5</v>
      </c>
      <c r="AO61" s="4">
        <f t="shared" si="15"/>
        <v>2.2472226998861178</v>
      </c>
      <c r="AP61" s="8">
        <v>96568.8</v>
      </c>
      <c r="AQ61" s="12">
        <v>6.4</v>
      </c>
      <c r="AR61" s="4">
        <f t="shared" si="16"/>
        <v>1508887.5</v>
      </c>
      <c r="AS61" s="8">
        <v>40872.9</v>
      </c>
      <c r="AT61" s="4">
        <f t="shared" si="17"/>
        <v>2.7088102989785519</v>
      </c>
      <c r="AU61" s="8">
        <v>89127.5</v>
      </c>
      <c r="AV61" s="12">
        <v>5.8</v>
      </c>
      <c r="AW61">
        <f t="shared" si="18"/>
        <v>1536681.0344827587</v>
      </c>
      <c r="AX61" s="8">
        <v>28834.799999999999</v>
      </c>
      <c r="AY61" s="4">
        <f t="shared" si="19"/>
        <v>1.876433648425009</v>
      </c>
      <c r="AZ61" s="9">
        <v>102656.6</v>
      </c>
      <c r="BA61" s="10">
        <v>7.3</v>
      </c>
      <c r="BB61">
        <f t="shared" si="20"/>
        <v>1406254.7945205481</v>
      </c>
      <c r="BC61" s="21">
        <v>39669.300000000003</v>
      </c>
      <c r="BD61" s="4">
        <f t="shared" si="21"/>
        <v>2.8209183822569615</v>
      </c>
      <c r="BE61" s="9">
        <v>139857</v>
      </c>
      <c r="BF61" s="9">
        <v>8.4</v>
      </c>
      <c r="BG61">
        <f t="shared" si="22"/>
        <v>1664964.2857142854</v>
      </c>
      <c r="BH61" s="8">
        <v>52454.1</v>
      </c>
      <c r="BI61" s="4">
        <f t="shared" si="23"/>
        <v>3.150463973916215</v>
      </c>
      <c r="BJ61" s="9">
        <v>193672.4</v>
      </c>
      <c r="BK61" s="10">
        <v>10.3</v>
      </c>
      <c r="BL61">
        <f t="shared" si="24"/>
        <v>1880314.563106796</v>
      </c>
      <c r="BM61" s="36">
        <v>44762.026299999998</v>
      </c>
      <c r="BN61" s="4">
        <f t="shared" si="25"/>
        <v>2.3805605284490716</v>
      </c>
      <c r="BO61" s="9">
        <v>153822.9</v>
      </c>
      <c r="BP61" s="10">
        <v>6.9</v>
      </c>
      <c r="BQ61">
        <f t="shared" si="26"/>
        <v>2229317.3913043477</v>
      </c>
      <c r="BR61" s="36">
        <v>39781.186700000006</v>
      </c>
      <c r="BS61" s="4">
        <f t="shared" si="27"/>
        <v>1.7844559440109375</v>
      </c>
      <c r="BT61" s="21">
        <v>168148.7</v>
      </c>
      <c r="BU61" s="10">
        <v>6.3</v>
      </c>
      <c r="BV61">
        <f t="shared" si="28"/>
        <v>2669026.9841269846</v>
      </c>
      <c r="BW61" s="2"/>
      <c r="BX61" s="42">
        <v>1.3</v>
      </c>
      <c r="BY61" s="32">
        <v>185485.23180000001</v>
      </c>
      <c r="BZ61" s="40">
        <v>6.4847124312119853</v>
      </c>
      <c r="CA61">
        <f t="shared" si="29"/>
        <v>2860346.2955</v>
      </c>
      <c r="CB61" s="36">
        <v>45716.052200000006</v>
      </c>
      <c r="CC61" s="4">
        <f t="shared" si="30"/>
        <v>1.5982698413797711</v>
      </c>
    </row>
    <row r="62" spans="1:81" x14ac:dyDescent="0.25">
      <c r="A62" t="s">
        <v>60</v>
      </c>
      <c r="B62" s="8">
        <v>4089.2</v>
      </c>
      <c r="C62" s="9">
        <v>0.2</v>
      </c>
      <c r="D62" s="4">
        <f t="shared" si="33"/>
        <v>2044599.9999999995</v>
      </c>
      <c r="E62" s="9">
        <v>1970729</v>
      </c>
      <c r="F62">
        <f t="shared" si="34"/>
        <v>96.387019465910228</v>
      </c>
      <c r="G62" s="8">
        <v>10207</v>
      </c>
      <c r="H62" s="9">
        <v>0.4</v>
      </c>
      <c r="I62">
        <f t="shared" si="4"/>
        <v>2551750</v>
      </c>
      <c r="J62" s="8">
        <v>18746078</v>
      </c>
      <c r="K62" s="4">
        <f t="shared" si="35"/>
        <v>734.63615166062505</v>
      </c>
      <c r="L62" s="8">
        <v>14520.4</v>
      </c>
      <c r="M62" s="9">
        <v>0.6</v>
      </c>
      <c r="N62" s="4">
        <f t="shared" si="5"/>
        <v>2420066.666666667</v>
      </c>
      <c r="O62" s="9">
        <v>19399255</v>
      </c>
      <c r="P62" s="4">
        <f t="shared" si="6"/>
        <v>801.60002479270531</v>
      </c>
      <c r="Q62" s="9">
        <v>17846.8</v>
      </c>
      <c r="R62" s="9">
        <v>0.7</v>
      </c>
      <c r="S62" s="4">
        <f t="shared" si="7"/>
        <v>2549542.8571428573</v>
      </c>
      <c r="T62" s="9">
        <v>22741.599999999999</v>
      </c>
      <c r="U62">
        <f t="shared" si="8"/>
        <v>0.89198735907837812</v>
      </c>
      <c r="V62" s="8">
        <v>11822.1</v>
      </c>
      <c r="W62">
        <v>0.4</v>
      </c>
      <c r="X62" s="4">
        <f t="shared" si="9"/>
        <v>2955525</v>
      </c>
      <c r="Y62" s="9">
        <v>23379.8</v>
      </c>
      <c r="Z62">
        <f t="shared" si="10"/>
        <v>0.79105404285194669</v>
      </c>
      <c r="AA62" s="8">
        <v>27968</v>
      </c>
      <c r="AB62" s="10">
        <v>0.9</v>
      </c>
      <c r="AC62" s="4">
        <f t="shared" si="11"/>
        <v>3107555.5555555555</v>
      </c>
      <c r="AD62" s="8">
        <v>29208.5</v>
      </c>
      <c r="AE62" s="4">
        <f t="shared" si="12"/>
        <v>0.93991883581235702</v>
      </c>
      <c r="AF62" s="8">
        <v>73798.899999999994</v>
      </c>
      <c r="AG62" s="11">
        <v>1.8</v>
      </c>
      <c r="AH62" s="4">
        <f t="shared" si="13"/>
        <v>4099938.8888888885</v>
      </c>
      <c r="AI62" s="8">
        <v>33700.800000000003</v>
      </c>
      <c r="AJ62" s="4">
        <f t="shared" si="14"/>
        <v>0.8219829834862038</v>
      </c>
      <c r="AK62" s="8">
        <v>27080</v>
      </c>
      <c r="AL62" s="12">
        <v>0.6</v>
      </c>
      <c r="AM62">
        <f t="shared" si="36"/>
        <v>4513333.333333334</v>
      </c>
      <c r="AN62" s="8">
        <v>33666</v>
      </c>
      <c r="AO62" s="4">
        <f t="shared" si="15"/>
        <v>0.74592319054652867</v>
      </c>
      <c r="AP62" s="8">
        <v>14145</v>
      </c>
      <c r="AQ62" s="12">
        <v>0.3</v>
      </c>
      <c r="AR62" s="4">
        <f t="shared" si="16"/>
        <v>4715000</v>
      </c>
      <c r="AS62" s="8">
        <v>58120.5</v>
      </c>
      <c r="AT62" s="4">
        <f t="shared" si="17"/>
        <v>1.2326723223753977</v>
      </c>
      <c r="AU62" s="8">
        <v>27071.4</v>
      </c>
      <c r="AV62" s="12">
        <v>0.6</v>
      </c>
      <c r="AW62">
        <f t="shared" si="18"/>
        <v>4511900.0000000009</v>
      </c>
      <c r="AX62" s="8">
        <v>63984.1</v>
      </c>
      <c r="AY62" s="4">
        <f t="shared" si="19"/>
        <v>1.4181187526319285</v>
      </c>
      <c r="AZ62" s="9">
        <v>45145.7</v>
      </c>
      <c r="BA62" s="10">
        <v>0.9</v>
      </c>
      <c r="BB62">
        <f t="shared" si="20"/>
        <v>5016188.8888888881</v>
      </c>
      <c r="BC62" s="21">
        <v>64430</v>
      </c>
      <c r="BD62" s="4">
        <f t="shared" si="21"/>
        <v>1.2844412646165639</v>
      </c>
      <c r="BE62" s="9">
        <v>173187</v>
      </c>
      <c r="BF62" s="9">
        <v>3.3</v>
      </c>
      <c r="BG62">
        <f t="shared" si="22"/>
        <v>5248090.9090909092</v>
      </c>
      <c r="BH62" s="8">
        <v>70236.3</v>
      </c>
      <c r="BI62" s="4">
        <f t="shared" si="23"/>
        <v>1.3383209478771501</v>
      </c>
      <c r="BJ62" s="9">
        <v>206025.7</v>
      </c>
      <c r="BK62" s="10">
        <v>3.2</v>
      </c>
      <c r="BL62">
        <f t="shared" si="24"/>
        <v>6438303.125</v>
      </c>
      <c r="BM62" s="36">
        <v>119070.3343</v>
      </c>
      <c r="BN62" s="4">
        <f t="shared" si="25"/>
        <v>1.8494055341639417</v>
      </c>
      <c r="BO62" s="9">
        <v>265811.3</v>
      </c>
      <c r="BP62" s="10">
        <v>3.3</v>
      </c>
      <c r="BQ62">
        <f t="shared" si="26"/>
        <v>8054887.8787878789</v>
      </c>
      <c r="BR62" s="36">
        <v>73590.787200000006</v>
      </c>
      <c r="BS62" s="4">
        <f t="shared" si="27"/>
        <v>0.91361653082468652</v>
      </c>
      <c r="BT62" s="21">
        <v>229058.8</v>
      </c>
      <c r="BU62" s="10">
        <v>2.1</v>
      </c>
      <c r="BV62">
        <f t="shared" si="28"/>
        <v>10907561.904761903</v>
      </c>
      <c r="BW62" s="2"/>
      <c r="BX62" s="42">
        <v>0.5</v>
      </c>
      <c r="BY62" s="32">
        <v>231859.315</v>
      </c>
      <c r="BZ62" s="40">
        <v>2.7524549335397106</v>
      </c>
      <c r="CA62">
        <f t="shared" si="29"/>
        <v>8423727.9300999995</v>
      </c>
      <c r="CB62" s="36">
        <v>50578.557000000001</v>
      </c>
      <c r="CC62" s="4">
        <f t="shared" si="30"/>
        <v>0.60042961287093199</v>
      </c>
    </row>
    <row r="63" spans="1:81" x14ac:dyDescent="0.25">
      <c r="A63" t="s">
        <v>61</v>
      </c>
      <c r="B63" s="2">
        <v>31406.9</v>
      </c>
      <c r="C63" s="9">
        <v>7.3</v>
      </c>
      <c r="D63" s="4">
        <f t="shared" si="33"/>
        <v>430231.50684931508</v>
      </c>
      <c r="E63">
        <v>12668089</v>
      </c>
      <c r="F63">
        <f t="shared" si="34"/>
        <v>2944.4819354982501</v>
      </c>
      <c r="G63" s="2">
        <v>17679.8</v>
      </c>
      <c r="H63">
        <v>3.1</v>
      </c>
      <c r="I63">
        <f t="shared" si="4"/>
        <v>570316.12903225806</v>
      </c>
      <c r="J63" s="2">
        <v>14637661</v>
      </c>
      <c r="K63" s="4">
        <f t="shared" ref="K63:K83" si="37">J63/I63*100</f>
        <v>2566.5872408058913</v>
      </c>
      <c r="L63" s="2">
        <v>21092.1</v>
      </c>
      <c r="M63" s="9">
        <v>2.9</v>
      </c>
      <c r="N63" s="4">
        <f t="shared" si="5"/>
        <v>727313.79310344823</v>
      </c>
      <c r="O63">
        <v>15211114</v>
      </c>
      <c r="P63" s="4">
        <f t="shared" si="6"/>
        <v>2091.410082447931</v>
      </c>
      <c r="Q63">
        <v>38300</v>
      </c>
      <c r="R63">
        <v>4.5999999999999996</v>
      </c>
      <c r="S63" s="4">
        <f t="shared" si="7"/>
        <v>832608.69565217395</v>
      </c>
      <c r="T63" s="9">
        <v>27418.7</v>
      </c>
      <c r="U63">
        <f t="shared" si="8"/>
        <v>3.2931075718015665</v>
      </c>
      <c r="V63" s="2">
        <v>14646.1</v>
      </c>
      <c r="W63">
        <v>2.6</v>
      </c>
      <c r="X63" s="4">
        <f t="shared" si="9"/>
        <v>563311.5384615385</v>
      </c>
      <c r="Y63">
        <v>41032.800000000003</v>
      </c>
      <c r="Z63">
        <f t="shared" si="10"/>
        <v>7.2842108138002608</v>
      </c>
      <c r="AA63" s="8">
        <v>19351.599999999999</v>
      </c>
      <c r="AB63" s="15">
        <v>2.4</v>
      </c>
      <c r="AC63" s="4">
        <f t="shared" si="11"/>
        <v>806316.66666666663</v>
      </c>
      <c r="AD63" s="2">
        <v>39721.199999999997</v>
      </c>
      <c r="AE63" s="4">
        <f t="shared" si="12"/>
        <v>4.9262531263564764</v>
      </c>
      <c r="AF63" s="2">
        <v>29442.799999999999</v>
      </c>
      <c r="AG63" s="11">
        <v>3</v>
      </c>
      <c r="AH63" s="4">
        <f t="shared" si="13"/>
        <v>981426.66666666663</v>
      </c>
      <c r="AI63" s="8">
        <v>38531.9</v>
      </c>
      <c r="AJ63" s="4">
        <f t="shared" si="14"/>
        <v>3.926110967706876</v>
      </c>
      <c r="AK63" s="8">
        <v>57635.7</v>
      </c>
      <c r="AL63" s="11">
        <v>5.9</v>
      </c>
      <c r="AM63">
        <f t="shared" si="36"/>
        <v>976876.27118644048</v>
      </c>
      <c r="AN63" s="8">
        <v>37748.5</v>
      </c>
      <c r="AO63" s="4">
        <f t="shared" si="15"/>
        <v>3.8642048244404084</v>
      </c>
      <c r="AP63" s="2">
        <v>75044.800000000003</v>
      </c>
      <c r="AQ63" s="11">
        <v>8</v>
      </c>
      <c r="AR63" s="4">
        <f t="shared" si="16"/>
        <v>938060</v>
      </c>
      <c r="AS63" s="2">
        <v>31046.5</v>
      </c>
      <c r="AT63" s="4">
        <f t="shared" si="17"/>
        <v>3.3096497025776603</v>
      </c>
      <c r="AU63" s="2">
        <v>51098</v>
      </c>
      <c r="AV63" s="12">
        <v>4.5999999999999996</v>
      </c>
      <c r="AW63">
        <f t="shared" si="18"/>
        <v>1110826.0869565217</v>
      </c>
      <c r="AX63" s="2">
        <v>29453.3</v>
      </c>
      <c r="AY63" s="4">
        <f t="shared" si="19"/>
        <v>2.6514771615327408</v>
      </c>
      <c r="AZ63">
        <v>62878.1</v>
      </c>
      <c r="BA63" s="15">
        <v>5.2</v>
      </c>
      <c r="BB63">
        <f t="shared" si="20"/>
        <v>1209194.2307692308</v>
      </c>
      <c r="BC63" s="22">
        <v>14891</v>
      </c>
      <c r="BD63" s="4">
        <f t="shared" si="21"/>
        <v>1.2314812311440708</v>
      </c>
      <c r="BE63">
        <v>47136.6</v>
      </c>
      <c r="BF63" s="9">
        <v>3.4</v>
      </c>
      <c r="BG63">
        <f t="shared" si="22"/>
        <v>1386370.588235294</v>
      </c>
      <c r="BH63" s="2">
        <v>29814.5</v>
      </c>
      <c r="BI63" s="4">
        <f t="shared" si="23"/>
        <v>2.1505433145368991</v>
      </c>
      <c r="BJ63" s="9">
        <v>103405.8</v>
      </c>
      <c r="BK63" s="15">
        <v>7.2</v>
      </c>
      <c r="BL63">
        <f t="shared" si="24"/>
        <v>1436191.6666666665</v>
      </c>
      <c r="BM63" s="36">
        <v>21614.501600000003</v>
      </c>
      <c r="BN63" s="4">
        <f t="shared" si="25"/>
        <v>1.5049872591285987</v>
      </c>
      <c r="BO63">
        <v>102687.7</v>
      </c>
      <c r="BP63" s="15">
        <v>6.2</v>
      </c>
      <c r="BQ63">
        <f t="shared" si="26"/>
        <v>1656253.2258064514</v>
      </c>
      <c r="BR63" s="36">
        <v>28327.028300000002</v>
      </c>
      <c r="BS63" s="4">
        <f t="shared" si="27"/>
        <v>1.710307811548998</v>
      </c>
      <c r="BT63" s="22">
        <v>96945.4</v>
      </c>
      <c r="BU63" s="15">
        <v>5.4</v>
      </c>
      <c r="BV63">
        <f t="shared" si="28"/>
        <v>1795285.1851851849</v>
      </c>
      <c r="BW63" s="2"/>
      <c r="BX63" s="42">
        <v>1.2</v>
      </c>
      <c r="BY63" s="32">
        <v>78108.128700000001</v>
      </c>
      <c r="BZ63" s="40">
        <v>4.4069356726814197</v>
      </c>
      <c r="CA63">
        <f t="shared" si="29"/>
        <v>1772390.9424000001</v>
      </c>
      <c r="CB63" s="36">
        <v>22008.349100000003</v>
      </c>
      <c r="CC63" s="4">
        <f t="shared" si="30"/>
        <v>1.2417322032913589</v>
      </c>
    </row>
    <row r="64" spans="1:81" x14ac:dyDescent="0.25">
      <c r="A64" t="s">
        <v>62</v>
      </c>
      <c r="B64" s="8" t="s">
        <v>85</v>
      </c>
      <c r="C64" s="9" t="s">
        <v>85</v>
      </c>
      <c r="D64" s="4"/>
      <c r="E64" s="9">
        <v>46076</v>
      </c>
      <c r="G64" s="8">
        <v>32.299999999999997</v>
      </c>
      <c r="H64" s="9">
        <v>1.8</v>
      </c>
      <c r="I64">
        <f t="shared" si="4"/>
        <v>1794.4444444444443</v>
      </c>
      <c r="J64" s="8">
        <v>172902</v>
      </c>
      <c r="K64" s="4">
        <f t="shared" si="37"/>
        <v>9635.4055727554187</v>
      </c>
      <c r="L64" s="2">
        <v>57.7</v>
      </c>
      <c r="M64" s="9">
        <v>1.9</v>
      </c>
      <c r="N64" s="4">
        <f t="shared" si="5"/>
        <v>3036.8421052631584</v>
      </c>
      <c r="O64" s="9">
        <v>4432</v>
      </c>
      <c r="P64" s="4">
        <f t="shared" si="6"/>
        <v>145.94107452339685</v>
      </c>
      <c r="Q64" s="9">
        <v>45.5</v>
      </c>
      <c r="R64" s="9">
        <v>2</v>
      </c>
      <c r="S64" s="4">
        <f t="shared" si="7"/>
        <v>2275</v>
      </c>
      <c r="T64" s="9">
        <v>56.5</v>
      </c>
      <c r="U64">
        <f t="shared" si="8"/>
        <v>2.4835164835164836</v>
      </c>
      <c r="V64" s="8" t="s">
        <v>85</v>
      </c>
      <c r="W64" s="9"/>
      <c r="X64" s="4"/>
      <c r="Y64" s="9">
        <v>26.4</v>
      </c>
      <c r="AA64" s="8">
        <v>111.8</v>
      </c>
      <c r="AB64" s="15">
        <v>2.8</v>
      </c>
      <c r="AC64" s="4">
        <f t="shared" si="11"/>
        <v>3992.8571428571431</v>
      </c>
      <c r="AD64" s="8">
        <v>57.2</v>
      </c>
      <c r="AE64" s="4">
        <f t="shared" si="12"/>
        <v>1.4325581395348836</v>
      </c>
      <c r="AF64" s="8">
        <v>226.1</v>
      </c>
      <c r="AG64" s="11">
        <v>3.9</v>
      </c>
      <c r="AH64" s="4">
        <f t="shared" si="13"/>
        <v>5797.4358974358975</v>
      </c>
      <c r="AI64" s="8">
        <v>110.9</v>
      </c>
      <c r="AJ64" s="4">
        <f t="shared" si="14"/>
        <v>1.9129146395400267</v>
      </c>
      <c r="AK64" s="8">
        <v>2.1</v>
      </c>
      <c r="AL64" s="12">
        <v>0</v>
      </c>
      <c r="AN64" s="8">
        <v>139.9</v>
      </c>
      <c r="AO64" s="4"/>
      <c r="AP64" s="8">
        <v>3.9</v>
      </c>
      <c r="AQ64" s="12">
        <v>0.1</v>
      </c>
      <c r="AR64" s="4">
        <f t="shared" si="16"/>
        <v>3900</v>
      </c>
      <c r="AS64" s="8">
        <v>23.3</v>
      </c>
      <c r="AT64" s="4">
        <f t="shared" si="17"/>
        <v>0.59743589743589742</v>
      </c>
      <c r="AU64" s="8">
        <v>10.3</v>
      </c>
      <c r="AV64" s="12">
        <v>0.2</v>
      </c>
      <c r="AW64">
        <f t="shared" si="18"/>
        <v>5150</v>
      </c>
      <c r="AX64" s="8">
        <v>468</v>
      </c>
      <c r="AY64" s="4">
        <f t="shared" si="19"/>
        <v>9.0873786407766985</v>
      </c>
      <c r="AZ64" s="9">
        <v>9.6</v>
      </c>
      <c r="BA64" s="15">
        <v>0.1</v>
      </c>
      <c r="BB64">
        <f t="shared" si="20"/>
        <v>9599.9999999999982</v>
      </c>
      <c r="BC64" s="21">
        <v>270.3</v>
      </c>
      <c r="BD64" s="4">
        <f t="shared" si="21"/>
        <v>2.8156250000000007</v>
      </c>
      <c r="BE64" s="9">
        <v>15.1</v>
      </c>
      <c r="BF64">
        <v>0.2</v>
      </c>
      <c r="BG64">
        <f t="shared" si="22"/>
        <v>7550</v>
      </c>
      <c r="BH64" s="8">
        <v>79.8</v>
      </c>
      <c r="BI64" s="4">
        <f t="shared" si="23"/>
        <v>1.0569536423841059</v>
      </c>
      <c r="BJ64" s="9">
        <v>75.7</v>
      </c>
      <c r="BK64" s="15">
        <v>1.2</v>
      </c>
      <c r="BL64">
        <f t="shared" si="24"/>
        <v>6308.3333333333339</v>
      </c>
      <c r="BM64" s="36">
        <v>71.159700000000001</v>
      </c>
      <c r="BN64" s="4">
        <f t="shared" si="25"/>
        <v>1.1280269484808452</v>
      </c>
      <c r="BO64">
        <v>88.7</v>
      </c>
      <c r="BP64" s="15">
        <v>1</v>
      </c>
      <c r="BQ64">
        <f t="shared" si="26"/>
        <v>8870</v>
      </c>
      <c r="BR64" s="36">
        <v>28.496200000000002</v>
      </c>
      <c r="BS64" s="4">
        <f t="shared" si="27"/>
        <v>0.32126493799323563</v>
      </c>
      <c r="BT64" s="22">
        <v>197.6</v>
      </c>
      <c r="BU64" s="15">
        <v>1.4</v>
      </c>
      <c r="BV64">
        <f t="shared" si="28"/>
        <v>14114.285714285714</v>
      </c>
      <c r="BW64" s="2"/>
      <c r="BX64" s="42">
        <v>0.8</v>
      </c>
      <c r="BZ64" s="40">
        <v>3.8749383823551842</v>
      </c>
      <c r="CA64">
        <f t="shared" si="29"/>
        <v>0</v>
      </c>
      <c r="CB64" s="36">
        <v>330.57090000000005</v>
      </c>
      <c r="CC64" s="4"/>
    </row>
    <row r="65" spans="1:81" x14ac:dyDescent="0.25">
      <c r="A65" t="s">
        <v>63</v>
      </c>
      <c r="B65" s="8">
        <v>126.2</v>
      </c>
      <c r="C65" s="9">
        <v>0.4</v>
      </c>
      <c r="D65" s="4">
        <f>B65/C65*100</f>
        <v>31550</v>
      </c>
      <c r="E65" s="9">
        <v>101786</v>
      </c>
      <c r="F65">
        <f>E65/D65*100</f>
        <v>322.6180665610143</v>
      </c>
      <c r="G65" s="8">
        <v>825.2</v>
      </c>
      <c r="H65" s="9">
        <v>2.2999999999999998</v>
      </c>
      <c r="I65">
        <f t="shared" si="4"/>
        <v>35878.260869565223</v>
      </c>
      <c r="J65" s="8">
        <v>592959</v>
      </c>
      <c r="K65" s="4">
        <f t="shared" si="37"/>
        <v>1652.6971643237998</v>
      </c>
      <c r="L65" s="2">
        <v>2407.3000000000002</v>
      </c>
      <c r="M65" s="9">
        <v>5.6</v>
      </c>
      <c r="N65" s="4">
        <f t="shared" si="5"/>
        <v>42987.500000000007</v>
      </c>
      <c r="O65" s="9">
        <v>363724</v>
      </c>
      <c r="P65" s="4">
        <f t="shared" si="6"/>
        <v>846.11573131724322</v>
      </c>
      <c r="Q65">
        <v>3088.2</v>
      </c>
      <c r="R65" s="9">
        <v>6.4</v>
      </c>
      <c r="S65" s="4">
        <f t="shared" si="7"/>
        <v>48253.124999999993</v>
      </c>
      <c r="T65" s="9">
        <v>286.89999999999998</v>
      </c>
      <c r="U65">
        <f t="shared" si="8"/>
        <v>0.59457289035684224</v>
      </c>
      <c r="V65" s="8">
        <v>972.6</v>
      </c>
      <c r="W65" s="9">
        <v>2</v>
      </c>
      <c r="X65" s="4">
        <f t="shared" si="9"/>
        <v>48630</v>
      </c>
      <c r="Y65" s="9">
        <v>527</v>
      </c>
      <c r="Z65">
        <f t="shared" si="10"/>
        <v>1.0836931935019536</v>
      </c>
      <c r="AA65" s="8">
        <v>137.80000000000001</v>
      </c>
      <c r="AB65" s="15">
        <v>0.2</v>
      </c>
      <c r="AC65" s="4">
        <f t="shared" si="11"/>
        <v>68900</v>
      </c>
      <c r="AD65" s="8">
        <v>461.6</v>
      </c>
      <c r="AE65" s="4">
        <f t="shared" si="12"/>
        <v>0.66995645863570397</v>
      </c>
      <c r="AF65" s="8">
        <v>4017.5</v>
      </c>
      <c r="AG65" s="11">
        <v>4.8</v>
      </c>
      <c r="AH65" s="4">
        <f t="shared" si="13"/>
        <v>83697.916666666672</v>
      </c>
      <c r="AI65" s="8">
        <v>1201.0999999999999</v>
      </c>
      <c r="AJ65" s="4">
        <f t="shared" si="14"/>
        <v>1.4350416925948972</v>
      </c>
      <c r="AK65" s="8">
        <v>4484.5</v>
      </c>
      <c r="AL65" s="12">
        <v>5.8</v>
      </c>
      <c r="AM65">
        <f>AK65/AL65*100</f>
        <v>77318.965517241377</v>
      </c>
      <c r="AN65" s="8">
        <v>1154</v>
      </c>
      <c r="AO65" s="4">
        <f t="shared" si="15"/>
        <v>1.4925186754376185</v>
      </c>
      <c r="AP65" s="8">
        <v>5732.1</v>
      </c>
      <c r="AQ65" s="12">
        <v>6</v>
      </c>
      <c r="AR65" s="4">
        <f t="shared" si="16"/>
        <v>95535</v>
      </c>
      <c r="AS65" s="8">
        <v>955.1</v>
      </c>
      <c r="AT65" s="4">
        <f t="shared" si="17"/>
        <v>0.99973831580049199</v>
      </c>
      <c r="AU65" s="8">
        <v>11015.2</v>
      </c>
      <c r="AV65" s="12">
        <v>10.6</v>
      </c>
      <c r="AW65">
        <f t="shared" si="18"/>
        <v>103916.98113207548</v>
      </c>
      <c r="AX65" s="8">
        <v>924.6</v>
      </c>
      <c r="AY65" s="4">
        <f t="shared" si="19"/>
        <v>0.88974871087224916</v>
      </c>
      <c r="AZ65" s="9">
        <v>2311.6999999999998</v>
      </c>
      <c r="BA65" s="10">
        <v>1.8</v>
      </c>
      <c r="BB65">
        <f t="shared" si="20"/>
        <v>128427.77777777777</v>
      </c>
      <c r="BC65" s="21">
        <v>852.6</v>
      </c>
      <c r="BD65" s="4">
        <f t="shared" si="21"/>
        <v>0.66387507029458848</v>
      </c>
      <c r="BE65" s="9">
        <v>2296.9</v>
      </c>
      <c r="BF65">
        <v>2.5</v>
      </c>
      <c r="BG65">
        <f t="shared" si="22"/>
        <v>91876</v>
      </c>
      <c r="BH65" s="8">
        <v>1769.7</v>
      </c>
      <c r="BI65" s="4">
        <f t="shared" si="23"/>
        <v>1.9261831163742436</v>
      </c>
      <c r="BJ65" s="9">
        <v>2444.3000000000002</v>
      </c>
      <c r="BK65" s="15">
        <v>2.4</v>
      </c>
      <c r="BL65">
        <f t="shared" si="24"/>
        <v>101845.83333333334</v>
      </c>
      <c r="BM65" s="36">
        <v>1604.1255000000001</v>
      </c>
      <c r="BN65" s="4">
        <f t="shared" si="25"/>
        <v>1.5750526531113203</v>
      </c>
      <c r="BO65" s="9">
        <v>2429.3000000000002</v>
      </c>
      <c r="BP65" s="15">
        <v>2</v>
      </c>
      <c r="BQ65">
        <f t="shared" si="26"/>
        <v>121465.00000000001</v>
      </c>
      <c r="BR65" s="36">
        <v>4263.9885999999997</v>
      </c>
      <c r="BS65" s="4">
        <f t="shared" si="27"/>
        <v>3.510466883464372</v>
      </c>
      <c r="BT65" s="22">
        <v>2433.1</v>
      </c>
      <c r="BU65" s="15">
        <v>1.4</v>
      </c>
      <c r="BV65">
        <f t="shared" si="28"/>
        <v>173792.85714285716</v>
      </c>
      <c r="BW65" s="2"/>
      <c r="BX65" s="42">
        <v>3.5</v>
      </c>
      <c r="BY65" s="32">
        <v>3777.6057999999998</v>
      </c>
      <c r="BZ65" s="40">
        <v>1.7965640815106891</v>
      </c>
      <c r="CA65">
        <f t="shared" si="29"/>
        <v>210268.35829999999</v>
      </c>
      <c r="CB65" s="36">
        <v>7598.1905999999999</v>
      </c>
      <c r="CC65" s="4">
        <f t="shared" si="30"/>
        <v>3.6135682332000214</v>
      </c>
    </row>
    <row r="66" spans="1:81" x14ac:dyDescent="0.25">
      <c r="A66" t="s">
        <v>64</v>
      </c>
      <c r="B66" s="2"/>
      <c r="D66" s="4"/>
      <c r="G66" s="2"/>
      <c r="H66" s="15"/>
      <c r="J66" s="8">
        <v>1</v>
      </c>
      <c r="K66" s="4"/>
      <c r="L66" s="2">
        <v>2</v>
      </c>
      <c r="M66" s="9">
        <v>0.1</v>
      </c>
      <c r="N66" s="4">
        <f t="shared" si="5"/>
        <v>2000</v>
      </c>
      <c r="O66" s="9" t="s">
        <v>85</v>
      </c>
      <c r="P66" s="4"/>
      <c r="S66" s="4"/>
      <c r="T66" s="9" t="s">
        <v>85</v>
      </c>
      <c r="V66" s="8">
        <v>25</v>
      </c>
      <c r="W66" s="9">
        <v>0.7</v>
      </c>
      <c r="X66" s="4">
        <f t="shared" si="9"/>
        <v>3571.4285714285716</v>
      </c>
      <c r="Y66" s="9">
        <v>45.3</v>
      </c>
      <c r="Z66">
        <f t="shared" si="10"/>
        <v>1.2684</v>
      </c>
      <c r="AA66" s="8">
        <v>44.8</v>
      </c>
      <c r="AB66" s="15">
        <v>0.8</v>
      </c>
      <c r="AC66" s="4">
        <f t="shared" si="11"/>
        <v>5599.9999999999991</v>
      </c>
      <c r="AD66" s="8">
        <v>68.7</v>
      </c>
      <c r="AE66" s="4">
        <f t="shared" si="12"/>
        <v>1.2267857142857144</v>
      </c>
      <c r="AF66" s="8">
        <v>7.1</v>
      </c>
      <c r="AG66" s="11">
        <v>0.1</v>
      </c>
      <c r="AH66" s="4">
        <f t="shared" si="13"/>
        <v>7099.9999999999982</v>
      </c>
      <c r="AI66" s="8">
        <v>6.2</v>
      </c>
      <c r="AJ66" s="4">
        <f t="shared" si="14"/>
        <v>8.7323943661971853E-2</v>
      </c>
      <c r="AK66" s="8">
        <v>0</v>
      </c>
      <c r="AL66" s="12">
        <v>0</v>
      </c>
      <c r="AN66" s="8">
        <v>7.6</v>
      </c>
      <c r="AO66" s="4"/>
      <c r="AP66" s="8">
        <v>0</v>
      </c>
      <c r="AQ66" s="12" t="s">
        <v>85</v>
      </c>
      <c r="AR66" s="4"/>
      <c r="AS66" s="8">
        <v>34.1</v>
      </c>
      <c r="AT66" s="4"/>
      <c r="AU66" s="8">
        <v>1.4</v>
      </c>
      <c r="AV66" s="12">
        <v>0</v>
      </c>
      <c r="AX66" s="8">
        <v>4.0999999999999996</v>
      </c>
      <c r="AY66" s="4"/>
      <c r="AZ66" s="9">
        <v>22.9</v>
      </c>
      <c r="BA66" s="10">
        <v>0.1</v>
      </c>
      <c r="BB66">
        <f t="shared" si="20"/>
        <v>22899.999999999996</v>
      </c>
      <c r="BC66" s="21">
        <v>1</v>
      </c>
      <c r="BD66" s="4">
        <f t="shared" si="21"/>
        <v>4.3668122270742364E-3</v>
      </c>
      <c r="BE66" s="9">
        <v>51</v>
      </c>
      <c r="BF66">
        <v>0.3</v>
      </c>
      <c r="BG66">
        <f t="shared" si="22"/>
        <v>17000</v>
      </c>
      <c r="BH66" s="8">
        <v>5.5</v>
      </c>
      <c r="BI66" s="4">
        <f t="shared" si="23"/>
        <v>3.2352941176470591E-2</v>
      </c>
      <c r="BJ66" s="9">
        <v>34</v>
      </c>
      <c r="BK66" s="15">
        <v>0.1</v>
      </c>
      <c r="BL66">
        <f t="shared" si="24"/>
        <v>34000</v>
      </c>
      <c r="BM66" s="36">
        <v>17.0898</v>
      </c>
      <c r="BN66" s="4">
        <f t="shared" si="25"/>
        <v>5.026411764705882E-2</v>
      </c>
      <c r="BO66" s="9">
        <v>235.6</v>
      </c>
      <c r="BP66" s="10">
        <v>0.7</v>
      </c>
      <c r="BQ66">
        <f t="shared" si="26"/>
        <v>33657.142857142862</v>
      </c>
      <c r="BR66" s="36">
        <v>21.587799999999998</v>
      </c>
      <c r="BS66" s="4">
        <f t="shared" si="27"/>
        <v>6.4140322580645143E-2</v>
      </c>
      <c r="BT66" s="21">
        <v>61.5</v>
      </c>
      <c r="BU66" s="15">
        <v>0.1</v>
      </c>
      <c r="BV66">
        <f t="shared" si="28"/>
        <v>61500</v>
      </c>
      <c r="BW66" s="2"/>
      <c r="BX66" s="42">
        <v>5.3</v>
      </c>
      <c r="BZ66" s="40">
        <v>0.11178569062899708</v>
      </c>
      <c r="CA66">
        <f t="shared" si="29"/>
        <v>0</v>
      </c>
      <c r="CB66" s="36">
        <v>859.3125</v>
      </c>
      <c r="CC66" s="4"/>
    </row>
    <row r="67" spans="1:81" x14ac:dyDescent="0.25">
      <c r="A67" t="s">
        <v>65</v>
      </c>
      <c r="B67" s="2">
        <v>6.4</v>
      </c>
      <c r="D67" s="4"/>
      <c r="E67">
        <v>734071</v>
      </c>
      <c r="G67" s="2">
        <v>38.700000000000003</v>
      </c>
      <c r="H67" s="9">
        <v>0.1</v>
      </c>
      <c r="I67">
        <f t="shared" si="4"/>
        <v>38700</v>
      </c>
      <c r="J67" s="8">
        <v>79043</v>
      </c>
      <c r="K67" s="4">
        <f t="shared" si="37"/>
        <v>204.24547803617571</v>
      </c>
      <c r="L67" s="2"/>
      <c r="M67">
        <v>0.1</v>
      </c>
      <c r="N67" s="4">
        <f t="shared" si="5"/>
        <v>0</v>
      </c>
      <c r="O67" s="9">
        <v>122554</v>
      </c>
      <c r="P67" s="4"/>
      <c r="S67" s="4"/>
      <c r="T67" s="9">
        <v>138.19999999999999</v>
      </c>
      <c r="V67" s="8">
        <v>11.5</v>
      </c>
      <c r="W67" s="9">
        <v>0</v>
      </c>
      <c r="X67" s="4"/>
      <c r="Y67" s="9">
        <v>97.5</v>
      </c>
      <c r="AA67" s="8">
        <v>31.6</v>
      </c>
      <c r="AB67" s="10">
        <v>0</v>
      </c>
      <c r="AC67" s="4"/>
      <c r="AD67" s="8">
        <v>48.3</v>
      </c>
      <c r="AE67" s="4"/>
      <c r="AF67" s="8">
        <v>736.9</v>
      </c>
      <c r="AG67" s="11">
        <v>0.9</v>
      </c>
      <c r="AH67" s="4">
        <f t="shared" si="13"/>
        <v>81877.777777777766</v>
      </c>
      <c r="AI67" s="8">
        <v>346.7</v>
      </c>
      <c r="AJ67" s="4">
        <f t="shared" si="14"/>
        <v>0.42343601574162038</v>
      </c>
      <c r="AK67" s="8">
        <v>1383.1</v>
      </c>
      <c r="AL67" s="12">
        <v>1.3</v>
      </c>
      <c r="AM67">
        <f t="shared" ref="AM67:AM82" si="38">AK67/AL67*100</f>
        <v>106392.30769230769</v>
      </c>
      <c r="AN67" s="8">
        <v>128.19999999999999</v>
      </c>
      <c r="AO67" s="4">
        <f t="shared" si="15"/>
        <v>0.12049743330200274</v>
      </c>
      <c r="AP67" s="8">
        <v>28.5</v>
      </c>
      <c r="AQ67" s="12" t="s">
        <v>85</v>
      </c>
      <c r="AR67" s="4"/>
      <c r="AS67" s="8">
        <v>162.69999999999999</v>
      </c>
      <c r="AT67" s="4"/>
      <c r="AU67" s="8">
        <v>90</v>
      </c>
      <c r="AV67" s="12">
        <v>0</v>
      </c>
      <c r="AX67" s="8">
        <v>158.1</v>
      </c>
      <c r="AY67" s="4"/>
      <c r="AZ67" s="9">
        <v>101.2</v>
      </c>
      <c r="BA67" s="10">
        <v>0.1</v>
      </c>
      <c r="BB67">
        <f t="shared" si="20"/>
        <v>101200</v>
      </c>
      <c r="BC67" s="21">
        <v>61.8</v>
      </c>
      <c r="BD67" s="4">
        <f t="shared" si="21"/>
        <v>6.1067193675889322E-2</v>
      </c>
      <c r="BE67" s="9">
        <v>106.6</v>
      </c>
      <c r="BF67" s="9">
        <v>0.1</v>
      </c>
      <c r="BG67">
        <f t="shared" si="22"/>
        <v>106599.99999999997</v>
      </c>
      <c r="BH67" s="8">
        <v>29.8</v>
      </c>
      <c r="BI67" s="4">
        <f t="shared" si="23"/>
        <v>2.7954971857410887E-2</v>
      </c>
      <c r="BJ67" s="9">
        <v>991</v>
      </c>
      <c r="BK67" s="10">
        <v>0.5</v>
      </c>
      <c r="BL67">
        <f t="shared" si="24"/>
        <v>198200</v>
      </c>
      <c r="BM67" s="36">
        <v>1422.2713999999999</v>
      </c>
      <c r="BN67" s="4">
        <f t="shared" si="25"/>
        <v>0.71759404641775981</v>
      </c>
      <c r="BO67" s="9">
        <v>230.1</v>
      </c>
      <c r="BP67" s="10">
        <v>0.1</v>
      </c>
      <c r="BQ67">
        <f t="shared" si="26"/>
        <v>230100</v>
      </c>
      <c r="BR67" s="36">
        <v>243.048</v>
      </c>
      <c r="BS67" s="4">
        <f t="shared" si="27"/>
        <v>0.10562711864406779</v>
      </c>
      <c r="BT67" s="21">
        <v>540.4</v>
      </c>
      <c r="BU67" s="10">
        <v>0.2</v>
      </c>
      <c r="BV67">
        <f t="shared" si="28"/>
        <v>270199.99999999994</v>
      </c>
      <c r="BW67" s="2"/>
      <c r="BX67" s="42">
        <v>0.1</v>
      </c>
      <c r="BY67" s="32">
        <v>255.00910000000002</v>
      </c>
      <c r="BZ67" s="40">
        <v>9.7717325190315243E-2</v>
      </c>
      <c r="CA67">
        <f t="shared" si="29"/>
        <v>260966.10760000005</v>
      </c>
      <c r="CB67" s="36">
        <v>106.69760000000001</v>
      </c>
      <c r="CC67" s="4">
        <f t="shared" si="30"/>
        <v>4.0885615753422838E-2</v>
      </c>
    </row>
    <row r="68" spans="1:81" x14ac:dyDescent="0.25">
      <c r="A68" t="s">
        <v>66</v>
      </c>
      <c r="B68" s="2">
        <v>4684.1000000000004</v>
      </c>
      <c r="C68">
        <v>6.4</v>
      </c>
      <c r="D68" s="4">
        <f>B68/C68*100</f>
        <v>73189.0625</v>
      </c>
      <c r="E68">
        <v>549280</v>
      </c>
      <c r="F68">
        <f>E68/D68*100</f>
        <v>750.49465212100517</v>
      </c>
      <c r="G68" s="2">
        <v>6664</v>
      </c>
      <c r="H68" s="9">
        <v>6.5</v>
      </c>
      <c r="I68">
        <f t="shared" ref="I68:I83" si="39">G68/H68*100</f>
        <v>102523.07692307692</v>
      </c>
      <c r="J68" s="8">
        <v>1220901</v>
      </c>
      <c r="K68" s="4">
        <f t="shared" si="37"/>
        <v>1190.8548169267708</v>
      </c>
      <c r="L68" s="8">
        <v>5341.9</v>
      </c>
      <c r="M68">
        <v>3.6</v>
      </c>
      <c r="N68" s="4">
        <f t="shared" ref="N68:N84" si="40">L68/M68*100</f>
        <v>148386.11111111109</v>
      </c>
      <c r="O68" s="9">
        <v>1422149</v>
      </c>
      <c r="P68" s="4">
        <f t="shared" ref="P68:P83" si="41">O68/N68*100</f>
        <v>958.41112712705228</v>
      </c>
      <c r="Q68" s="9">
        <v>6955.5</v>
      </c>
      <c r="R68" s="9">
        <v>4.4000000000000004</v>
      </c>
      <c r="S68" s="4">
        <f t="shared" ref="S68:S84" si="42">Q68/R68*100</f>
        <v>158079.54545454544</v>
      </c>
      <c r="T68" s="9">
        <v>986.5</v>
      </c>
      <c r="U68">
        <f t="shared" ref="U68:U83" si="43">T68/S68*100</f>
        <v>0.62405290777082889</v>
      </c>
      <c r="V68" s="8">
        <v>5483.8</v>
      </c>
      <c r="W68" s="9">
        <v>4</v>
      </c>
      <c r="X68" s="4">
        <f t="shared" ref="X68:X84" si="44">V68/W68*100</f>
        <v>137095</v>
      </c>
      <c r="Y68" s="9">
        <v>688.3</v>
      </c>
      <c r="Z68">
        <f t="shared" ref="Z68:Z83" si="45">Y68/X68*100</f>
        <v>0.50206061490207521</v>
      </c>
      <c r="AA68" s="8">
        <v>5741</v>
      </c>
      <c r="AB68" s="10">
        <v>3.4</v>
      </c>
      <c r="AC68" s="4">
        <f t="shared" ref="AC68:AC84" si="46">AA68/AB68*100</f>
        <v>168852.94117647057</v>
      </c>
      <c r="AD68" s="8">
        <v>1062.9000000000001</v>
      </c>
      <c r="AE68" s="4">
        <f t="shared" ref="AE68:AE84" si="47">AD68/AC68*100</f>
        <v>0.6294826685246474</v>
      </c>
      <c r="AF68" s="8">
        <v>5831</v>
      </c>
      <c r="AG68" s="11">
        <v>2.5</v>
      </c>
      <c r="AH68" s="4">
        <f t="shared" ref="AH68:AH82" si="48">AF68/AG68*100</f>
        <v>233240</v>
      </c>
      <c r="AI68" s="8">
        <v>2852.2</v>
      </c>
      <c r="AJ68" s="4">
        <f t="shared" ref="AJ68:AJ82" si="49">AI68/AH68*100</f>
        <v>1.2228605728005488</v>
      </c>
      <c r="AK68" s="8">
        <v>5830.4</v>
      </c>
      <c r="AL68" s="12">
        <v>2.6</v>
      </c>
      <c r="AM68">
        <f t="shared" si="38"/>
        <v>224246.15384615381</v>
      </c>
      <c r="AN68" s="8">
        <v>3569.6</v>
      </c>
      <c r="AO68" s="4">
        <f t="shared" ref="AO68:AO84" si="50">AN68/AM68*100</f>
        <v>1.5918221734357851</v>
      </c>
      <c r="AP68" s="8">
        <v>8843.7000000000007</v>
      </c>
      <c r="AQ68" s="12">
        <v>3.9</v>
      </c>
      <c r="AR68" s="4">
        <f t="shared" ref="AR68:AR84" si="51">AP68/AQ68*100</f>
        <v>226761.53846153847</v>
      </c>
      <c r="AS68" s="8">
        <v>1853.3</v>
      </c>
      <c r="AT68" s="4">
        <f t="shared" ref="AT68:AT84" si="52">AS68/AR68*100</f>
        <v>0.8172902744326469</v>
      </c>
      <c r="AU68" s="8">
        <v>10093.799999999999</v>
      </c>
      <c r="AV68" s="12">
        <v>4.3</v>
      </c>
      <c r="AW68">
        <f t="shared" ref="AW68:AW83" si="53">AU68/AV68*100</f>
        <v>234739.53488372095</v>
      </c>
      <c r="AX68" s="8">
        <v>2654.2</v>
      </c>
      <c r="AY68" s="4">
        <f t="shared" ref="AY68:AY83" si="54">AX68/AW68*100</f>
        <v>1.1307000336840436</v>
      </c>
      <c r="AZ68" s="9">
        <v>11767.2</v>
      </c>
      <c r="BA68" s="15">
        <v>3.9</v>
      </c>
      <c r="BB68">
        <f t="shared" ref="BB68:BB84" si="55">AZ68/BA68*100</f>
        <v>301723.07692307694</v>
      </c>
      <c r="BC68" s="21">
        <v>3318.9</v>
      </c>
      <c r="BD68" s="4">
        <f t="shared" ref="BD68:BD83" si="56">BC68/BB68*100</f>
        <v>1.0999821537833978</v>
      </c>
      <c r="BE68" s="9">
        <v>13592.9</v>
      </c>
      <c r="BF68" s="9">
        <v>4.5999999999999996</v>
      </c>
      <c r="BG68">
        <f t="shared" ref="BG68:BG84" si="57">BE68/BF68*100</f>
        <v>295497.82608695654</v>
      </c>
      <c r="BH68" s="8">
        <v>3313.2</v>
      </c>
      <c r="BI68" s="4">
        <f t="shared" ref="BI68:BI84" si="58">BH68/BG68*100</f>
        <v>1.1212265226699232</v>
      </c>
      <c r="BJ68" s="9">
        <v>14546.2</v>
      </c>
      <c r="BK68" s="10">
        <v>4</v>
      </c>
      <c r="BL68">
        <f t="shared" ref="BL68:BL84" si="59">BJ68/BK68*100</f>
        <v>363655</v>
      </c>
      <c r="BM68" s="36">
        <v>4257.2772000000004</v>
      </c>
      <c r="BN68" s="4">
        <f t="shared" ref="BN68:BN84" si="60">BM68/BL68*100</f>
        <v>1.1706912320743563</v>
      </c>
      <c r="BO68" s="9">
        <v>9690</v>
      </c>
      <c r="BP68" s="10">
        <v>2.8</v>
      </c>
      <c r="BQ68">
        <f t="shared" ref="BQ68:BQ84" si="61">BO68/BP68*100</f>
        <v>346071.42857142858</v>
      </c>
      <c r="BR68" s="36">
        <v>4338.4300999999996</v>
      </c>
      <c r="BS68" s="4">
        <f t="shared" ref="BS68:BS84" si="62">BR68/BQ68*100</f>
        <v>1.2536227327141383</v>
      </c>
      <c r="BT68" s="21">
        <v>13167.2</v>
      </c>
      <c r="BU68" s="10">
        <v>3.1</v>
      </c>
      <c r="BV68">
        <f t="shared" ref="BV68:BV84" si="63">BT68/BU68*100</f>
        <v>424748.38709677424</v>
      </c>
      <c r="BW68" s="2"/>
      <c r="BX68" s="42">
        <v>1.7</v>
      </c>
      <c r="BY68" s="32">
        <v>11457.7248</v>
      </c>
      <c r="BZ68" s="40">
        <v>2.6479038640681982</v>
      </c>
      <c r="CA68">
        <f t="shared" ref="CA68:CA84" si="64">BY68/BZ68*100</f>
        <v>432709.24430000002</v>
      </c>
      <c r="CB68" s="36">
        <v>8886.5865999999987</v>
      </c>
      <c r="CC68" s="4">
        <f t="shared" ref="CC68:CC84" si="65">CB68/CA68*100</f>
        <v>2.053708516067402</v>
      </c>
    </row>
    <row r="69" spans="1:81" x14ac:dyDescent="0.25">
      <c r="A69" t="s">
        <v>73</v>
      </c>
      <c r="B69" s="2"/>
      <c r="D69" s="4"/>
      <c r="G69" s="2"/>
      <c r="H69" s="15"/>
      <c r="J69" s="2"/>
      <c r="K69" s="4"/>
      <c r="L69" s="8">
        <v>915.4</v>
      </c>
      <c r="N69" s="4"/>
      <c r="O69" s="2"/>
      <c r="P69" s="4"/>
      <c r="Q69" s="9">
        <v>644.20000000000005</v>
      </c>
      <c r="R69" s="9">
        <v>1.6</v>
      </c>
      <c r="S69" s="4">
        <f t="shared" si="42"/>
        <v>40262.5</v>
      </c>
      <c r="T69" s="9">
        <v>49.1</v>
      </c>
      <c r="U69">
        <f t="shared" si="43"/>
        <v>0.12194970506054022</v>
      </c>
      <c r="V69" s="8">
        <v>496.9</v>
      </c>
      <c r="W69" s="9">
        <v>1.1000000000000001</v>
      </c>
      <c r="X69" s="4">
        <f t="shared" si="44"/>
        <v>45172.727272727272</v>
      </c>
      <c r="Y69" s="9">
        <v>61.3</v>
      </c>
      <c r="Z69">
        <f t="shared" si="45"/>
        <v>0.13570134835983094</v>
      </c>
      <c r="AA69" s="8">
        <v>446.5</v>
      </c>
      <c r="AB69" s="15">
        <v>0.8</v>
      </c>
      <c r="AC69" s="4">
        <f t="shared" si="46"/>
        <v>55812.5</v>
      </c>
      <c r="AD69" s="8">
        <v>457.6</v>
      </c>
      <c r="AE69" s="4">
        <f t="shared" si="47"/>
        <v>0.81988801791713328</v>
      </c>
      <c r="AF69" s="8">
        <v>15184.2</v>
      </c>
      <c r="AG69" s="11">
        <v>19.399999999999999</v>
      </c>
      <c r="AH69" s="4">
        <f t="shared" si="48"/>
        <v>78269.072164948462</v>
      </c>
      <c r="AI69" s="8">
        <v>532.1</v>
      </c>
      <c r="AJ69" s="4">
        <f t="shared" si="49"/>
        <v>0.67983430144492296</v>
      </c>
      <c r="AK69" s="8">
        <v>13064.4</v>
      </c>
      <c r="AL69" s="12">
        <v>13.7</v>
      </c>
      <c r="AM69">
        <f t="shared" si="38"/>
        <v>95360.583941605844</v>
      </c>
      <c r="AN69" s="8">
        <v>362.6</v>
      </c>
      <c r="AO69" s="4">
        <f t="shared" si="50"/>
        <v>0.38024096016655951</v>
      </c>
      <c r="AP69" s="8">
        <v>7217.9</v>
      </c>
      <c r="AQ69" s="12">
        <v>6.3</v>
      </c>
      <c r="AR69" s="4">
        <f t="shared" si="51"/>
        <v>114569.84126984127</v>
      </c>
      <c r="AS69" s="8">
        <v>521.6</v>
      </c>
      <c r="AT69" s="4">
        <f t="shared" si="52"/>
        <v>0.45526815278682164</v>
      </c>
      <c r="AU69" s="8">
        <v>8156.9</v>
      </c>
      <c r="AV69" s="12">
        <v>7.3</v>
      </c>
      <c r="AW69">
        <f t="shared" si="53"/>
        <v>111738.35616438356</v>
      </c>
      <c r="AX69" s="8">
        <v>998.4</v>
      </c>
      <c r="AY69" s="4">
        <f t="shared" si="54"/>
        <v>0.89351591903786987</v>
      </c>
      <c r="AZ69" s="9">
        <v>10427.6</v>
      </c>
      <c r="BA69" s="15">
        <v>8.9</v>
      </c>
      <c r="BB69">
        <f t="shared" si="55"/>
        <v>117164.04494382022</v>
      </c>
      <c r="BC69" s="21">
        <v>1891.5</v>
      </c>
      <c r="BD69" s="4">
        <f t="shared" si="56"/>
        <v>1.6144031224826425</v>
      </c>
      <c r="BE69" s="9">
        <v>9752.9</v>
      </c>
      <c r="BF69">
        <v>7.2</v>
      </c>
      <c r="BG69">
        <f t="shared" si="57"/>
        <v>135456.94444444444</v>
      </c>
      <c r="BH69" s="8">
        <v>828.6</v>
      </c>
      <c r="BI69" s="4">
        <f t="shared" si="58"/>
        <v>0.61170728706333499</v>
      </c>
      <c r="BJ69">
        <v>2110.4</v>
      </c>
      <c r="BK69" s="15">
        <v>1.5</v>
      </c>
      <c r="BL69">
        <f t="shared" si="59"/>
        <v>140693.33333333334</v>
      </c>
      <c r="BM69" s="36">
        <v>1193.1641000000002</v>
      </c>
      <c r="BN69" s="4">
        <f t="shared" si="60"/>
        <v>0.84806015447308569</v>
      </c>
      <c r="BO69">
        <v>800.8</v>
      </c>
      <c r="BP69" s="15">
        <v>0.5</v>
      </c>
      <c r="BQ69">
        <f t="shared" si="61"/>
        <v>160160</v>
      </c>
      <c r="BR69" s="36">
        <v>1106.7365</v>
      </c>
      <c r="BS69" s="4">
        <f t="shared" si="62"/>
        <v>0.69101929320679323</v>
      </c>
      <c r="BT69" s="22">
        <v>342.6</v>
      </c>
      <c r="BU69" s="15">
        <v>0.2</v>
      </c>
      <c r="BV69">
        <f t="shared" si="63"/>
        <v>171300</v>
      </c>
      <c r="BW69" s="2"/>
      <c r="BX69" s="42">
        <v>0.4</v>
      </c>
      <c r="BZ69" s="40">
        <v>0.17245339863324494</v>
      </c>
      <c r="CA69">
        <f t="shared" si="64"/>
        <v>0</v>
      </c>
      <c r="CB69" s="36">
        <v>509.74829999999997</v>
      </c>
      <c r="CC69" s="4"/>
    </row>
    <row r="70" spans="1:81" x14ac:dyDescent="0.25">
      <c r="A70" t="s">
        <v>67</v>
      </c>
      <c r="B70" s="8">
        <v>4534.7</v>
      </c>
      <c r="C70" s="9">
        <v>1.2</v>
      </c>
      <c r="D70" s="4">
        <f t="shared" ref="D70:D80" si="66">B70/C70*100</f>
        <v>377891.66666666663</v>
      </c>
      <c r="E70" s="9">
        <v>1422705</v>
      </c>
      <c r="F70">
        <f t="shared" ref="F70:F80" si="67">E70/D70*100</f>
        <v>376.48488323373101</v>
      </c>
      <c r="G70" s="8">
        <v>9386.7999999999993</v>
      </c>
      <c r="H70" s="9">
        <v>1.8</v>
      </c>
      <c r="I70">
        <f t="shared" si="39"/>
        <v>521488.88888888888</v>
      </c>
      <c r="J70" s="8">
        <v>1756787</v>
      </c>
      <c r="K70" s="4">
        <f t="shared" si="37"/>
        <v>336.87908552435334</v>
      </c>
      <c r="L70" s="8">
        <v>12912.7</v>
      </c>
      <c r="M70">
        <v>2</v>
      </c>
      <c r="N70" s="4">
        <f t="shared" si="40"/>
        <v>645635</v>
      </c>
      <c r="O70" s="9">
        <v>5644774</v>
      </c>
      <c r="P70" s="4">
        <f t="shared" si="41"/>
        <v>874.29801668125185</v>
      </c>
      <c r="Q70" s="9">
        <v>9387.1</v>
      </c>
      <c r="R70" s="9">
        <v>1.6</v>
      </c>
      <c r="S70" s="4">
        <f t="shared" si="42"/>
        <v>586693.75</v>
      </c>
      <c r="T70" s="9">
        <v>8091.3</v>
      </c>
      <c r="U70">
        <f t="shared" si="43"/>
        <v>1.3791351961734721</v>
      </c>
      <c r="V70" s="8">
        <v>3895.5</v>
      </c>
      <c r="W70" s="9">
        <v>0.6</v>
      </c>
      <c r="X70" s="4">
        <f t="shared" si="44"/>
        <v>649250</v>
      </c>
      <c r="Y70" s="9">
        <v>8030.9</v>
      </c>
      <c r="Z70">
        <f t="shared" si="45"/>
        <v>1.2369503273007316</v>
      </c>
      <c r="AA70" s="8">
        <v>4957.2</v>
      </c>
      <c r="AB70" s="15">
        <v>0.5</v>
      </c>
      <c r="AC70" s="4">
        <f t="shared" si="46"/>
        <v>991440</v>
      </c>
      <c r="AD70" s="8">
        <v>14617.7</v>
      </c>
      <c r="AE70" s="4">
        <f t="shared" si="47"/>
        <v>1.4743907851206326</v>
      </c>
      <c r="AF70" s="8">
        <v>11694.6</v>
      </c>
      <c r="AG70" s="11">
        <v>1.1000000000000001</v>
      </c>
      <c r="AH70" s="4">
        <f t="shared" si="48"/>
        <v>1063145.4545454544</v>
      </c>
      <c r="AI70" s="8">
        <v>19643.900000000001</v>
      </c>
      <c r="AJ70" s="4">
        <f t="shared" si="49"/>
        <v>1.8477151847861411</v>
      </c>
      <c r="AK70" s="8">
        <v>35800.1</v>
      </c>
      <c r="AL70" s="12">
        <v>3.4</v>
      </c>
      <c r="AM70">
        <f t="shared" si="38"/>
        <v>1052944.1176470588</v>
      </c>
      <c r="AN70" s="8">
        <v>24979.5</v>
      </c>
      <c r="AO70" s="4">
        <f t="shared" si="50"/>
        <v>2.3723481219326206</v>
      </c>
      <c r="AP70" s="8">
        <v>53874.8</v>
      </c>
      <c r="AQ70" s="12">
        <v>5.0999999999999996</v>
      </c>
      <c r="AR70" s="4">
        <f t="shared" si="51"/>
        <v>1056368.6274509807</v>
      </c>
      <c r="AS70" s="8">
        <v>67700.399999999994</v>
      </c>
      <c r="AT70" s="4">
        <f t="shared" si="52"/>
        <v>6.4087855546563492</v>
      </c>
      <c r="AU70" s="8">
        <v>49820</v>
      </c>
      <c r="AV70" s="12">
        <v>4</v>
      </c>
      <c r="AW70">
        <f t="shared" si="53"/>
        <v>1245500</v>
      </c>
      <c r="AX70" s="8">
        <v>84718.5</v>
      </c>
      <c r="AY70" s="4">
        <f t="shared" si="54"/>
        <v>6.8019670814933768</v>
      </c>
      <c r="AZ70" s="9">
        <v>58836.9</v>
      </c>
      <c r="BA70" s="15">
        <v>4</v>
      </c>
      <c r="BB70">
        <f t="shared" si="55"/>
        <v>1470922.5</v>
      </c>
      <c r="BC70" s="21">
        <v>60049.8</v>
      </c>
      <c r="BD70" s="4">
        <f t="shared" si="56"/>
        <v>4.0824584571926801</v>
      </c>
      <c r="BE70" s="9">
        <v>63138.7</v>
      </c>
      <c r="BF70">
        <v>4.0999999999999996</v>
      </c>
      <c r="BG70">
        <f t="shared" si="57"/>
        <v>1539968.2926829269</v>
      </c>
      <c r="BH70" s="8">
        <v>38440.1</v>
      </c>
      <c r="BI70" s="4">
        <f t="shared" si="58"/>
        <v>2.4961617835020355</v>
      </c>
      <c r="BJ70" s="9">
        <v>63160.7</v>
      </c>
      <c r="BK70" s="15">
        <v>3.3</v>
      </c>
      <c r="BL70">
        <f t="shared" si="59"/>
        <v>1913960.606060606</v>
      </c>
      <c r="BM70" s="36">
        <v>35017.694600000003</v>
      </c>
      <c r="BN70" s="4">
        <f t="shared" si="60"/>
        <v>1.8295932784152171</v>
      </c>
      <c r="BO70" s="9">
        <v>57406.9</v>
      </c>
      <c r="BP70" s="15">
        <v>2.5</v>
      </c>
      <c r="BQ70">
        <f t="shared" si="61"/>
        <v>2296276</v>
      </c>
      <c r="BR70" s="36">
        <v>61568.152099999999</v>
      </c>
      <c r="BS70" s="4">
        <f t="shared" si="62"/>
        <v>2.6812174189862192</v>
      </c>
      <c r="BT70" s="21">
        <v>143245.70000000001</v>
      </c>
      <c r="BU70" s="15">
        <v>4.7</v>
      </c>
      <c r="BV70">
        <f t="shared" si="63"/>
        <v>3047780.8510638298</v>
      </c>
      <c r="BW70" s="2"/>
      <c r="BX70" s="42">
        <v>2.2999999999999998</v>
      </c>
      <c r="BY70" s="32">
        <v>135373.09769999998</v>
      </c>
      <c r="BZ70" s="40">
        <v>4.5627900183435965</v>
      </c>
      <c r="CA70">
        <f t="shared" si="64"/>
        <v>2966893.0008999999</v>
      </c>
      <c r="CB70" s="36">
        <v>53845.910100000001</v>
      </c>
      <c r="CC70" s="4">
        <f t="shared" si="65"/>
        <v>1.8148922149759352</v>
      </c>
    </row>
    <row r="71" spans="1:81" x14ac:dyDescent="0.25">
      <c r="A71" t="s">
        <v>68</v>
      </c>
      <c r="B71" s="8">
        <v>355.2</v>
      </c>
      <c r="C71" s="9">
        <v>0.2</v>
      </c>
      <c r="D71" s="4">
        <f t="shared" si="66"/>
        <v>177599.99999999997</v>
      </c>
      <c r="E71" s="9">
        <v>3044080</v>
      </c>
      <c r="F71">
        <f t="shared" si="67"/>
        <v>1714.0090090090093</v>
      </c>
      <c r="G71" s="8">
        <v>1469.5</v>
      </c>
      <c r="H71" s="9">
        <v>0.6</v>
      </c>
      <c r="I71">
        <f t="shared" si="39"/>
        <v>244916.66666666669</v>
      </c>
      <c r="J71" s="8">
        <v>3796239</v>
      </c>
      <c r="K71" s="4">
        <f t="shared" si="37"/>
        <v>1550.0125212657367</v>
      </c>
      <c r="L71" s="8">
        <v>2260.5</v>
      </c>
      <c r="M71" s="9">
        <v>0.8</v>
      </c>
      <c r="N71" s="4">
        <f t="shared" si="40"/>
        <v>282562.5</v>
      </c>
      <c r="O71" s="9">
        <v>3636948</v>
      </c>
      <c r="P71" s="4">
        <f t="shared" si="41"/>
        <v>1287.1304578633046</v>
      </c>
      <c r="Q71" s="9">
        <v>3449.7</v>
      </c>
      <c r="R71" s="9">
        <v>1.2</v>
      </c>
      <c r="S71" s="4">
        <f t="shared" si="42"/>
        <v>287475</v>
      </c>
      <c r="T71" s="9">
        <v>3233</v>
      </c>
      <c r="U71">
        <f t="shared" si="43"/>
        <v>1.1246195321332288</v>
      </c>
      <c r="V71" s="8">
        <v>1281.8</v>
      </c>
      <c r="W71" s="9">
        <v>0.4</v>
      </c>
      <c r="X71" s="4">
        <f t="shared" si="44"/>
        <v>320449.99999999994</v>
      </c>
      <c r="Y71" s="9">
        <v>5460.1</v>
      </c>
      <c r="Z71">
        <f t="shared" si="45"/>
        <v>1.7038851614916528</v>
      </c>
      <c r="AA71" s="8">
        <v>2282.6999999999998</v>
      </c>
      <c r="AB71" s="10">
        <v>0.5</v>
      </c>
      <c r="AC71" s="4">
        <f t="shared" si="46"/>
        <v>456539.99999999994</v>
      </c>
      <c r="AD71" s="8">
        <v>9966</v>
      </c>
      <c r="AE71" s="4">
        <f t="shared" si="47"/>
        <v>2.1829412537784205</v>
      </c>
      <c r="AF71" s="8">
        <v>4887.7</v>
      </c>
      <c r="AG71" s="11">
        <v>1</v>
      </c>
      <c r="AH71" s="4">
        <f t="shared" si="48"/>
        <v>488770</v>
      </c>
      <c r="AI71" s="8">
        <v>4876.1000000000004</v>
      </c>
      <c r="AJ71" s="4">
        <f t="shared" si="49"/>
        <v>0.99762669558278949</v>
      </c>
      <c r="AK71" s="8">
        <v>7787.8</v>
      </c>
      <c r="AL71" s="12">
        <v>1.5</v>
      </c>
      <c r="AM71">
        <f t="shared" si="38"/>
        <v>519186.66666666669</v>
      </c>
      <c r="AN71" s="8">
        <v>7448.8</v>
      </c>
      <c r="AO71" s="4">
        <f t="shared" si="50"/>
        <v>1.4347055651146665</v>
      </c>
      <c r="AP71" s="8">
        <v>4937.8</v>
      </c>
      <c r="AQ71" s="12">
        <v>0.6</v>
      </c>
      <c r="AR71" s="4">
        <f t="shared" si="51"/>
        <v>822966.66666666674</v>
      </c>
      <c r="AS71" s="8">
        <v>19300.8</v>
      </c>
      <c r="AT71" s="4">
        <f t="shared" si="52"/>
        <v>2.3452711733970588</v>
      </c>
      <c r="AU71" s="8">
        <v>11248.2</v>
      </c>
      <c r="AV71" s="12">
        <v>1.6</v>
      </c>
      <c r="AW71">
        <f t="shared" si="53"/>
        <v>703012.5</v>
      </c>
      <c r="AX71" s="8">
        <v>20984.9</v>
      </c>
      <c r="AY71" s="4">
        <f t="shared" si="54"/>
        <v>2.9849967105848045</v>
      </c>
      <c r="AZ71" s="9">
        <v>22968.1</v>
      </c>
      <c r="BA71" s="10">
        <v>2.9</v>
      </c>
      <c r="BB71">
        <f t="shared" si="55"/>
        <v>792003.44827586203</v>
      </c>
      <c r="BC71" s="21">
        <v>18735.599999999999</v>
      </c>
      <c r="BD71" s="4">
        <f t="shared" si="56"/>
        <v>2.3655957610773202</v>
      </c>
      <c r="BE71" s="9">
        <v>11812.2</v>
      </c>
      <c r="BF71" s="9">
        <v>1.3</v>
      </c>
      <c r="BG71">
        <f t="shared" si="57"/>
        <v>908630.76923076937</v>
      </c>
      <c r="BH71" s="8">
        <v>9977.7999999999993</v>
      </c>
      <c r="BI71" s="4">
        <f t="shared" si="58"/>
        <v>1.098113814530739</v>
      </c>
      <c r="BJ71" s="9">
        <v>7618</v>
      </c>
      <c r="BK71" s="15">
        <v>0.8</v>
      </c>
      <c r="BL71">
        <f t="shared" si="59"/>
        <v>952250</v>
      </c>
      <c r="BM71" s="36">
        <v>22703.540300000001</v>
      </c>
      <c r="BN71" s="4">
        <f t="shared" si="60"/>
        <v>2.3841995589393541</v>
      </c>
      <c r="BO71" s="9">
        <v>9715.6</v>
      </c>
      <c r="BP71" s="10">
        <v>0.8</v>
      </c>
      <c r="BQ71">
        <f t="shared" si="61"/>
        <v>1214450</v>
      </c>
      <c r="BR71" s="36">
        <v>26776.2569</v>
      </c>
      <c r="BS71" s="4">
        <f t="shared" si="62"/>
        <v>2.2048052122359918</v>
      </c>
      <c r="BT71" s="21">
        <v>14362.8</v>
      </c>
      <c r="BU71" s="10">
        <v>0.9</v>
      </c>
      <c r="BV71">
        <f t="shared" si="63"/>
        <v>1595866.6666666665</v>
      </c>
      <c r="BW71" s="2"/>
      <c r="BX71" s="42">
        <v>2.6</v>
      </c>
      <c r="BY71" s="32">
        <v>16973.094100000002</v>
      </c>
      <c r="BZ71" s="40">
        <v>0.68779688135147654</v>
      </c>
      <c r="CA71">
        <f t="shared" si="64"/>
        <v>2467748.0460000001</v>
      </c>
      <c r="CB71" s="36">
        <v>43279.482200000006</v>
      </c>
      <c r="CC71" s="4">
        <f t="shared" si="65"/>
        <v>1.7538047399187364</v>
      </c>
    </row>
    <row r="72" spans="1:81" x14ac:dyDescent="0.25">
      <c r="A72" t="s">
        <v>69</v>
      </c>
      <c r="B72" s="8">
        <v>2192.1999999999998</v>
      </c>
      <c r="C72" s="9">
        <v>0.6</v>
      </c>
      <c r="D72" s="4">
        <f t="shared" si="66"/>
        <v>365366.66666666663</v>
      </c>
      <c r="E72" s="9">
        <v>4779299</v>
      </c>
      <c r="F72">
        <f t="shared" si="67"/>
        <v>1308.0829303895632</v>
      </c>
      <c r="G72" s="8">
        <v>2763.7</v>
      </c>
      <c r="H72" s="9">
        <v>0.7</v>
      </c>
      <c r="I72">
        <f t="shared" si="39"/>
        <v>394814.28571428574</v>
      </c>
      <c r="J72" s="8">
        <v>1845074</v>
      </c>
      <c r="K72" s="4">
        <f t="shared" si="37"/>
        <v>467.32706154792487</v>
      </c>
      <c r="L72" s="8">
        <v>15827.2</v>
      </c>
      <c r="M72" s="9">
        <v>3.2</v>
      </c>
      <c r="N72" s="4">
        <f t="shared" si="40"/>
        <v>494600</v>
      </c>
      <c r="O72" s="9">
        <v>2583069</v>
      </c>
      <c r="P72" s="4">
        <f t="shared" si="41"/>
        <v>522.2541447634452</v>
      </c>
      <c r="Q72" s="9">
        <v>7561.5</v>
      </c>
      <c r="R72" s="9">
        <v>1.2</v>
      </c>
      <c r="S72" s="4">
        <f t="shared" si="42"/>
        <v>630125</v>
      </c>
      <c r="T72" s="9">
        <v>2552.3000000000002</v>
      </c>
      <c r="U72">
        <f t="shared" si="43"/>
        <v>0.40504661773457645</v>
      </c>
      <c r="V72" s="8">
        <v>1139.9000000000001</v>
      </c>
      <c r="W72" s="9">
        <v>0.2</v>
      </c>
      <c r="X72" s="4">
        <f t="shared" si="44"/>
        <v>569950</v>
      </c>
      <c r="Y72" s="9">
        <v>901.1</v>
      </c>
      <c r="Z72">
        <f t="shared" si="45"/>
        <v>0.15810158785858408</v>
      </c>
      <c r="AA72" s="8">
        <v>3881.9</v>
      </c>
      <c r="AB72" s="10">
        <v>0.6</v>
      </c>
      <c r="AC72" s="4">
        <f t="shared" si="46"/>
        <v>646983.33333333337</v>
      </c>
      <c r="AD72" s="8">
        <v>1697.2</v>
      </c>
      <c r="AE72" s="4">
        <f t="shared" si="47"/>
        <v>0.26232515005538526</v>
      </c>
      <c r="AF72" s="8">
        <v>4244.3999999999996</v>
      </c>
      <c r="AG72" s="11">
        <v>0.4</v>
      </c>
      <c r="AH72" s="4">
        <f t="shared" si="48"/>
        <v>1061099.9999999998</v>
      </c>
      <c r="AI72" s="8">
        <v>2990.4</v>
      </c>
      <c r="AJ72" s="4">
        <f t="shared" si="49"/>
        <v>0.28182075204975976</v>
      </c>
      <c r="AK72" s="8">
        <v>1977.4</v>
      </c>
      <c r="AL72" s="12">
        <v>0.2</v>
      </c>
      <c r="AM72">
        <f t="shared" si="38"/>
        <v>988700</v>
      </c>
      <c r="AN72" s="8">
        <v>12978.9</v>
      </c>
      <c r="AO72" s="4">
        <f t="shared" si="50"/>
        <v>1.312723778699302</v>
      </c>
      <c r="AP72" s="8">
        <v>3242.9</v>
      </c>
      <c r="AQ72" s="12">
        <v>0.4</v>
      </c>
      <c r="AR72" s="4">
        <f t="shared" si="51"/>
        <v>810725</v>
      </c>
      <c r="AS72" s="8">
        <v>6662.4</v>
      </c>
      <c r="AT72" s="4">
        <f t="shared" si="52"/>
        <v>0.82178297203120665</v>
      </c>
      <c r="AU72" s="8">
        <v>21346.2</v>
      </c>
      <c r="AV72" s="12">
        <v>1.6</v>
      </c>
      <c r="AW72">
        <f t="shared" si="53"/>
        <v>1334137.5</v>
      </c>
      <c r="AX72" s="8">
        <v>1184.4000000000001</v>
      </c>
      <c r="AY72" s="4">
        <f t="shared" si="54"/>
        <v>8.8776456699553086E-2</v>
      </c>
      <c r="AZ72" s="9">
        <v>32435</v>
      </c>
      <c r="BA72" s="10">
        <v>2.9</v>
      </c>
      <c r="BB72">
        <f t="shared" si="55"/>
        <v>1118448.2758620691</v>
      </c>
      <c r="BC72" s="21">
        <v>3899.6</v>
      </c>
      <c r="BD72" s="4">
        <f t="shared" si="56"/>
        <v>0.3486616309542161</v>
      </c>
      <c r="BE72" s="9">
        <v>25615.5</v>
      </c>
      <c r="BF72" s="9">
        <v>2.1</v>
      </c>
      <c r="BG72">
        <f t="shared" si="57"/>
        <v>1219785.7142857143</v>
      </c>
      <c r="BH72" s="8">
        <v>2556.9</v>
      </c>
      <c r="BI72" s="4">
        <f t="shared" si="58"/>
        <v>0.20961878550096621</v>
      </c>
      <c r="BJ72" s="9">
        <v>25217</v>
      </c>
      <c r="BK72" s="10">
        <v>1.7</v>
      </c>
      <c r="BL72">
        <f t="shared" si="59"/>
        <v>1483352.9411764706</v>
      </c>
      <c r="BM72" s="36">
        <v>3314.1622000000002</v>
      </c>
      <c r="BN72" s="4">
        <f t="shared" si="60"/>
        <v>0.22342371178173456</v>
      </c>
      <c r="BO72" s="9">
        <v>13860</v>
      </c>
      <c r="BP72" s="10">
        <v>0.7</v>
      </c>
      <c r="BQ72">
        <f t="shared" si="61"/>
        <v>1980000</v>
      </c>
      <c r="BR72" s="36">
        <v>2225.3737000000001</v>
      </c>
      <c r="BS72" s="4">
        <f t="shared" si="62"/>
        <v>0.11239261111111111</v>
      </c>
      <c r="BT72" s="21">
        <v>17431.099999999999</v>
      </c>
      <c r="BU72" s="10">
        <v>1</v>
      </c>
      <c r="BV72">
        <f t="shared" si="63"/>
        <v>1743109.9999999998</v>
      </c>
      <c r="BW72" s="2"/>
      <c r="BX72" s="42">
        <v>0.6</v>
      </c>
      <c r="BY72" s="32">
        <v>37998.2215</v>
      </c>
      <c r="BZ72" s="40">
        <v>2.3002980451646255</v>
      </c>
      <c r="CA72">
        <f t="shared" si="64"/>
        <v>1651882.5280000002</v>
      </c>
      <c r="CB72" s="36">
        <v>33979.470799999996</v>
      </c>
      <c r="CC72" s="4">
        <f t="shared" si="65"/>
        <v>2.0570149646863989</v>
      </c>
    </row>
    <row r="73" spans="1:81" x14ac:dyDescent="0.25">
      <c r="A73" t="s">
        <v>70</v>
      </c>
      <c r="B73" s="8">
        <v>2282.6</v>
      </c>
      <c r="C73" s="9">
        <v>2.1</v>
      </c>
      <c r="D73" s="4">
        <f t="shared" si="66"/>
        <v>108695.23809523809</v>
      </c>
      <c r="E73" s="9">
        <v>918851</v>
      </c>
      <c r="F73">
        <f t="shared" si="67"/>
        <v>845.34614036624907</v>
      </c>
      <c r="G73" s="8">
        <v>3463.4</v>
      </c>
      <c r="H73" s="9">
        <v>1.3</v>
      </c>
      <c r="I73">
        <f t="shared" si="39"/>
        <v>266415.38461538462</v>
      </c>
      <c r="J73" s="8">
        <v>1046513</v>
      </c>
      <c r="K73" s="4">
        <f t="shared" si="37"/>
        <v>392.81252526419121</v>
      </c>
      <c r="L73" s="8">
        <v>3083.4</v>
      </c>
      <c r="M73" s="9">
        <v>1.1000000000000001</v>
      </c>
      <c r="N73" s="4">
        <f t="shared" si="40"/>
        <v>280309.09090909088</v>
      </c>
      <c r="O73" s="9">
        <v>2537016</v>
      </c>
      <c r="P73" s="4">
        <f t="shared" si="41"/>
        <v>905.07803074528135</v>
      </c>
      <c r="Q73" s="9">
        <v>7903.6</v>
      </c>
      <c r="R73" s="9">
        <v>3.4</v>
      </c>
      <c r="S73" s="4">
        <f t="shared" si="42"/>
        <v>232458.82352941181</v>
      </c>
      <c r="T73" s="9">
        <v>2500.8000000000002</v>
      </c>
      <c r="U73">
        <f t="shared" si="43"/>
        <v>1.0758034313477403</v>
      </c>
      <c r="V73" s="8">
        <v>9402.5</v>
      </c>
      <c r="W73" s="9">
        <v>4.2</v>
      </c>
      <c r="X73" s="4">
        <f t="shared" si="44"/>
        <v>223869.0476190476</v>
      </c>
      <c r="Y73" s="9">
        <v>3069.4</v>
      </c>
      <c r="Z73">
        <f t="shared" si="45"/>
        <v>1.3710693964371179</v>
      </c>
      <c r="AA73" s="8">
        <v>14106.1</v>
      </c>
      <c r="AB73" s="10">
        <v>5.0999999999999996</v>
      </c>
      <c r="AC73" s="4">
        <f t="shared" si="46"/>
        <v>276590.19607843139</v>
      </c>
      <c r="AD73" s="8">
        <v>3866</v>
      </c>
      <c r="AE73" s="4">
        <f t="shared" si="47"/>
        <v>1.397735731350267</v>
      </c>
      <c r="AF73" s="8">
        <v>16069</v>
      </c>
      <c r="AG73" s="11">
        <v>5.4</v>
      </c>
      <c r="AH73" s="4">
        <f t="shared" si="48"/>
        <v>297574.07407407404</v>
      </c>
      <c r="AI73" s="8">
        <v>5563.1</v>
      </c>
      <c r="AJ73" s="4">
        <f t="shared" si="49"/>
        <v>1.8694840998195288</v>
      </c>
      <c r="AK73" s="8">
        <v>24042.400000000001</v>
      </c>
      <c r="AL73" s="12">
        <v>7.3</v>
      </c>
      <c r="AM73">
        <f t="shared" si="38"/>
        <v>329347.94520547951</v>
      </c>
      <c r="AN73" s="8">
        <v>5745.8</v>
      </c>
      <c r="AO73" s="4">
        <f t="shared" si="50"/>
        <v>1.7445987089475257</v>
      </c>
      <c r="AP73" s="8">
        <v>33832.300000000003</v>
      </c>
      <c r="AQ73" s="12">
        <v>9.3000000000000007</v>
      </c>
      <c r="AR73" s="4">
        <f t="shared" si="51"/>
        <v>363788.17204301077</v>
      </c>
      <c r="AS73" s="8">
        <v>6376</v>
      </c>
      <c r="AT73" s="4">
        <f t="shared" si="52"/>
        <v>1.7526683080961094</v>
      </c>
      <c r="AU73" s="8">
        <v>38839.9</v>
      </c>
      <c r="AV73" s="12">
        <v>10</v>
      </c>
      <c r="AW73">
        <f t="shared" si="53"/>
        <v>388399</v>
      </c>
      <c r="AX73" s="8">
        <v>4448.3</v>
      </c>
      <c r="AY73" s="4">
        <f t="shared" si="54"/>
        <v>1.1452913112546634</v>
      </c>
      <c r="AZ73" s="9">
        <v>42427.1</v>
      </c>
      <c r="BA73" s="10">
        <v>10</v>
      </c>
      <c r="BB73">
        <f t="shared" si="55"/>
        <v>424271</v>
      </c>
      <c r="BC73" s="21">
        <v>5069.3</v>
      </c>
      <c r="BD73" s="4">
        <f t="shared" si="56"/>
        <v>1.1948259485093256</v>
      </c>
      <c r="BE73" s="9">
        <v>48420.800000000003</v>
      </c>
      <c r="BF73" s="9">
        <v>9.6999999999999993</v>
      </c>
      <c r="BG73">
        <f t="shared" si="57"/>
        <v>499183.50515463925</v>
      </c>
      <c r="BH73" s="8">
        <v>7261.8</v>
      </c>
      <c r="BI73" s="4">
        <f t="shared" si="58"/>
        <v>1.4547355681855729</v>
      </c>
      <c r="BJ73" s="9">
        <v>45335.7</v>
      </c>
      <c r="BK73" s="10">
        <v>8.3000000000000007</v>
      </c>
      <c r="BL73">
        <f t="shared" si="59"/>
        <v>546213.2530120482</v>
      </c>
      <c r="BM73" s="36">
        <v>6596.3490000000002</v>
      </c>
      <c r="BN73" s="4">
        <f t="shared" si="60"/>
        <v>1.2076508513158506</v>
      </c>
      <c r="BO73" s="9">
        <v>37963.9</v>
      </c>
      <c r="BP73" s="10">
        <v>6.1</v>
      </c>
      <c r="BQ73">
        <f t="shared" si="61"/>
        <v>622359.01639344264</v>
      </c>
      <c r="BR73" s="36">
        <v>8121.5819000000001</v>
      </c>
      <c r="BS73" s="4">
        <f t="shared" si="62"/>
        <v>1.3049673397622479</v>
      </c>
      <c r="BT73" s="21">
        <v>24521.5</v>
      </c>
      <c r="BU73" s="10">
        <v>2.9</v>
      </c>
      <c r="BV73">
        <f t="shared" si="63"/>
        <v>845568.96551724151</v>
      </c>
      <c r="BW73" s="2"/>
      <c r="BX73" s="42">
        <v>1.1000000000000001</v>
      </c>
      <c r="BY73" s="32">
        <v>28484.5481</v>
      </c>
      <c r="BZ73" s="40">
        <v>3.5491201851701804</v>
      </c>
      <c r="CA73">
        <f t="shared" si="64"/>
        <v>802580.54429999995</v>
      </c>
      <c r="CB73" s="36">
        <v>11311.0942</v>
      </c>
      <c r="CC73" s="4">
        <f t="shared" si="65"/>
        <v>1.4093406923868788</v>
      </c>
    </row>
    <row r="74" spans="1:81" x14ac:dyDescent="0.25">
      <c r="A74" t="s">
        <v>71</v>
      </c>
      <c r="B74" s="8">
        <v>1470.1</v>
      </c>
      <c r="C74" s="9">
        <v>2.1</v>
      </c>
      <c r="D74" s="4">
        <f t="shared" si="66"/>
        <v>70004.761904761894</v>
      </c>
      <c r="E74" s="9">
        <v>553213</v>
      </c>
      <c r="F74">
        <f t="shared" si="67"/>
        <v>790.25052717502217</v>
      </c>
      <c r="G74" s="8">
        <v>1905.2</v>
      </c>
      <c r="H74" s="9">
        <v>1.9</v>
      </c>
      <c r="I74">
        <f t="shared" si="39"/>
        <v>100273.68421052632</v>
      </c>
      <c r="J74" s="8">
        <v>874979</v>
      </c>
      <c r="K74" s="4">
        <f t="shared" si="37"/>
        <v>872.59085660298115</v>
      </c>
      <c r="L74" s="8">
        <v>3638</v>
      </c>
      <c r="M74" s="9">
        <v>2.4</v>
      </c>
      <c r="N74" s="4">
        <f t="shared" si="40"/>
        <v>151583.33333333334</v>
      </c>
      <c r="O74" s="9">
        <v>1079806</v>
      </c>
      <c r="P74" s="4">
        <f t="shared" si="41"/>
        <v>712.35140186915885</v>
      </c>
      <c r="Q74" s="9">
        <v>5168.3</v>
      </c>
      <c r="R74" s="9">
        <v>3.6</v>
      </c>
      <c r="S74" s="4">
        <f t="shared" si="42"/>
        <v>143563.88888888891</v>
      </c>
      <c r="T74" s="9">
        <v>1346.1</v>
      </c>
      <c r="U74">
        <f t="shared" si="43"/>
        <v>0.9376313294506895</v>
      </c>
      <c r="V74" s="8">
        <v>5912.8</v>
      </c>
      <c r="W74" s="9">
        <v>4.5</v>
      </c>
      <c r="X74" s="4">
        <f t="shared" si="44"/>
        <v>131395.55555555556</v>
      </c>
      <c r="Y74" s="9">
        <v>4304.5</v>
      </c>
      <c r="Z74">
        <f t="shared" si="45"/>
        <v>3.2759859964822078</v>
      </c>
      <c r="AA74" s="8">
        <v>9783.4</v>
      </c>
      <c r="AB74" s="10">
        <v>6.2</v>
      </c>
      <c r="AC74" s="4">
        <f t="shared" si="46"/>
        <v>157796.77419354836</v>
      </c>
      <c r="AD74" s="8">
        <v>14285</v>
      </c>
      <c r="AE74" s="4">
        <f t="shared" si="47"/>
        <v>9.0527832859742023</v>
      </c>
      <c r="AF74" s="8">
        <v>14823.7</v>
      </c>
      <c r="AG74" s="11">
        <v>3</v>
      </c>
      <c r="AH74" s="4">
        <f t="shared" si="48"/>
        <v>494123.33333333337</v>
      </c>
      <c r="AI74" s="8">
        <v>21128.1</v>
      </c>
      <c r="AJ74" s="4">
        <f t="shared" si="49"/>
        <v>4.275875793492852</v>
      </c>
      <c r="AK74" s="8">
        <v>15831.8</v>
      </c>
      <c r="AL74" s="12">
        <v>2.7</v>
      </c>
      <c r="AM74">
        <f t="shared" si="38"/>
        <v>586362.96296296292</v>
      </c>
      <c r="AN74" s="8">
        <v>20329.3</v>
      </c>
      <c r="AO74" s="4">
        <f t="shared" si="50"/>
        <v>3.4670163847446283</v>
      </c>
      <c r="AP74" s="8">
        <v>22795</v>
      </c>
      <c r="AQ74" s="12">
        <v>3.7</v>
      </c>
      <c r="AR74" s="4">
        <f t="shared" si="51"/>
        <v>616081.08108108107</v>
      </c>
      <c r="AS74" s="8">
        <v>20932.400000000001</v>
      </c>
      <c r="AT74" s="4">
        <f t="shared" si="52"/>
        <v>3.3976696644000883</v>
      </c>
      <c r="AU74" s="8">
        <v>24314</v>
      </c>
      <c r="AV74" s="12">
        <v>3.5</v>
      </c>
      <c r="AW74">
        <f t="shared" si="53"/>
        <v>694685.71428571432</v>
      </c>
      <c r="AX74" s="8">
        <v>26930.3</v>
      </c>
      <c r="AY74" s="4">
        <f t="shared" si="54"/>
        <v>3.8766163527185982</v>
      </c>
      <c r="AZ74" s="9">
        <v>30652</v>
      </c>
      <c r="BA74" s="10">
        <v>4.2</v>
      </c>
      <c r="BB74">
        <f t="shared" si="55"/>
        <v>729809.52380952379</v>
      </c>
      <c r="BC74" s="21">
        <v>34446.800000000003</v>
      </c>
      <c r="BD74" s="4">
        <f t="shared" si="56"/>
        <v>4.7199712906172522</v>
      </c>
      <c r="BE74" s="9">
        <v>20963.8</v>
      </c>
      <c r="BF74" s="9">
        <v>2.7</v>
      </c>
      <c r="BG74">
        <f t="shared" si="57"/>
        <v>776437.03703703696</v>
      </c>
      <c r="BH74" s="8">
        <v>21475.1</v>
      </c>
      <c r="BI74" s="4">
        <f t="shared" si="58"/>
        <v>2.7658520878848303</v>
      </c>
      <c r="BJ74" s="9">
        <v>25079.1</v>
      </c>
      <c r="BK74" s="10">
        <v>2.9</v>
      </c>
      <c r="BL74">
        <f t="shared" si="59"/>
        <v>864796.55172413785</v>
      </c>
      <c r="BM74" s="36">
        <v>39451.693399999996</v>
      </c>
      <c r="BN74" s="4">
        <f t="shared" si="60"/>
        <v>4.5619623854125546</v>
      </c>
      <c r="BO74" s="9">
        <v>25733.200000000001</v>
      </c>
      <c r="BP74" s="10">
        <v>2.4</v>
      </c>
      <c r="BQ74">
        <f t="shared" si="61"/>
        <v>1072216.6666666667</v>
      </c>
      <c r="BR74" s="36">
        <v>50311.265200000002</v>
      </c>
      <c r="BS74" s="4">
        <f t="shared" si="62"/>
        <v>4.6922666625215674</v>
      </c>
      <c r="BT74" s="21">
        <v>15543</v>
      </c>
      <c r="BU74" s="10">
        <v>1.3</v>
      </c>
      <c r="BV74">
        <f t="shared" si="63"/>
        <v>1195615.3846153845</v>
      </c>
      <c r="BW74" s="2"/>
      <c r="BX74" s="42">
        <v>1.6</v>
      </c>
      <c r="BY74" s="32">
        <v>132406.0962</v>
      </c>
      <c r="BZ74" s="40">
        <v>12.620948212928983</v>
      </c>
      <c r="CA74">
        <f t="shared" si="64"/>
        <v>1049097.8487999998</v>
      </c>
      <c r="CB74" s="36">
        <v>14509.9226</v>
      </c>
      <c r="CC74" s="4">
        <f t="shared" si="65"/>
        <v>1.3830857261405152</v>
      </c>
    </row>
    <row r="75" spans="1:81" x14ac:dyDescent="0.25">
      <c r="A75" t="s">
        <v>72</v>
      </c>
      <c r="B75" s="8">
        <v>957.4</v>
      </c>
      <c r="C75" s="9">
        <v>0.8</v>
      </c>
      <c r="D75" s="4">
        <f t="shared" si="66"/>
        <v>119675</v>
      </c>
      <c r="E75" s="9">
        <v>1259758</v>
      </c>
      <c r="F75">
        <f t="shared" si="67"/>
        <v>1052.6492584081889</v>
      </c>
      <c r="G75" s="8">
        <v>2756.4</v>
      </c>
      <c r="H75" s="9">
        <v>1.6</v>
      </c>
      <c r="I75">
        <f t="shared" si="39"/>
        <v>172275</v>
      </c>
      <c r="J75" s="8">
        <v>1815586</v>
      </c>
      <c r="K75" s="4">
        <f t="shared" si="37"/>
        <v>1053.8882600493396</v>
      </c>
      <c r="L75" s="8">
        <v>4748.3</v>
      </c>
      <c r="M75" s="9">
        <v>2.6</v>
      </c>
      <c r="N75" s="4">
        <f t="shared" si="40"/>
        <v>182626.92307692306</v>
      </c>
      <c r="O75" s="9">
        <v>2371919</v>
      </c>
      <c r="P75" s="4">
        <f t="shared" si="41"/>
        <v>1298.7783838426385</v>
      </c>
      <c r="Q75" s="9">
        <v>4837.5</v>
      </c>
      <c r="R75" s="9">
        <v>2.9</v>
      </c>
      <c r="S75" s="4">
        <f t="shared" si="42"/>
        <v>166810.3448275862</v>
      </c>
      <c r="T75" s="9">
        <v>2170.1</v>
      </c>
      <c r="U75">
        <f t="shared" si="43"/>
        <v>1.3009385012919896</v>
      </c>
      <c r="V75" s="8">
        <v>4668.3999999999996</v>
      </c>
      <c r="W75" s="9">
        <v>2.8</v>
      </c>
      <c r="X75" s="4">
        <f t="shared" si="44"/>
        <v>166728.57142857142</v>
      </c>
      <c r="Y75" s="9">
        <v>3446.6</v>
      </c>
      <c r="Z75">
        <f t="shared" si="45"/>
        <v>2.0671921857595752</v>
      </c>
      <c r="AA75" s="8">
        <v>5365.1</v>
      </c>
      <c r="AB75" s="10">
        <v>2.7</v>
      </c>
      <c r="AC75" s="4">
        <f t="shared" si="46"/>
        <v>198707.40740740742</v>
      </c>
      <c r="AD75" s="8">
        <v>2038.5</v>
      </c>
      <c r="AE75" s="4">
        <f t="shared" si="47"/>
        <v>1.0258802259044566</v>
      </c>
      <c r="AF75" s="8">
        <v>11143.9</v>
      </c>
      <c r="AG75" s="11">
        <v>4.2</v>
      </c>
      <c r="AH75" s="4">
        <f t="shared" si="48"/>
        <v>265330.95238095237</v>
      </c>
      <c r="AI75" s="8">
        <v>4094.3</v>
      </c>
      <c r="AJ75" s="4">
        <f t="shared" si="49"/>
        <v>1.5430917362862195</v>
      </c>
      <c r="AK75" s="8">
        <v>6914</v>
      </c>
      <c r="AL75" s="12">
        <v>1.6</v>
      </c>
      <c r="AM75">
        <f t="shared" si="38"/>
        <v>432125</v>
      </c>
      <c r="AN75" s="8">
        <v>6710.3</v>
      </c>
      <c r="AO75" s="4">
        <f t="shared" si="50"/>
        <v>1.5528608620190918</v>
      </c>
      <c r="AP75" s="8">
        <v>10853.7</v>
      </c>
      <c r="AQ75" s="12">
        <v>3.7</v>
      </c>
      <c r="AR75" s="4">
        <f t="shared" si="51"/>
        <v>293343.24324324325</v>
      </c>
      <c r="AS75" s="8">
        <v>8054.5</v>
      </c>
      <c r="AT75" s="4">
        <f t="shared" si="52"/>
        <v>2.7457595105816446</v>
      </c>
      <c r="AU75" s="8">
        <v>11089.3</v>
      </c>
      <c r="AV75" s="12">
        <v>3.5</v>
      </c>
      <c r="AW75">
        <f t="shared" si="53"/>
        <v>316837.14285714284</v>
      </c>
      <c r="AX75" s="8">
        <v>6839.9</v>
      </c>
      <c r="AY75" s="4">
        <f t="shared" si="54"/>
        <v>2.1588062366425294</v>
      </c>
      <c r="AZ75" s="9">
        <v>17907.2</v>
      </c>
      <c r="BA75" s="10">
        <v>5.2</v>
      </c>
      <c r="BB75">
        <f t="shared" si="55"/>
        <v>344369.23076923075</v>
      </c>
      <c r="BC75" s="21">
        <v>11634.6</v>
      </c>
      <c r="BD75" s="4">
        <f t="shared" si="56"/>
        <v>3.3785248391708365</v>
      </c>
      <c r="BE75" s="9">
        <v>14512.1</v>
      </c>
      <c r="BF75" s="9">
        <v>4.2</v>
      </c>
      <c r="BG75">
        <f t="shared" si="57"/>
        <v>345526.19047619047</v>
      </c>
      <c r="BH75" s="8">
        <v>12125.9</v>
      </c>
      <c r="BI75" s="4">
        <f t="shared" si="58"/>
        <v>3.5094011204443185</v>
      </c>
      <c r="BJ75" s="9">
        <v>19806</v>
      </c>
      <c r="BK75" s="10">
        <v>5.3</v>
      </c>
      <c r="BL75">
        <f t="shared" si="59"/>
        <v>373698.11320754723</v>
      </c>
      <c r="BM75" s="36">
        <v>15721.921400000001</v>
      </c>
      <c r="BN75" s="4">
        <f t="shared" si="60"/>
        <v>4.2071182177118045</v>
      </c>
      <c r="BO75" s="9">
        <v>21224.7</v>
      </c>
      <c r="BP75" s="10">
        <v>4.9000000000000004</v>
      </c>
      <c r="BQ75">
        <f t="shared" si="61"/>
        <v>433157.14285714284</v>
      </c>
      <c r="BR75" s="36">
        <v>16336.8709</v>
      </c>
      <c r="BS75" s="4">
        <f t="shared" si="62"/>
        <v>3.7715806305860626</v>
      </c>
      <c r="BT75" s="21">
        <v>19491.2</v>
      </c>
      <c r="BU75" s="10">
        <v>2.8</v>
      </c>
      <c r="BV75">
        <f t="shared" si="63"/>
        <v>696114.2857142858</v>
      </c>
      <c r="BW75" s="2"/>
      <c r="BX75" s="42">
        <v>2.5</v>
      </c>
      <c r="BY75" s="32">
        <v>18526.2984</v>
      </c>
      <c r="BZ75" s="40">
        <v>2.8727651370469416</v>
      </c>
      <c r="CA75">
        <f t="shared" si="64"/>
        <v>644894.29230000009</v>
      </c>
      <c r="CB75" s="36">
        <v>13623.000099999999</v>
      </c>
      <c r="CC75" s="4">
        <f t="shared" si="65"/>
        <v>2.1124392420056775</v>
      </c>
    </row>
    <row r="76" spans="1:81" x14ac:dyDescent="0.25">
      <c r="A76" t="s">
        <v>74</v>
      </c>
      <c r="B76" s="2">
        <v>236.1</v>
      </c>
      <c r="C76">
        <v>0.2</v>
      </c>
      <c r="D76" s="4">
        <f t="shared" si="66"/>
        <v>118050</v>
      </c>
      <c r="E76" s="9">
        <v>1292100</v>
      </c>
      <c r="F76">
        <f t="shared" si="67"/>
        <v>1094.5362134688692</v>
      </c>
      <c r="G76" s="8">
        <v>404.5</v>
      </c>
      <c r="H76">
        <v>0.3</v>
      </c>
      <c r="I76">
        <f t="shared" si="39"/>
        <v>134833.33333333334</v>
      </c>
      <c r="J76" s="8">
        <v>2083767</v>
      </c>
      <c r="K76" s="4">
        <f t="shared" si="37"/>
        <v>1545.4390605686031</v>
      </c>
      <c r="L76" s="8">
        <v>713.1</v>
      </c>
      <c r="M76">
        <v>0.4</v>
      </c>
      <c r="N76" s="4">
        <f t="shared" si="40"/>
        <v>178275</v>
      </c>
      <c r="O76" s="9">
        <v>2226145</v>
      </c>
      <c r="P76" s="4">
        <f t="shared" si="41"/>
        <v>1248.7140653484785</v>
      </c>
      <c r="Q76" s="9">
        <v>4752.8999999999996</v>
      </c>
      <c r="R76" s="9">
        <v>2.6</v>
      </c>
      <c r="S76" s="4">
        <f t="shared" si="42"/>
        <v>182803.84615384616</v>
      </c>
      <c r="T76" s="9">
        <v>1902.3</v>
      </c>
      <c r="U76">
        <f t="shared" si="43"/>
        <v>1.0406236192640284</v>
      </c>
      <c r="V76" s="8">
        <v>3051.4</v>
      </c>
      <c r="W76">
        <v>2</v>
      </c>
      <c r="X76" s="4">
        <f t="shared" si="44"/>
        <v>152570</v>
      </c>
      <c r="Y76" s="9">
        <v>794.6</v>
      </c>
      <c r="Z76">
        <f t="shared" si="45"/>
        <v>0.52081011994494331</v>
      </c>
      <c r="AA76" s="8">
        <v>2184.6999999999998</v>
      </c>
      <c r="AB76" s="15">
        <v>1.1000000000000001</v>
      </c>
      <c r="AC76" s="4">
        <f t="shared" si="46"/>
        <v>198609.09090909088</v>
      </c>
      <c r="AD76" s="8">
        <v>701.2</v>
      </c>
      <c r="AE76" s="4">
        <f t="shared" si="47"/>
        <v>0.35305533940586814</v>
      </c>
      <c r="AF76" s="8">
        <v>1339.3</v>
      </c>
      <c r="AG76" s="11">
        <v>0.4</v>
      </c>
      <c r="AH76" s="4">
        <f t="shared" si="48"/>
        <v>334824.99999999994</v>
      </c>
      <c r="AI76" s="8">
        <v>1273.4000000000001</v>
      </c>
      <c r="AJ76" s="4">
        <f t="shared" si="49"/>
        <v>0.38031807660718292</v>
      </c>
      <c r="AK76" s="8">
        <v>1052.5</v>
      </c>
      <c r="AL76" s="12">
        <v>0.3</v>
      </c>
      <c r="AM76">
        <f t="shared" si="38"/>
        <v>350833.33333333337</v>
      </c>
      <c r="AN76" s="8">
        <v>2378.9</v>
      </c>
      <c r="AO76" s="4">
        <f t="shared" si="50"/>
        <v>0.67807125890736342</v>
      </c>
      <c r="AP76" s="8">
        <v>9369.1</v>
      </c>
      <c r="AQ76" s="12">
        <v>2.9</v>
      </c>
      <c r="AR76" s="4">
        <f t="shared" si="51"/>
        <v>323072.41379310348</v>
      </c>
      <c r="AS76" s="8">
        <v>3875.6</v>
      </c>
      <c r="AT76" s="4">
        <f t="shared" si="52"/>
        <v>1.1996072194767906</v>
      </c>
      <c r="AU76" s="8">
        <v>6144.3</v>
      </c>
      <c r="AV76" s="12">
        <v>1.6</v>
      </c>
      <c r="AW76">
        <f t="shared" si="53"/>
        <v>384018.75</v>
      </c>
      <c r="AX76" s="8">
        <v>3584.2</v>
      </c>
      <c r="AY76" s="4">
        <f t="shared" si="54"/>
        <v>0.93333984343212406</v>
      </c>
      <c r="AZ76" s="9">
        <v>2826.3</v>
      </c>
      <c r="BA76" s="15">
        <v>0.7</v>
      </c>
      <c r="BB76">
        <f t="shared" si="55"/>
        <v>403757.1428571429</v>
      </c>
      <c r="BC76" s="21">
        <v>1632.3</v>
      </c>
      <c r="BD76" s="4">
        <f t="shared" si="56"/>
        <v>0.40427767752892463</v>
      </c>
      <c r="BE76" s="9">
        <v>27103.9</v>
      </c>
      <c r="BF76">
        <v>3.8</v>
      </c>
      <c r="BG76">
        <f t="shared" si="57"/>
        <v>713260.52631578955</v>
      </c>
      <c r="BH76" s="8">
        <v>3432.6</v>
      </c>
      <c r="BI76" s="4">
        <f t="shared" si="58"/>
        <v>0.48125472717948337</v>
      </c>
      <c r="BJ76" s="9">
        <v>7537</v>
      </c>
      <c r="BK76" s="15">
        <v>1.1000000000000001</v>
      </c>
      <c r="BL76">
        <f t="shared" si="59"/>
        <v>685181.81818181812</v>
      </c>
      <c r="BM76" s="36">
        <v>4119.1970000000001</v>
      </c>
      <c r="BN76" s="4">
        <f t="shared" si="60"/>
        <v>0.60118305691919871</v>
      </c>
      <c r="BO76">
        <v>7675.3</v>
      </c>
      <c r="BP76" s="15">
        <v>0.8</v>
      </c>
      <c r="BQ76">
        <f t="shared" si="61"/>
        <v>959412.5</v>
      </c>
      <c r="BR76" s="36">
        <v>8452.3284999999996</v>
      </c>
      <c r="BS76" s="4">
        <f t="shared" si="62"/>
        <v>0.88099003296288092</v>
      </c>
      <c r="BT76" s="22">
        <v>7162.8</v>
      </c>
      <c r="BU76" s="15">
        <v>0.6</v>
      </c>
      <c r="BV76">
        <f t="shared" si="63"/>
        <v>1193800</v>
      </c>
      <c r="BW76" s="2"/>
      <c r="BX76" s="42">
        <v>0.4</v>
      </c>
      <c r="BY76" s="32">
        <v>9391.9640999999992</v>
      </c>
      <c r="BZ76" s="40">
        <v>0.83681044198798726</v>
      </c>
      <c r="CA76">
        <f t="shared" si="64"/>
        <v>1122352.6414999999</v>
      </c>
      <c r="CB76" s="36">
        <v>6544.3189000000002</v>
      </c>
      <c r="CC76" s="4">
        <f t="shared" si="65"/>
        <v>0.58308936585685411</v>
      </c>
    </row>
    <row r="77" spans="1:81" x14ac:dyDescent="0.25">
      <c r="A77" t="s">
        <v>75</v>
      </c>
      <c r="B77" s="2">
        <v>12.8</v>
      </c>
      <c r="C77" s="9">
        <v>0.1</v>
      </c>
      <c r="D77" s="4">
        <f t="shared" si="66"/>
        <v>12800</v>
      </c>
      <c r="E77">
        <v>17381</v>
      </c>
      <c r="F77">
        <f t="shared" si="67"/>
        <v>135.7890625</v>
      </c>
      <c r="G77" s="8">
        <v>4.5</v>
      </c>
      <c r="H77" s="15">
        <v>0</v>
      </c>
      <c r="J77" s="8">
        <v>13718</v>
      </c>
      <c r="K77" s="4"/>
      <c r="L77" s="8">
        <v>293.89999999999998</v>
      </c>
      <c r="M77" s="9">
        <v>1.1000000000000001</v>
      </c>
      <c r="N77" s="4">
        <f t="shared" si="40"/>
        <v>26718.181818181813</v>
      </c>
      <c r="O77" s="9">
        <v>4755</v>
      </c>
      <c r="P77" s="4">
        <f t="shared" si="41"/>
        <v>17.796869683565841</v>
      </c>
      <c r="Q77" s="9">
        <v>2.6</v>
      </c>
      <c r="R77" s="9">
        <v>0</v>
      </c>
      <c r="S77" s="4"/>
      <c r="T77" s="9">
        <v>4.0999999999999996</v>
      </c>
      <c r="V77" s="8">
        <v>4.8</v>
      </c>
      <c r="W77" s="9">
        <v>0</v>
      </c>
      <c r="X77" s="4"/>
      <c r="Y77" s="9">
        <v>109.9</v>
      </c>
      <c r="AA77" s="8">
        <v>34</v>
      </c>
      <c r="AB77" s="15">
        <v>0.1</v>
      </c>
      <c r="AC77" s="4">
        <f t="shared" si="46"/>
        <v>34000</v>
      </c>
      <c r="AD77" s="8">
        <v>172.5</v>
      </c>
      <c r="AE77" s="4">
        <f t="shared" si="47"/>
        <v>0.50735294117647056</v>
      </c>
      <c r="AF77" s="8">
        <v>164.6</v>
      </c>
      <c r="AG77" s="11">
        <v>0.4</v>
      </c>
      <c r="AH77" s="4">
        <f t="shared" si="48"/>
        <v>41149.999999999993</v>
      </c>
      <c r="AI77" s="8">
        <v>630</v>
      </c>
      <c r="AJ77" s="4">
        <f t="shared" si="49"/>
        <v>1.5309842041312276</v>
      </c>
      <c r="AK77" s="8">
        <v>187.8</v>
      </c>
      <c r="AL77" s="12">
        <v>0.5</v>
      </c>
      <c r="AM77">
        <f t="shared" si="38"/>
        <v>37560</v>
      </c>
      <c r="AN77" s="8">
        <v>887</v>
      </c>
      <c r="AO77" s="4">
        <f t="shared" si="50"/>
        <v>2.3615548455804047</v>
      </c>
      <c r="AP77" s="8">
        <v>528.20000000000005</v>
      </c>
      <c r="AQ77" s="12">
        <v>1.2</v>
      </c>
      <c r="AR77" s="4">
        <f t="shared" si="51"/>
        <v>44016.666666666672</v>
      </c>
      <c r="AS77" s="8">
        <v>391</v>
      </c>
      <c r="AT77" s="4">
        <f t="shared" si="52"/>
        <v>0.88829988640666402</v>
      </c>
      <c r="AU77" s="8">
        <v>595</v>
      </c>
      <c r="AV77" s="12">
        <v>1.2</v>
      </c>
      <c r="AW77">
        <f t="shared" si="53"/>
        <v>49583.333333333336</v>
      </c>
      <c r="AX77" s="8">
        <v>570</v>
      </c>
      <c r="AY77" s="4">
        <f t="shared" si="54"/>
        <v>1.149579831932773</v>
      </c>
      <c r="AZ77" s="9">
        <v>172</v>
      </c>
      <c r="BA77" s="10">
        <v>0.3</v>
      </c>
      <c r="BB77">
        <f t="shared" si="55"/>
        <v>57333.333333333336</v>
      </c>
      <c r="BC77" s="21">
        <v>539.6</v>
      </c>
      <c r="BD77" s="4">
        <f t="shared" si="56"/>
        <v>0.94116279069767439</v>
      </c>
      <c r="BE77" s="9">
        <v>568.70000000000005</v>
      </c>
      <c r="BF77">
        <v>0.9</v>
      </c>
      <c r="BG77">
        <f t="shared" si="57"/>
        <v>63188.888888888891</v>
      </c>
      <c r="BH77" s="8">
        <v>278.60000000000002</v>
      </c>
      <c r="BI77" s="4">
        <f t="shared" si="58"/>
        <v>0.4409002989273782</v>
      </c>
      <c r="BJ77" s="9">
        <v>1303.0999999999999</v>
      </c>
      <c r="BK77" s="10">
        <v>1.8</v>
      </c>
      <c r="BL77">
        <f t="shared" si="59"/>
        <v>72394.444444444438</v>
      </c>
      <c r="BM77" s="36">
        <v>437.06650000000002</v>
      </c>
      <c r="BN77" s="4">
        <f t="shared" si="60"/>
        <v>0.60372933773309811</v>
      </c>
      <c r="BO77" s="9">
        <v>1128</v>
      </c>
      <c r="BP77" s="10">
        <v>1.1000000000000001</v>
      </c>
      <c r="BQ77">
        <f t="shared" si="61"/>
        <v>102545.45454545453</v>
      </c>
      <c r="BR77" s="36">
        <v>344.9434</v>
      </c>
      <c r="BS77" s="4">
        <f t="shared" si="62"/>
        <v>0.33638097517730503</v>
      </c>
      <c r="BT77" s="21">
        <v>2132.1</v>
      </c>
      <c r="BU77" s="10">
        <v>1.2</v>
      </c>
      <c r="BV77">
        <f t="shared" si="63"/>
        <v>177675</v>
      </c>
      <c r="BW77" s="2"/>
      <c r="BX77" s="42">
        <v>0.6</v>
      </c>
      <c r="BY77" s="32">
        <v>2992.0718999999999</v>
      </c>
      <c r="BZ77" s="40">
        <v>2.4988426531751338</v>
      </c>
      <c r="CA77">
        <f t="shared" si="64"/>
        <v>119738.3075</v>
      </c>
      <c r="CB77" s="36">
        <v>1255.7986000000001</v>
      </c>
      <c r="CC77" s="4">
        <f t="shared" si="65"/>
        <v>1.0487859952421661</v>
      </c>
    </row>
    <row r="78" spans="1:81" x14ac:dyDescent="0.25">
      <c r="A78" t="s">
        <v>76</v>
      </c>
      <c r="B78" s="8">
        <v>2108.5</v>
      </c>
      <c r="C78">
        <v>3.7</v>
      </c>
      <c r="D78" s="4">
        <f t="shared" si="66"/>
        <v>56986.486486486479</v>
      </c>
      <c r="E78" s="9">
        <v>374552</v>
      </c>
      <c r="F78">
        <f t="shared" si="67"/>
        <v>657.26459568413566</v>
      </c>
      <c r="G78" s="8">
        <v>193.2</v>
      </c>
      <c r="H78">
        <v>0.2</v>
      </c>
      <c r="I78">
        <f t="shared" si="39"/>
        <v>96599.999999999985</v>
      </c>
      <c r="J78" s="8">
        <v>208077</v>
      </c>
      <c r="K78" s="4">
        <f t="shared" si="37"/>
        <v>215.40062111801242</v>
      </c>
      <c r="L78" s="8">
        <v>880.1</v>
      </c>
      <c r="M78" s="9">
        <v>1</v>
      </c>
      <c r="N78" s="4">
        <f t="shared" si="40"/>
        <v>88010</v>
      </c>
      <c r="O78" s="9">
        <v>162521</v>
      </c>
      <c r="P78" s="4">
        <f t="shared" si="41"/>
        <v>184.66197023065561</v>
      </c>
      <c r="Q78" s="9">
        <v>2111.8000000000002</v>
      </c>
      <c r="R78" s="9">
        <v>2.9</v>
      </c>
      <c r="S78" s="4">
        <f t="shared" si="42"/>
        <v>72820.68965517242</v>
      </c>
      <c r="T78" s="9">
        <v>596.70000000000005</v>
      </c>
      <c r="U78">
        <f t="shared" si="43"/>
        <v>0.81940998200587167</v>
      </c>
      <c r="V78" s="8">
        <v>5198.6000000000004</v>
      </c>
      <c r="W78" s="9">
        <v>4.7</v>
      </c>
      <c r="X78" s="4">
        <f t="shared" si="44"/>
        <v>110608.51063829787</v>
      </c>
      <c r="Y78" s="9">
        <v>721.7</v>
      </c>
      <c r="Z78">
        <f t="shared" si="45"/>
        <v>0.65248143731004515</v>
      </c>
      <c r="AA78" s="8">
        <v>5381.8</v>
      </c>
      <c r="AB78" s="10">
        <v>3.5</v>
      </c>
      <c r="AC78" s="4">
        <f t="shared" si="46"/>
        <v>153765.71428571429</v>
      </c>
      <c r="AD78" s="8">
        <v>960.4</v>
      </c>
      <c r="AE78" s="4">
        <f t="shared" si="47"/>
        <v>0.62458656954922143</v>
      </c>
      <c r="AF78" s="8">
        <v>2676.1</v>
      </c>
      <c r="AG78" s="11">
        <v>1.5</v>
      </c>
      <c r="AH78" s="4">
        <f t="shared" si="48"/>
        <v>178406.66666666666</v>
      </c>
      <c r="AI78" s="8">
        <v>2415.8000000000002</v>
      </c>
      <c r="AJ78" s="4">
        <f t="shared" si="49"/>
        <v>1.3540973805164234</v>
      </c>
      <c r="AK78" s="8">
        <v>3408.8</v>
      </c>
      <c r="AL78" s="12">
        <v>1.7</v>
      </c>
      <c r="AM78">
        <f t="shared" si="38"/>
        <v>200517.64705882352</v>
      </c>
      <c r="AN78" s="8">
        <v>8109.6</v>
      </c>
      <c r="AO78" s="4">
        <f t="shared" si="50"/>
        <v>4.0443323163576625</v>
      </c>
      <c r="AP78" s="8">
        <v>2249.8000000000002</v>
      </c>
      <c r="AQ78" s="12">
        <v>1</v>
      </c>
      <c r="AR78" s="4">
        <f t="shared" si="51"/>
        <v>224980.00000000003</v>
      </c>
      <c r="AS78" s="8">
        <v>7791.4</v>
      </c>
      <c r="AT78" s="4">
        <f t="shared" si="52"/>
        <v>3.4631522802026837</v>
      </c>
      <c r="AU78" s="8">
        <v>784.4</v>
      </c>
      <c r="AV78" s="12">
        <v>0.3</v>
      </c>
      <c r="AW78">
        <f t="shared" si="53"/>
        <v>261466.66666666666</v>
      </c>
      <c r="AX78" s="8">
        <v>1852.8</v>
      </c>
      <c r="AY78" s="4">
        <f t="shared" si="54"/>
        <v>0.70861805201427841</v>
      </c>
      <c r="AZ78" s="9">
        <v>776.4</v>
      </c>
      <c r="BA78" s="15">
        <v>0.3</v>
      </c>
      <c r="BB78">
        <f t="shared" si="55"/>
        <v>258800</v>
      </c>
      <c r="BC78" s="21">
        <v>1040.5</v>
      </c>
      <c r="BD78" s="4">
        <f t="shared" si="56"/>
        <v>0.40204791344667695</v>
      </c>
      <c r="BE78" s="9">
        <v>1166.5</v>
      </c>
      <c r="BF78" s="9">
        <v>0.5</v>
      </c>
      <c r="BG78">
        <f t="shared" si="57"/>
        <v>233300</v>
      </c>
      <c r="BH78" s="8">
        <v>1059</v>
      </c>
      <c r="BI78" s="4">
        <f t="shared" si="58"/>
        <v>0.45392198885555074</v>
      </c>
      <c r="BJ78" s="9">
        <v>1560.7</v>
      </c>
      <c r="BK78" s="10">
        <v>0.5</v>
      </c>
      <c r="BL78">
        <f t="shared" si="59"/>
        <v>312140</v>
      </c>
      <c r="BM78" s="36">
        <v>2087.779</v>
      </c>
      <c r="BN78" s="4">
        <f t="shared" si="60"/>
        <v>0.66885980649708465</v>
      </c>
      <c r="BO78" s="9">
        <v>23033.5</v>
      </c>
      <c r="BP78" s="10">
        <v>7.3</v>
      </c>
      <c r="BQ78">
        <f t="shared" si="61"/>
        <v>315527.39726027398</v>
      </c>
      <c r="BR78" s="36">
        <v>3737.1917000000003</v>
      </c>
      <c r="BS78" s="4">
        <f t="shared" si="62"/>
        <v>1.1844270045802854</v>
      </c>
      <c r="BT78" s="21">
        <v>49766.5</v>
      </c>
      <c r="BU78" s="10">
        <v>8.3000000000000007</v>
      </c>
      <c r="BV78">
        <f t="shared" si="63"/>
        <v>599596.38554216863</v>
      </c>
      <c r="BW78" s="2"/>
      <c r="BX78" s="42">
        <v>0.5</v>
      </c>
      <c r="BY78" s="32">
        <v>13563.6327</v>
      </c>
      <c r="BZ78" s="40">
        <v>2.235883921686014</v>
      </c>
      <c r="CA78">
        <f t="shared" si="64"/>
        <v>606634.02820000006</v>
      </c>
      <c r="CB78" s="36">
        <v>4106.9035999999996</v>
      </c>
      <c r="CC78" s="4">
        <f t="shared" si="65"/>
        <v>0.67699855416715959</v>
      </c>
    </row>
    <row r="79" spans="1:81" x14ac:dyDescent="0.25">
      <c r="A79" t="s">
        <v>77</v>
      </c>
      <c r="B79" s="8">
        <v>2090.6999999999998</v>
      </c>
      <c r="C79">
        <v>3.3</v>
      </c>
      <c r="D79" s="4">
        <f t="shared" si="66"/>
        <v>63354.545454545449</v>
      </c>
      <c r="E79" s="9">
        <v>1588927</v>
      </c>
      <c r="F79">
        <f t="shared" si="67"/>
        <v>2507.9921079064429</v>
      </c>
      <c r="G79" s="8">
        <v>4564.3</v>
      </c>
      <c r="H79" s="9">
        <v>4.8</v>
      </c>
      <c r="I79">
        <f t="shared" si="39"/>
        <v>95089.583333333343</v>
      </c>
      <c r="J79" s="8">
        <v>1085960</v>
      </c>
      <c r="K79" s="4">
        <f t="shared" si="37"/>
        <v>1142.0388668580065</v>
      </c>
      <c r="L79" s="8">
        <v>1664.3</v>
      </c>
      <c r="M79" s="9">
        <v>1.6</v>
      </c>
      <c r="N79" s="4">
        <f t="shared" si="40"/>
        <v>104018.75</v>
      </c>
      <c r="O79" s="9">
        <v>1152964</v>
      </c>
      <c r="P79" s="4">
        <f t="shared" si="41"/>
        <v>1108.4193955416692</v>
      </c>
      <c r="Q79" s="9">
        <v>3595.1</v>
      </c>
      <c r="R79" s="9">
        <v>2.8</v>
      </c>
      <c r="S79" s="4">
        <f t="shared" si="42"/>
        <v>128396.42857142858</v>
      </c>
      <c r="T79" s="9">
        <v>720.1</v>
      </c>
      <c r="U79">
        <f t="shared" si="43"/>
        <v>0.56084114489165804</v>
      </c>
      <c r="V79" s="8">
        <v>1860.5</v>
      </c>
      <c r="W79" s="9">
        <v>1.7</v>
      </c>
      <c r="X79" s="4">
        <f t="shared" si="44"/>
        <v>109441.17647058824</v>
      </c>
      <c r="Y79" s="9">
        <v>2140.4</v>
      </c>
      <c r="Z79">
        <f t="shared" si="45"/>
        <v>1.9557538296156949</v>
      </c>
      <c r="AA79" s="8">
        <v>4557</v>
      </c>
      <c r="AB79" s="10">
        <v>3</v>
      </c>
      <c r="AC79" s="4">
        <f t="shared" si="46"/>
        <v>151900</v>
      </c>
      <c r="AD79" s="8">
        <v>3871.7</v>
      </c>
      <c r="AE79" s="4">
        <f t="shared" si="47"/>
        <v>2.548847926267281</v>
      </c>
      <c r="AF79" s="8">
        <v>7767.2</v>
      </c>
      <c r="AG79" s="11">
        <v>4.5</v>
      </c>
      <c r="AH79" s="4">
        <f t="shared" si="48"/>
        <v>172604.44444444444</v>
      </c>
      <c r="AI79" s="8">
        <v>4902</v>
      </c>
      <c r="AJ79" s="4">
        <f t="shared" si="49"/>
        <v>2.8400195694716244</v>
      </c>
      <c r="AK79" s="8">
        <v>6323.4</v>
      </c>
      <c r="AL79" s="12">
        <v>3.6</v>
      </c>
      <c r="AM79">
        <f t="shared" si="38"/>
        <v>175649.99999999997</v>
      </c>
      <c r="AN79" s="8">
        <v>4490.6000000000004</v>
      </c>
      <c r="AO79" s="4">
        <f t="shared" si="50"/>
        <v>2.5565613435809853</v>
      </c>
      <c r="AP79" s="8">
        <v>24526</v>
      </c>
      <c r="AQ79" s="12">
        <v>11.7</v>
      </c>
      <c r="AR79" s="4">
        <f t="shared" si="51"/>
        <v>209623.93162393162</v>
      </c>
      <c r="AS79" s="8">
        <v>6878.8</v>
      </c>
      <c r="AT79" s="4">
        <f t="shared" si="52"/>
        <v>3.2814955557367695</v>
      </c>
      <c r="AU79" s="8">
        <v>29571.4</v>
      </c>
      <c r="AV79" s="12">
        <v>12.5</v>
      </c>
      <c r="AW79">
        <f t="shared" si="53"/>
        <v>236571.2</v>
      </c>
      <c r="AX79" s="8">
        <v>6523.8</v>
      </c>
      <c r="AY79" s="4">
        <f t="shared" si="54"/>
        <v>2.7576475919300405</v>
      </c>
      <c r="AZ79" s="9">
        <v>29603.1</v>
      </c>
      <c r="BA79" s="10">
        <v>10.8</v>
      </c>
      <c r="BB79">
        <f t="shared" si="55"/>
        <v>274102.77777777775</v>
      </c>
      <c r="BC79" s="21">
        <v>7587.3</v>
      </c>
      <c r="BD79" s="4">
        <f t="shared" si="56"/>
        <v>2.7680492921349455</v>
      </c>
      <c r="BE79" s="9">
        <v>41334.9</v>
      </c>
      <c r="BF79" s="9">
        <v>14.1</v>
      </c>
      <c r="BG79">
        <f t="shared" si="57"/>
        <v>293155.31914893619</v>
      </c>
      <c r="BH79" s="8">
        <v>10615.2</v>
      </c>
      <c r="BI79" s="4">
        <f t="shared" si="58"/>
        <v>3.6210156550517838</v>
      </c>
      <c r="BJ79" s="9">
        <v>73957.899999999994</v>
      </c>
      <c r="BK79" s="10">
        <v>23.8</v>
      </c>
      <c r="BL79">
        <f t="shared" si="59"/>
        <v>310747.47899159661</v>
      </c>
      <c r="BM79" s="36">
        <v>8958.6558000000005</v>
      </c>
      <c r="BN79" s="4">
        <f t="shared" si="60"/>
        <v>2.882937563667979</v>
      </c>
      <c r="BO79" s="9">
        <v>77716.100000000006</v>
      </c>
      <c r="BP79" s="10">
        <v>21.3</v>
      </c>
      <c r="BQ79">
        <f t="shared" si="61"/>
        <v>364864.3192488263</v>
      </c>
      <c r="BR79" s="36">
        <v>12785.642</v>
      </c>
      <c r="BS79" s="4">
        <f t="shared" si="62"/>
        <v>3.5042182327728746</v>
      </c>
      <c r="BT79" s="21">
        <v>62799</v>
      </c>
      <c r="BU79" s="10">
        <v>10.9</v>
      </c>
      <c r="BV79">
        <f t="shared" si="63"/>
        <v>576137.61467889906</v>
      </c>
      <c r="BW79" s="2"/>
      <c r="BX79" s="42">
        <v>5</v>
      </c>
      <c r="BY79" s="32">
        <v>109695.9819</v>
      </c>
      <c r="BZ79" s="40">
        <v>18.165913621144973</v>
      </c>
      <c r="CA79">
        <f t="shared" si="64"/>
        <v>603856.12410000002</v>
      </c>
      <c r="CB79" s="36">
        <v>46298.382700000002</v>
      </c>
      <c r="CC79" s="4">
        <f t="shared" si="65"/>
        <v>7.6671214966982566</v>
      </c>
    </row>
    <row r="80" spans="1:81" x14ac:dyDescent="0.25">
      <c r="A80" t="s">
        <v>78</v>
      </c>
      <c r="B80" s="8">
        <v>33.799999999999997</v>
      </c>
      <c r="C80" s="9">
        <v>0.1</v>
      </c>
      <c r="D80" s="4">
        <f t="shared" si="66"/>
        <v>33799.999999999993</v>
      </c>
      <c r="E80">
        <v>464</v>
      </c>
      <c r="F80">
        <f t="shared" si="67"/>
        <v>1.3727810650887577</v>
      </c>
      <c r="G80" s="8">
        <v>386.7</v>
      </c>
      <c r="H80" s="9">
        <v>1.1000000000000001</v>
      </c>
      <c r="I80">
        <f t="shared" si="39"/>
        <v>35154.545454545449</v>
      </c>
      <c r="J80" s="8">
        <v>223563</v>
      </c>
      <c r="K80" s="4">
        <f t="shared" si="37"/>
        <v>635.94336695112497</v>
      </c>
      <c r="L80" s="8">
        <v>967.7</v>
      </c>
      <c r="M80" s="9">
        <v>2.4</v>
      </c>
      <c r="N80" s="4">
        <f t="shared" si="40"/>
        <v>40320.833333333336</v>
      </c>
      <c r="O80" s="9">
        <v>79286</v>
      </c>
      <c r="P80" s="4">
        <f t="shared" si="41"/>
        <v>196.63780097137541</v>
      </c>
      <c r="Q80" s="9">
        <v>1279.5</v>
      </c>
      <c r="R80" s="9">
        <v>3.1</v>
      </c>
      <c r="S80" s="4">
        <f t="shared" si="42"/>
        <v>41274.193548387098</v>
      </c>
      <c r="T80" s="9">
        <v>178.5</v>
      </c>
      <c r="U80">
        <f t="shared" si="43"/>
        <v>0.43247362250879251</v>
      </c>
      <c r="V80" s="8">
        <v>1413.9</v>
      </c>
      <c r="W80" s="9">
        <v>1.8</v>
      </c>
      <c r="X80" s="4">
        <f t="shared" si="44"/>
        <v>78550</v>
      </c>
      <c r="Y80" s="9">
        <v>215.5</v>
      </c>
      <c r="Z80">
        <f t="shared" si="45"/>
        <v>0.27434754933163591</v>
      </c>
      <c r="AA80" s="8">
        <v>1344.7</v>
      </c>
      <c r="AB80" s="10">
        <v>1.7</v>
      </c>
      <c r="AC80" s="4">
        <f t="shared" si="46"/>
        <v>79100</v>
      </c>
      <c r="AD80" s="8">
        <v>1348.4</v>
      </c>
      <c r="AE80" s="4">
        <f t="shared" si="47"/>
        <v>1.7046776232616943</v>
      </c>
      <c r="AF80" s="8">
        <v>3819.1</v>
      </c>
      <c r="AG80" s="11">
        <v>3.6</v>
      </c>
      <c r="AH80" s="4">
        <f t="shared" si="48"/>
        <v>106086.11111111111</v>
      </c>
      <c r="AI80" s="8">
        <v>3039.4</v>
      </c>
      <c r="AJ80" s="4">
        <f t="shared" si="49"/>
        <v>2.86503102825273</v>
      </c>
      <c r="AK80" s="8">
        <v>5112.2</v>
      </c>
      <c r="AL80" s="12">
        <v>4.2</v>
      </c>
      <c r="AM80">
        <f t="shared" si="38"/>
        <v>121719.04761904762</v>
      </c>
      <c r="AN80" s="8">
        <v>4054.1</v>
      </c>
      <c r="AO80" s="4">
        <f t="shared" si="50"/>
        <v>3.330703024138336</v>
      </c>
      <c r="AP80" s="8">
        <v>5318.3</v>
      </c>
      <c r="AQ80" s="12">
        <v>4.7</v>
      </c>
      <c r="AR80" s="4">
        <f t="shared" si="51"/>
        <v>113155.31914893618</v>
      </c>
      <c r="AS80" s="8">
        <v>3409.3</v>
      </c>
      <c r="AT80" s="4">
        <f t="shared" si="52"/>
        <v>3.0129383449598555</v>
      </c>
      <c r="AU80" s="8">
        <v>5242.9</v>
      </c>
      <c r="AV80" s="12">
        <v>4.7</v>
      </c>
      <c r="AW80">
        <f t="shared" si="53"/>
        <v>111551.06382978722</v>
      </c>
      <c r="AX80" s="8">
        <v>3689.7</v>
      </c>
      <c r="AY80" s="4">
        <f t="shared" si="54"/>
        <v>3.307633180110245</v>
      </c>
      <c r="AZ80" s="9">
        <v>5485.2</v>
      </c>
      <c r="BA80" s="10">
        <v>2.8</v>
      </c>
      <c r="BB80">
        <f t="shared" si="55"/>
        <v>195900</v>
      </c>
      <c r="BC80" s="21">
        <v>3731.4</v>
      </c>
      <c r="BD80" s="4">
        <f t="shared" si="56"/>
        <v>1.9047473200612557</v>
      </c>
      <c r="BE80" s="9">
        <v>1725.9</v>
      </c>
      <c r="BF80" s="9">
        <v>1</v>
      </c>
      <c r="BG80">
        <f t="shared" si="57"/>
        <v>172590</v>
      </c>
      <c r="BH80" s="8">
        <v>1876.5</v>
      </c>
      <c r="BI80" s="4">
        <f t="shared" si="58"/>
        <v>1.087258821484443</v>
      </c>
      <c r="BJ80" s="9">
        <v>1683.1</v>
      </c>
      <c r="BK80" s="10">
        <v>0.9</v>
      </c>
      <c r="BL80">
        <f t="shared" si="59"/>
        <v>187011.11111111109</v>
      </c>
      <c r="BM80" s="36">
        <v>3817.0145000000002</v>
      </c>
      <c r="BN80" s="4">
        <f t="shared" si="60"/>
        <v>2.0410629493197079</v>
      </c>
      <c r="BO80" s="9">
        <v>1742.3</v>
      </c>
      <c r="BP80" s="10">
        <v>1.1000000000000001</v>
      </c>
      <c r="BQ80">
        <f t="shared" si="61"/>
        <v>158390.90909090909</v>
      </c>
      <c r="BR80" s="36">
        <v>997.55259999999998</v>
      </c>
      <c r="BS80" s="4">
        <f t="shared" si="62"/>
        <v>0.62980420134305226</v>
      </c>
      <c r="BT80" s="21">
        <v>2560.5</v>
      </c>
      <c r="BU80" s="10">
        <v>1.1000000000000001</v>
      </c>
      <c r="BV80">
        <f t="shared" si="63"/>
        <v>232772.72727272726</v>
      </c>
      <c r="BW80" s="2"/>
      <c r="BX80" s="42">
        <v>1.1000000000000001</v>
      </c>
      <c r="BY80" s="32">
        <v>2420.2314999999999</v>
      </c>
      <c r="BZ80" s="40">
        <v>0.75809712896601333</v>
      </c>
      <c r="CA80">
        <f t="shared" si="64"/>
        <v>319250.84629999998</v>
      </c>
      <c r="CB80" s="36">
        <v>1175.3109999999999</v>
      </c>
      <c r="CC80" s="4">
        <f t="shared" si="65"/>
        <v>0.36814655736121693</v>
      </c>
    </row>
    <row r="81" spans="1:81" x14ac:dyDescent="0.25">
      <c r="A81" t="s">
        <v>79</v>
      </c>
      <c r="B81" s="8">
        <v>4.0999999999999996</v>
      </c>
      <c r="D81" s="4"/>
      <c r="E81" s="9">
        <v>9010</v>
      </c>
      <c r="G81" s="8">
        <v>15.1</v>
      </c>
      <c r="H81" s="9">
        <v>0.1</v>
      </c>
      <c r="I81">
        <f t="shared" si="39"/>
        <v>15100</v>
      </c>
      <c r="J81" s="8">
        <v>10467</v>
      </c>
      <c r="K81" s="4">
        <f t="shared" si="37"/>
        <v>69.317880794701992</v>
      </c>
      <c r="L81" s="8">
        <v>100</v>
      </c>
      <c r="M81" s="9">
        <v>0.5</v>
      </c>
      <c r="N81" s="4">
        <f t="shared" si="40"/>
        <v>20000</v>
      </c>
      <c r="O81" s="9">
        <v>32482</v>
      </c>
      <c r="P81" s="4">
        <f t="shared" si="41"/>
        <v>162.41</v>
      </c>
      <c r="Q81" s="9">
        <v>863.1</v>
      </c>
      <c r="R81" s="9">
        <v>3.3</v>
      </c>
      <c r="S81" s="4">
        <f t="shared" si="42"/>
        <v>26154.545454545456</v>
      </c>
      <c r="T81" s="9">
        <v>682</v>
      </c>
      <c r="U81">
        <f t="shared" si="43"/>
        <v>2.6075773375043449</v>
      </c>
      <c r="V81" s="8">
        <v>1370.3</v>
      </c>
      <c r="W81" s="9">
        <v>3.4</v>
      </c>
      <c r="X81" s="4">
        <f t="shared" si="44"/>
        <v>40302.941176470587</v>
      </c>
      <c r="Y81" s="9">
        <v>1039</v>
      </c>
      <c r="Z81">
        <f t="shared" si="45"/>
        <v>2.5779756257753776</v>
      </c>
      <c r="AA81" s="8">
        <v>2397</v>
      </c>
      <c r="AB81" s="10">
        <v>5.2</v>
      </c>
      <c r="AC81" s="4">
        <f t="shared" si="46"/>
        <v>46096.153846153844</v>
      </c>
      <c r="AD81" s="8">
        <v>1375.9</v>
      </c>
      <c r="AE81" s="4">
        <f t="shared" si="47"/>
        <v>2.9848477263245727</v>
      </c>
      <c r="AF81" s="8">
        <v>2031.8</v>
      </c>
      <c r="AG81" s="11">
        <v>3.7</v>
      </c>
      <c r="AH81" s="4">
        <f t="shared" si="48"/>
        <v>54913.513513513513</v>
      </c>
      <c r="AI81" s="8">
        <v>649.5</v>
      </c>
      <c r="AJ81" s="4">
        <f t="shared" si="49"/>
        <v>1.1827689733241462</v>
      </c>
      <c r="AK81" s="8">
        <v>6014.4</v>
      </c>
      <c r="AL81" s="12">
        <v>9.4</v>
      </c>
      <c r="AM81">
        <f t="shared" si="38"/>
        <v>63982.978723404245</v>
      </c>
      <c r="AN81" s="8">
        <v>511.9</v>
      </c>
      <c r="AO81" s="4">
        <f t="shared" si="50"/>
        <v>0.80005653099228524</v>
      </c>
      <c r="AP81" s="8">
        <v>6115.3</v>
      </c>
      <c r="AQ81" s="12">
        <v>10</v>
      </c>
      <c r="AR81" s="4">
        <f t="shared" si="51"/>
        <v>61153</v>
      </c>
      <c r="AS81" s="8">
        <v>327.8</v>
      </c>
      <c r="AT81" s="4">
        <f t="shared" si="52"/>
        <v>0.53603257403561555</v>
      </c>
      <c r="AU81" s="8">
        <v>49.7</v>
      </c>
      <c r="AV81" s="12">
        <v>0.1</v>
      </c>
      <c r="AW81">
        <f t="shared" si="53"/>
        <v>49700</v>
      </c>
      <c r="AX81" s="8">
        <v>245.5</v>
      </c>
      <c r="AY81" s="4">
        <f t="shared" si="54"/>
        <v>0.49396378269617708</v>
      </c>
      <c r="AZ81" s="9">
        <v>8959.2999999999993</v>
      </c>
      <c r="BA81" s="10">
        <v>10.7</v>
      </c>
      <c r="BB81">
        <f t="shared" si="55"/>
        <v>83731.775700934581</v>
      </c>
      <c r="BC81" s="21">
        <v>909</v>
      </c>
      <c r="BD81" s="4">
        <f t="shared" si="56"/>
        <v>1.0856093668032101</v>
      </c>
      <c r="BE81" s="9">
        <v>245.8</v>
      </c>
      <c r="BF81" s="9">
        <v>0.3</v>
      </c>
      <c r="BG81">
        <f t="shared" si="57"/>
        <v>81933.333333333343</v>
      </c>
      <c r="BH81" s="8">
        <v>316.2</v>
      </c>
      <c r="BI81" s="4">
        <f t="shared" si="58"/>
        <v>0.38592351505288847</v>
      </c>
      <c r="BJ81" s="9">
        <v>557</v>
      </c>
      <c r="BK81" s="10">
        <v>0.4</v>
      </c>
      <c r="BL81">
        <f t="shared" si="59"/>
        <v>139250</v>
      </c>
      <c r="BM81" s="36">
        <v>819.64390000000003</v>
      </c>
      <c r="BN81" s="4">
        <f t="shared" si="60"/>
        <v>0.58861321364452424</v>
      </c>
      <c r="BO81" s="9">
        <v>490.5</v>
      </c>
      <c r="BP81" s="10">
        <v>0.4</v>
      </c>
      <c r="BQ81">
        <f t="shared" si="61"/>
        <v>122625</v>
      </c>
      <c r="BR81" s="36">
        <v>214.98129999999998</v>
      </c>
      <c r="BS81" s="4">
        <f t="shared" si="62"/>
        <v>0.17531604485219163</v>
      </c>
      <c r="BT81" s="21">
        <v>1618.7</v>
      </c>
      <c r="BU81" s="10">
        <v>0.8</v>
      </c>
      <c r="BV81">
        <f t="shared" si="63"/>
        <v>202337.5</v>
      </c>
      <c r="BW81" s="2"/>
      <c r="BX81" s="42">
        <v>0.3</v>
      </c>
      <c r="BY81" s="32">
        <v>795.17600000000004</v>
      </c>
      <c r="BZ81" s="40">
        <v>0.2832673952880676</v>
      </c>
      <c r="CA81">
        <f t="shared" si="64"/>
        <v>280715.68180000002</v>
      </c>
      <c r="CB81" s="36">
        <v>455.40159999999997</v>
      </c>
      <c r="CC81" s="4">
        <f t="shared" si="65"/>
        <v>0.16222877079038908</v>
      </c>
    </row>
    <row r="82" spans="1:81" x14ac:dyDescent="0.25">
      <c r="A82" t="s">
        <v>80</v>
      </c>
      <c r="B82" s="8">
        <v>24.5</v>
      </c>
      <c r="C82">
        <v>0.1</v>
      </c>
      <c r="D82" s="4">
        <f>B82/C82*100</f>
        <v>24500</v>
      </c>
      <c r="E82" s="9">
        <v>65109</v>
      </c>
      <c r="F82">
        <f>E82/D82*100</f>
        <v>265.7510204081633</v>
      </c>
      <c r="G82" s="8">
        <v>20.6</v>
      </c>
      <c r="H82" s="9">
        <v>0.1</v>
      </c>
      <c r="I82">
        <f t="shared" si="39"/>
        <v>20600</v>
      </c>
      <c r="J82" s="8">
        <v>106358</v>
      </c>
      <c r="K82" s="4">
        <f t="shared" si="37"/>
        <v>516.30097087378635</v>
      </c>
      <c r="L82" s="8">
        <v>62.7</v>
      </c>
      <c r="M82" s="9">
        <v>0.1</v>
      </c>
      <c r="N82" s="4">
        <f t="shared" si="40"/>
        <v>62700</v>
      </c>
      <c r="O82" s="9">
        <v>25187</v>
      </c>
      <c r="P82" s="4">
        <f t="shared" si="41"/>
        <v>40.170653907496011</v>
      </c>
      <c r="Q82" s="9">
        <v>214.6</v>
      </c>
      <c r="R82" s="9">
        <v>0.1</v>
      </c>
      <c r="S82" s="4">
        <f t="shared" si="42"/>
        <v>214600</v>
      </c>
      <c r="T82" s="9">
        <v>15.7</v>
      </c>
      <c r="U82">
        <f t="shared" si="43"/>
        <v>7.3159366262814532E-3</v>
      </c>
      <c r="V82" s="8">
        <v>224.5</v>
      </c>
      <c r="W82" s="9">
        <v>0.1</v>
      </c>
      <c r="X82" s="4">
        <f t="shared" si="44"/>
        <v>224500</v>
      </c>
      <c r="Y82" s="9">
        <v>59697.2</v>
      </c>
      <c r="Z82">
        <f t="shared" si="45"/>
        <v>26.591180400890867</v>
      </c>
      <c r="AA82" s="8">
        <v>86</v>
      </c>
      <c r="AB82" s="10">
        <v>0</v>
      </c>
      <c r="AC82" s="4"/>
      <c r="AD82" s="8">
        <v>15649.1</v>
      </c>
      <c r="AE82" s="4"/>
      <c r="AF82" s="8">
        <v>270281.7</v>
      </c>
      <c r="AG82" s="11">
        <v>53.9</v>
      </c>
      <c r="AH82" s="4">
        <f t="shared" si="48"/>
        <v>501450.27829313546</v>
      </c>
      <c r="AI82" s="8">
        <v>16612.900000000001</v>
      </c>
      <c r="AJ82" s="4">
        <f t="shared" si="49"/>
        <v>3.3129705414758006</v>
      </c>
      <c r="AK82" s="8">
        <v>318912.90000000002</v>
      </c>
      <c r="AL82" s="12">
        <v>57.4</v>
      </c>
      <c r="AM82">
        <f t="shared" si="38"/>
        <v>555597.38675958198</v>
      </c>
      <c r="AN82" s="8">
        <v>20995.3</v>
      </c>
      <c r="AO82" s="4">
        <f t="shared" si="50"/>
        <v>3.77886946561271</v>
      </c>
      <c r="AP82" s="8">
        <v>321867.5</v>
      </c>
      <c r="AQ82" s="12">
        <v>57.8</v>
      </c>
      <c r="AR82" s="4">
        <f t="shared" si="51"/>
        <v>556864.18685121113</v>
      </c>
      <c r="AS82" s="8">
        <v>20993.5</v>
      </c>
      <c r="AT82" s="4">
        <f t="shared" si="52"/>
        <v>3.7699497464018581</v>
      </c>
      <c r="AU82" s="8">
        <v>426273.2</v>
      </c>
      <c r="AV82" s="12">
        <v>60.1</v>
      </c>
      <c r="AW82">
        <f t="shared" si="53"/>
        <v>709273.21131447586</v>
      </c>
      <c r="AX82" s="8">
        <v>42587.6</v>
      </c>
      <c r="AY82" s="4">
        <f t="shared" si="54"/>
        <v>6.0043999012839651</v>
      </c>
      <c r="AZ82" s="9">
        <v>92528.8</v>
      </c>
      <c r="BA82" s="10">
        <v>13.9</v>
      </c>
      <c r="BB82">
        <f t="shared" si="55"/>
        <v>665674.82014388486</v>
      </c>
      <c r="BC82" s="21">
        <v>51041.3</v>
      </c>
      <c r="BD82" s="4">
        <f t="shared" si="56"/>
        <v>7.6676026275062483</v>
      </c>
      <c r="BE82" s="9">
        <v>196.8</v>
      </c>
      <c r="BF82" s="9">
        <v>0</v>
      </c>
      <c r="BH82" s="8">
        <v>38610</v>
      </c>
      <c r="BI82" s="4"/>
      <c r="BJ82" s="9">
        <v>1397.5</v>
      </c>
      <c r="BK82" s="10">
        <v>0.2</v>
      </c>
      <c r="BL82">
        <f t="shared" si="59"/>
        <v>698750</v>
      </c>
      <c r="BM82" s="36">
        <v>37940.707900000001</v>
      </c>
      <c r="BN82" s="4">
        <f t="shared" si="60"/>
        <v>5.4297971949910551</v>
      </c>
      <c r="BO82" s="9">
        <v>1347.4</v>
      </c>
      <c r="BP82" s="10">
        <v>0.1</v>
      </c>
      <c r="BQ82">
        <f t="shared" si="61"/>
        <v>1347400</v>
      </c>
      <c r="BR82" s="36">
        <v>54505.678399999997</v>
      </c>
      <c r="BS82" s="4">
        <f t="shared" si="62"/>
        <v>4.045248508238088</v>
      </c>
      <c r="BT82" s="21">
        <v>8924.9</v>
      </c>
      <c r="BU82" s="10">
        <v>0.7</v>
      </c>
      <c r="BV82">
        <f t="shared" si="63"/>
        <v>1274985.7142857143</v>
      </c>
      <c r="BW82" s="2"/>
      <c r="BX82" s="42">
        <v>5.5</v>
      </c>
      <c r="BY82" s="32">
        <v>8747.3389999999999</v>
      </c>
      <c r="BZ82" s="40">
        <v>0.74087081669005617</v>
      </c>
      <c r="CA82">
        <f t="shared" si="64"/>
        <v>1180683.4339999999</v>
      </c>
      <c r="CB82" s="36">
        <v>50419.672500000001</v>
      </c>
      <c r="CC82" s="4">
        <f t="shared" si="65"/>
        <v>4.2703802770557049</v>
      </c>
    </row>
    <row r="83" spans="1:81" x14ac:dyDescent="0.25">
      <c r="A83" t="s">
        <v>81</v>
      </c>
      <c r="B83" s="2"/>
      <c r="D83" s="4"/>
      <c r="E83" s="9">
        <v>3155</v>
      </c>
      <c r="G83" s="8">
        <v>26.7</v>
      </c>
      <c r="H83" s="9">
        <v>0.9</v>
      </c>
      <c r="I83">
        <f t="shared" si="39"/>
        <v>2966.6666666666665</v>
      </c>
      <c r="J83" s="8">
        <v>20900</v>
      </c>
      <c r="K83" s="4">
        <f t="shared" si="37"/>
        <v>704.49438202247188</v>
      </c>
      <c r="L83" s="8">
        <v>39.799999999999997</v>
      </c>
      <c r="M83" s="9">
        <v>1</v>
      </c>
      <c r="N83" s="4">
        <f t="shared" si="40"/>
        <v>3979.9999999999995</v>
      </c>
      <c r="O83" s="9">
        <v>37610</v>
      </c>
      <c r="P83" s="4">
        <f t="shared" si="41"/>
        <v>944.97487437185941</v>
      </c>
      <c r="Q83" s="9">
        <v>155.1</v>
      </c>
      <c r="R83" s="9">
        <v>3</v>
      </c>
      <c r="S83" s="4">
        <f t="shared" si="42"/>
        <v>5170</v>
      </c>
      <c r="T83" s="9">
        <v>0.2</v>
      </c>
      <c r="U83">
        <f t="shared" si="43"/>
        <v>3.868471953578337E-3</v>
      </c>
      <c r="V83" s="8">
        <v>158.30000000000001</v>
      </c>
      <c r="W83" s="9">
        <v>3.7</v>
      </c>
      <c r="X83" s="4">
        <f t="shared" si="44"/>
        <v>4278.3783783783783</v>
      </c>
      <c r="Y83" s="9">
        <v>61.3</v>
      </c>
      <c r="Z83">
        <f t="shared" si="45"/>
        <v>1.4327858496525583</v>
      </c>
      <c r="AA83" s="8">
        <v>6.7</v>
      </c>
      <c r="AB83" s="10">
        <v>0.1</v>
      </c>
      <c r="AC83" s="4">
        <f t="shared" si="46"/>
        <v>6700</v>
      </c>
      <c r="AD83" s="8">
        <v>73.8</v>
      </c>
      <c r="AE83" s="4">
        <f t="shared" si="47"/>
        <v>1.1014925373134328</v>
      </c>
      <c r="AF83" s="8" t="s">
        <v>85</v>
      </c>
      <c r="AG83" s="11" t="s">
        <v>84</v>
      </c>
      <c r="AH83" s="4"/>
      <c r="AI83" s="8">
        <v>354.7</v>
      </c>
      <c r="AJ83" s="4"/>
      <c r="AK83" s="8">
        <v>0.4</v>
      </c>
      <c r="AL83" s="12">
        <v>0</v>
      </c>
      <c r="AN83" s="8">
        <v>85.4</v>
      </c>
      <c r="AO83" s="4"/>
      <c r="AP83" s="8">
        <v>0.4</v>
      </c>
      <c r="AQ83" s="12" t="s">
        <v>85</v>
      </c>
      <c r="AR83" s="4"/>
      <c r="AS83" s="8">
        <v>226.1</v>
      </c>
      <c r="AT83" s="4"/>
      <c r="AU83" s="8">
        <v>40.4</v>
      </c>
      <c r="AV83" s="12">
        <v>0.6</v>
      </c>
      <c r="AW83">
        <f t="shared" si="53"/>
        <v>6733.333333333333</v>
      </c>
      <c r="AX83" s="8">
        <v>64.099999999999994</v>
      </c>
      <c r="AY83" s="4">
        <f t="shared" si="54"/>
        <v>0.95198019801980194</v>
      </c>
      <c r="AZ83" s="9">
        <v>80.3</v>
      </c>
      <c r="BA83" s="10">
        <v>1.1000000000000001</v>
      </c>
      <c r="BB83">
        <f t="shared" si="55"/>
        <v>7299.9999999999982</v>
      </c>
      <c r="BC83" s="21">
        <v>55.6</v>
      </c>
      <c r="BD83" s="4">
        <f t="shared" si="56"/>
        <v>0.76164383561643856</v>
      </c>
      <c r="BE83" s="9">
        <v>50.6</v>
      </c>
      <c r="BF83" s="9">
        <v>0.5</v>
      </c>
      <c r="BG83">
        <f t="shared" si="57"/>
        <v>10120</v>
      </c>
      <c r="BH83" s="8">
        <v>19.899999999999999</v>
      </c>
      <c r="BI83" s="4">
        <f t="shared" si="58"/>
        <v>0.1966403162055336</v>
      </c>
      <c r="BJ83" s="9">
        <v>277.5</v>
      </c>
      <c r="BK83" s="10">
        <v>2</v>
      </c>
      <c r="BL83">
        <f t="shared" si="59"/>
        <v>13875</v>
      </c>
      <c r="BM83" s="36">
        <v>61.527500000000003</v>
      </c>
      <c r="BN83" s="4">
        <f t="shared" si="60"/>
        <v>0.44344144144144143</v>
      </c>
      <c r="BO83" s="9">
        <v>300.8</v>
      </c>
      <c r="BP83" s="10">
        <v>1.8</v>
      </c>
      <c r="BQ83">
        <f t="shared" si="61"/>
        <v>16711.111111111113</v>
      </c>
      <c r="BR83" s="36">
        <v>77.997699999999995</v>
      </c>
      <c r="BS83" s="4">
        <f t="shared" si="62"/>
        <v>0.46674155585106375</v>
      </c>
      <c r="BT83" s="21">
        <v>338</v>
      </c>
      <c r="BU83" s="10">
        <v>1.5</v>
      </c>
      <c r="BV83">
        <f t="shared" si="63"/>
        <v>22533.333333333336</v>
      </c>
      <c r="BW83" s="2"/>
      <c r="BX83" s="42">
        <v>2.5</v>
      </c>
      <c r="BY83" s="32"/>
      <c r="BZ83" s="40">
        <v>1.0193191242885118</v>
      </c>
      <c r="CA83">
        <f t="shared" si="64"/>
        <v>0</v>
      </c>
      <c r="CB83" s="36">
        <v>204.80670000000001</v>
      </c>
      <c r="CC83" s="4"/>
    </row>
    <row r="84" spans="1:81" ht="15.75" thickBot="1" x14ac:dyDescent="0.3">
      <c r="A84" t="s">
        <v>82</v>
      </c>
      <c r="B84" s="3"/>
      <c r="C84" s="16"/>
      <c r="D84" s="5"/>
      <c r="E84" s="16"/>
      <c r="F84" s="16"/>
      <c r="G84" s="3"/>
      <c r="H84" s="17" t="s">
        <v>85</v>
      </c>
      <c r="I84" s="16"/>
      <c r="J84" s="3"/>
      <c r="K84" s="5"/>
      <c r="L84" s="18">
        <v>131.6</v>
      </c>
      <c r="M84" s="17">
        <v>6.3</v>
      </c>
      <c r="N84" s="5">
        <f t="shared" si="40"/>
        <v>2088.8888888888891</v>
      </c>
      <c r="O84" s="3"/>
      <c r="P84" s="5"/>
      <c r="Q84" s="17">
        <v>118.2</v>
      </c>
      <c r="R84" s="17">
        <v>5.4</v>
      </c>
      <c r="S84" s="5">
        <f t="shared" si="42"/>
        <v>2188.8888888888891</v>
      </c>
      <c r="T84" s="16"/>
      <c r="U84" s="16"/>
      <c r="V84" s="18">
        <v>83</v>
      </c>
      <c r="W84" s="17">
        <v>3.4</v>
      </c>
      <c r="X84" s="5">
        <f t="shared" si="44"/>
        <v>2441.1764705882356</v>
      </c>
      <c r="Y84" s="16"/>
      <c r="Z84" s="16"/>
      <c r="AA84" s="18">
        <v>186.9</v>
      </c>
      <c r="AB84" s="19">
        <v>0.6</v>
      </c>
      <c r="AC84" s="5">
        <f t="shared" si="46"/>
        <v>31150</v>
      </c>
      <c r="AD84" s="18">
        <v>14.2</v>
      </c>
      <c r="AE84" s="5">
        <f t="shared" si="47"/>
        <v>4.5585874799357939E-2</v>
      </c>
      <c r="AF84" s="18">
        <v>10.9</v>
      </c>
      <c r="AG84" s="16" t="s">
        <v>84</v>
      </c>
      <c r="AH84" s="5"/>
      <c r="AI84" s="18">
        <v>77.400000000000006</v>
      </c>
      <c r="AJ84" s="5"/>
      <c r="AK84" s="18">
        <v>488.6</v>
      </c>
      <c r="AL84" s="20">
        <v>1.2</v>
      </c>
      <c r="AM84" s="16">
        <f>AK84/AL84*100</f>
        <v>40716.666666666672</v>
      </c>
      <c r="AN84" s="18">
        <v>58.2</v>
      </c>
      <c r="AO84" s="4">
        <f t="shared" si="50"/>
        <v>0.14293900941465409</v>
      </c>
      <c r="AP84" s="18">
        <v>627.5</v>
      </c>
      <c r="AQ84" s="20">
        <v>1.7</v>
      </c>
      <c r="AR84" s="5">
        <f t="shared" si="51"/>
        <v>36911.764705882357</v>
      </c>
      <c r="AS84" s="18">
        <v>62.5</v>
      </c>
      <c r="AT84" s="5">
        <f t="shared" si="52"/>
        <v>0.1693227091633466</v>
      </c>
      <c r="AU84" s="18">
        <v>30.6</v>
      </c>
      <c r="AV84" s="20">
        <v>0</v>
      </c>
      <c r="AW84" s="16"/>
      <c r="AX84" s="18">
        <v>34.9</v>
      </c>
      <c r="AY84" s="5"/>
      <c r="AZ84" s="17">
        <v>108</v>
      </c>
      <c r="BA84" s="19">
        <v>0.1</v>
      </c>
      <c r="BB84" s="16">
        <f t="shared" si="55"/>
        <v>108000</v>
      </c>
      <c r="BC84" s="23">
        <v>694.1</v>
      </c>
      <c r="BD84" s="5">
        <f>BC84/BB84*100</f>
        <v>0.64268518518518525</v>
      </c>
      <c r="BE84" s="17">
        <v>630.4</v>
      </c>
      <c r="BF84" s="17">
        <v>0.7</v>
      </c>
      <c r="BG84" s="16">
        <f t="shared" si="57"/>
        <v>90057.142857142855</v>
      </c>
      <c r="BH84" s="18">
        <v>166.5</v>
      </c>
      <c r="BI84" s="5">
        <f t="shared" si="58"/>
        <v>0.18488261421319799</v>
      </c>
      <c r="BJ84" s="17">
        <v>993.2</v>
      </c>
      <c r="BK84" s="19">
        <v>1.4</v>
      </c>
      <c r="BL84" s="16">
        <f t="shared" si="59"/>
        <v>70942.857142857159</v>
      </c>
      <c r="BM84" s="37">
        <v>340.1703</v>
      </c>
      <c r="BN84" s="5">
        <f t="shared" si="60"/>
        <v>0.47949901329037442</v>
      </c>
      <c r="BO84" s="17">
        <v>395.3</v>
      </c>
      <c r="BP84" s="19">
        <v>0.5</v>
      </c>
      <c r="BQ84" s="16">
        <f t="shared" si="61"/>
        <v>79060</v>
      </c>
      <c r="BR84" s="37">
        <v>32.161900000000003</v>
      </c>
      <c r="BS84" s="5">
        <f t="shared" si="62"/>
        <v>4.0680369339741972E-2</v>
      </c>
      <c r="BT84" s="23">
        <v>888.3</v>
      </c>
      <c r="BU84" s="19">
        <v>0.8</v>
      </c>
      <c r="BV84" s="16">
        <f t="shared" si="63"/>
        <v>111037.49999999997</v>
      </c>
      <c r="BW84" s="3"/>
      <c r="BX84" s="43">
        <v>0.4</v>
      </c>
      <c r="BY84" s="35">
        <v>724.84609999999998</v>
      </c>
      <c r="BZ84" s="44">
        <v>0.52828375645232006</v>
      </c>
      <c r="CA84" s="5">
        <f t="shared" si="64"/>
        <v>137207.7205</v>
      </c>
      <c r="CB84" s="37">
        <v>69.984899999999996</v>
      </c>
      <c r="CC84" s="5">
        <f t="shared" si="65"/>
        <v>5.100653209962773E-2</v>
      </c>
    </row>
  </sheetData>
  <mergeCells count="16">
    <mergeCell ref="BJ1:BN1"/>
    <mergeCell ref="BO1:BS1"/>
    <mergeCell ref="BT1:BX1"/>
    <mergeCell ref="BY1:CC1"/>
    <mergeCell ref="AF1:AJ1"/>
    <mergeCell ref="AK1:AO1"/>
    <mergeCell ref="AP1:AT1"/>
    <mergeCell ref="AU1:AY1"/>
    <mergeCell ref="AZ1:BD1"/>
    <mergeCell ref="BE1:BI1"/>
    <mergeCell ref="AA1:AE1"/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154"/>
  <sheetViews>
    <sheetView topLeftCell="A148" zoomScale="70" zoomScaleNormal="70" workbookViewId="0">
      <selection activeCell="I180" sqref="I180"/>
    </sheetView>
  </sheetViews>
  <sheetFormatPr defaultRowHeight="15" x14ac:dyDescent="0.25"/>
  <cols>
    <col min="1" max="1" width="7.85546875" customWidth="1"/>
    <col min="2" max="2" width="28.140625" customWidth="1"/>
    <col min="3" max="3" width="13.140625" customWidth="1"/>
    <col min="4" max="4" width="17" customWidth="1"/>
    <col min="5" max="5" width="13.7109375" customWidth="1"/>
    <col min="6" max="6" width="11.42578125" customWidth="1"/>
    <col min="7" max="7" width="11.28515625" customWidth="1"/>
    <col min="8" max="8" width="12.7109375" customWidth="1"/>
    <col min="9" max="9" width="11.42578125" customWidth="1"/>
    <col min="10" max="10" width="11.7109375" customWidth="1"/>
    <col min="11" max="11" width="11.42578125" customWidth="1"/>
    <col min="12" max="12" width="11.28515625" customWidth="1"/>
    <col min="13" max="13" width="11.42578125" customWidth="1"/>
    <col min="14" max="14" width="11.28515625" customWidth="1"/>
    <col min="15" max="15" width="11.7109375" customWidth="1"/>
    <col min="16" max="18" width="13.140625" bestFit="1" customWidth="1"/>
  </cols>
  <sheetData>
    <row r="1" spans="1:5" ht="85.5" customHeight="1" x14ac:dyDescent="0.25">
      <c r="A1" s="85" t="s">
        <v>0</v>
      </c>
      <c r="B1" s="84" t="s">
        <v>83</v>
      </c>
      <c r="C1" s="159" t="s">
        <v>202</v>
      </c>
      <c r="D1" s="159" t="s">
        <v>203</v>
      </c>
      <c r="E1" s="159" t="s">
        <v>204</v>
      </c>
    </row>
    <row r="2" spans="1:5" ht="15.75" x14ac:dyDescent="0.25">
      <c r="A2" s="85">
        <v>19</v>
      </c>
      <c r="B2" s="84" t="s">
        <v>19</v>
      </c>
      <c r="C2" s="155">
        <f>'13.1н'!B20</f>
        <v>0.45276034623767314</v>
      </c>
      <c r="D2" s="155">
        <f>'13.2н'!B20</f>
        <v>0.76602599924261539</v>
      </c>
      <c r="E2" s="155">
        <f>'13.3н'!B20</f>
        <v>0.46379385697776881</v>
      </c>
    </row>
    <row r="3" spans="1:5" ht="15.75" x14ac:dyDescent="0.25">
      <c r="A3" s="85">
        <v>20</v>
      </c>
      <c r="B3" s="84" t="s">
        <v>20</v>
      </c>
      <c r="C3" s="155">
        <f>'13.1н'!B21</f>
        <v>0.67887624307312855</v>
      </c>
      <c r="D3" s="155">
        <f>'13.2н'!B21</f>
        <v>0.79673413432268281</v>
      </c>
      <c r="E3" s="155">
        <f>'13.3н'!B21</f>
        <v>0.50069901242229231</v>
      </c>
    </row>
    <row r="4" spans="1:5" ht="15.75" x14ac:dyDescent="0.25">
      <c r="A4" s="85">
        <v>21</v>
      </c>
      <c r="B4" s="84" t="s">
        <v>21</v>
      </c>
      <c r="C4" s="155">
        <f>'13.1н'!B22</f>
        <v>0.31930463467256909</v>
      </c>
      <c r="D4" s="155">
        <f>'13.2н'!B22</f>
        <v>0.79683239836669018</v>
      </c>
      <c r="E4" s="155">
        <f>'13.3н'!B22</f>
        <v>0.51902706132392085</v>
      </c>
    </row>
    <row r="5" spans="1:5" ht="15.75" x14ac:dyDescent="0.25">
      <c r="A5" s="85">
        <v>22</v>
      </c>
      <c r="B5" s="84" t="s">
        <v>22</v>
      </c>
      <c r="C5" s="155">
        <f>'13.1н'!B23</f>
        <v>0.49706140238591862</v>
      </c>
      <c r="D5" s="155">
        <f>'13.2н'!B23</f>
        <v>0.74995848827904921</v>
      </c>
      <c r="E5" s="155">
        <f>'13.3н'!B23</f>
        <v>0.52630230627264818</v>
      </c>
    </row>
    <row r="6" spans="1:5" ht="15.75" x14ac:dyDescent="0.25">
      <c r="A6" s="85">
        <v>23</v>
      </c>
      <c r="B6" s="84" t="s">
        <v>23</v>
      </c>
      <c r="C6" s="155">
        <f>'13.1н'!B24</f>
        <v>0.73021394509768822</v>
      </c>
      <c r="D6" s="155">
        <f>'13.2н'!B24</f>
        <v>0.75715957131524458</v>
      </c>
      <c r="E6" s="155">
        <f>'13.3н'!B24</f>
        <v>0.54168035247016189</v>
      </c>
    </row>
    <row r="7" spans="1:5" ht="15.75" x14ac:dyDescent="0.25">
      <c r="A7" s="85">
        <v>24</v>
      </c>
      <c r="B7" s="84" t="s">
        <v>24</v>
      </c>
      <c r="C7" s="155">
        <f>'13.1н'!B25</f>
        <v>0.83232602711903858</v>
      </c>
      <c r="D7" s="155">
        <f>'13.2н'!B25</f>
        <v>0.80909538572144901</v>
      </c>
      <c r="E7" s="155">
        <f>'13.3н'!B25</f>
        <v>0.3537894922269133</v>
      </c>
    </row>
    <row r="8" spans="1:5" ht="15.75" x14ac:dyDescent="0.25">
      <c r="A8" s="85">
        <v>25</v>
      </c>
      <c r="B8" s="84" t="s">
        <v>25</v>
      </c>
      <c r="C8" s="155">
        <f>'13.1н'!B26</f>
        <v>0</v>
      </c>
      <c r="D8" s="155">
        <f>'13.2н'!B26</f>
        <v>0.7812545190786212</v>
      </c>
      <c r="E8" s="155">
        <f>'13.3н'!B26</f>
        <v>0.61519403586281163</v>
      </c>
    </row>
    <row r="9" spans="1:5" ht="15.75" x14ac:dyDescent="0.25">
      <c r="A9" s="85">
        <v>26</v>
      </c>
      <c r="B9" s="84" t="s">
        <v>26</v>
      </c>
      <c r="C9" s="155">
        <f>'13.1н'!B27</f>
        <v>0.20707699509889604</v>
      </c>
      <c r="D9" s="155">
        <f>'13.2н'!B27</f>
        <v>0.72034901268561091</v>
      </c>
      <c r="E9" s="155">
        <f>'13.3н'!B27</f>
        <v>0.38474244940625818</v>
      </c>
    </row>
    <row r="10" spans="1:5" ht="15.75" x14ac:dyDescent="0.25">
      <c r="A10" s="85">
        <v>27</v>
      </c>
      <c r="B10" s="84" t="s">
        <v>27</v>
      </c>
      <c r="C10" s="155">
        <f>'13.1н'!B28</f>
        <v>0.36087671550871453</v>
      </c>
      <c r="D10" s="155">
        <f>'13.2н'!B28</f>
        <v>0.67615416726839006</v>
      </c>
      <c r="E10" s="155">
        <f>'13.3н'!B28</f>
        <v>0.37163011350833658</v>
      </c>
    </row>
    <row r="11" spans="1:5" ht="15.75" x14ac:dyDescent="0.25">
      <c r="A11" s="85">
        <v>28</v>
      </c>
      <c r="B11" s="84" t="s">
        <v>28</v>
      </c>
      <c r="C11" s="155">
        <f>'13.1н'!B29</f>
        <v>0.92713209386449402</v>
      </c>
      <c r="D11" s="155">
        <f>'13.2н'!B29</f>
        <v>0.86481938988293794</v>
      </c>
      <c r="E11" s="155">
        <f>'13.3н'!B29</f>
        <v>0.77297922233290406</v>
      </c>
    </row>
    <row r="12" spans="1:5" ht="16.5" thickBot="1" x14ac:dyDescent="0.3">
      <c r="A12" s="79"/>
      <c r="B12" s="80"/>
      <c r="C12" s="142"/>
      <c r="D12" s="143"/>
      <c r="E12" s="143"/>
    </row>
    <row r="13" spans="1:5" ht="60.75" thickBot="1" x14ac:dyDescent="0.3">
      <c r="A13" s="85" t="s">
        <v>0</v>
      </c>
      <c r="B13" s="84" t="s">
        <v>83</v>
      </c>
      <c r="C13" s="54" t="s">
        <v>206</v>
      </c>
      <c r="D13" s="54" t="s">
        <v>104</v>
      </c>
      <c r="E13" s="54" t="s">
        <v>106</v>
      </c>
    </row>
    <row r="14" spans="1:5" ht="15.75" x14ac:dyDescent="0.25">
      <c r="A14" s="85">
        <v>19</v>
      </c>
      <c r="B14" s="84" t="s">
        <v>19</v>
      </c>
      <c r="C14" s="155">
        <f>'14.1н'!B20</f>
        <v>0.17973538386461049</v>
      </c>
      <c r="D14" s="155">
        <f>'14.2н'!B20</f>
        <v>0.30640419202707797</v>
      </c>
      <c r="E14" s="155">
        <f>'14.3н'!B20</f>
        <v>1.9990440930362039E-3</v>
      </c>
    </row>
    <row r="15" spans="1:5" ht="15.75" x14ac:dyDescent="0.25">
      <c r="A15" s="85">
        <v>20</v>
      </c>
      <c r="B15" s="84" t="s">
        <v>20</v>
      </c>
      <c r="C15" s="155">
        <f>'14.1н'!B21</f>
        <v>0.22527415223558916</v>
      </c>
      <c r="D15" s="155">
        <f>'14.2н'!B21</f>
        <v>2.8345388916516945E-2</v>
      </c>
      <c r="E15" s="155">
        <f>'14.3н'!B21</f>
        <v>4.1728030445174508E-8</v>
      </c>
    </row>
    <row r="16" spans="1:5" ht="15.75" x14ac:dyDescent="0.25">
      <c r="A16" s="85">
        <v>21</v>
      </c>
      <c r="B16" s="84" t="s">
        <v>21</v>
      </c>
      <c r="C16" s="155">
        <f>'14.1н'!B22</f>
        <v>6.5912986242652821E-2</v>
      </c>
      <c r="D16" s="155">
        <f>'14.2н'!B22</f>
        <v>3.3228690051319358E-4</v>
      </c>
      <c r="E16" s="155">
        <f>'14.3н'!B22</f>
        <v>0.10331511452245505</v>
      </c>
    </row>
    <row r="17" spans="1:5" ht="15.75" x14ac:dyDescent="0.25">
      <c r="A17" s="85">
        <v>22</v>
      </c>
      <c r="B17" s="84" t="s">
        <v>22</v>
      </c>
      <c r="C17" s="155">
        <f>'14.1н'!B23</f>
        <v>0.37423526088501691</v>
      </c>
      <c r="D17" s="155">
        <f>'14.2н'!B23</f>
        <v>4.4191945936892363E-4</v>
      </c>
      <c r="E17" s="155">
        <f>'14.3н'!B23</f>
        <v>1.3706268993544297E-4</v>
      </c>
    </row>
    <row r="18" spans="1:5" ht="15.75" x14ac:dyDescent="0.25">
      <c r="A18" s="85">
        <v>23</v>
      </c>
      <c r="B18" s="84" t="s">
        <v>23</v>
      </c>
      <c r="C18" s="155">
        <f>'14.1н'!B24</f>
        <v>0.1163506942399983</v>
      </c>
      <c r="D18" s="155">
        <f>'14.2н'!B24</f>
        <v>1.6456350980256202E-6</v>
      </c>
      <c r="E18" s="155">
        <f>'14.3н'!B24</f>
        <v>1.3105334029892672E-8</v>
      </c>
    </row>
    <row r="19" spans="1:5" ht="15.75" x14ac:dyDescent="0.25">
      <c r="A19" s="85">
        <v>24</v>
      </c>
      <c r="B19" s="84" t="s">
        <v>24</v>
      </c>
      <c r="C19" s="155">
        <f>'14.1н'!B25</f>
        <v>0.21963193510607473</v>
      </c>
      <c r="D19" s="155">
        <f>'14.2н'!B25</f>
        <v>0.25673319580507681</v>
      </c>
      <c r="E19" s="155">
        <f>'14.3н'!B25</f>
        <v>1.2933651727730904E-8</v>
      </c>
    </row>
    <row r="20" spans="1:5" ht="15.75" x14ac:dyDescent="0.25">
      <c r="A20" s="85">
        <v>25</v>
      </c>
      <c r="B20" s="84" t="s">
        <v>25</v>
      </c>
      <c r="C20" s="155">
        <f>'14.1н'!B26</f>
        <v>0.28173560280808285</v>
      </c>
      <c r="D20" s="155">
        <f>'14.2н'!B26</f>
        <v>1.071825895381087E-3</v>
      </c>
      <c r="E20" s="155">
        <f>'14.3н'!B26</f>
        <v>0.19620519620798435</v>
      </c>
    </row>
    <row r="21" spans="1:5" ht="15.75" x14ac:dyDescent="0.25">
      <c r="A21" s="85">
        <v>26</v>
      </c>
      <c r="B21" s="84" t="s">
        <v>26</v>
      </c>
      <c r="C21" s="155">
        <f>'14.1н'!B27</f>
        <v>0.35183617601553457</v>
      </c>
      <c r="D21" s="155">
        <f>'14.2н'!B27</f>
        <v>0.11980930452291619</v>
      </c>
      <c r="E21" s="155">
        <f>'14.3н'!B27</f>
        <v>1.2497751285558002E-4</v>
      </c>
    </row>
    <row r="22" spans="1:5" ht="15.75" x14ac:dyDescent="0.25">
      <c r="A22" s="85">
        <v>27</v>
      </c>
      <c r="B22" s="84" t="s">
        <v>27</v>
      </c>
      <c r="C22" s="155">
        <f>'14.1н'!B28</f>
        <v>0.28775597137130493</v>
      </c>
      <c r="D22" s="155">
        <f>'14.2н'!B28</f>
        <v>2.8307929738983994E-3</v>
      </c>
      <c r="E22" s="155">
        <f>'14.3н'!B28</f>
        <v>3.6448614458184323E-7</v>
      </c>
    </row>
    <row r="23" spans="1:5" ht="15.75" x14ac:dyDescent="0.25">
      <c r="A23" s="85">
        <v>28</v>
      </c>
      <c r="B23" s="84" t="s">
        <v>28</v>
      </c>
      <c r="C23" s="155">
        <f>'14.1н'!B29</f>
        <v>0.47195003330400659</v>
      </c>
      <c r="D23" s="155">
        <f>'14.2н'!B29</f>
        <v>0.48188670346705437</v>
      </c>
      <c r="E23" s="155">
        <f>'14.3н'!B29</f>
        <v>0.19558915150349584</v>
      </c>
    </row>
    <row r="24" spans="1:5" ht="15.75" thickBot="1" x14ac:dyDescent="0.3"/>
    <row r="25" spans="1:5" ht="45.75" thickBot="1" x14ac:dyDescent="0.3">
      <c r="A25" s="85" t="s">
        <v>0</v>
      </c>
      <c r="B25" s="84" t="s">
        <v>83</v>
      </c>
      <c r="C25" s="54" t="s">
        <v>208</v>
      </c>
      <c r="D25" s="54" t="s">
        <v>209</v>
      </c>
      <c r="E25" s="54" t="s">
        <v>210</v>
      </c>
    </row>
    <row r="26" spans="1:5" ht="15.75" x14ac:dyDescent="0.25">
      <c r="A26" s="85">
        <v>19</v>
      </c>
      <c r="B26" s="84" t="s">
        <v>19</v>
      </c>
      <c r="C26" s="155">
        <f>'15.1н'!B20</f>
        <v>0.49033484236282021</v>
      </c>
      <c r="D26" s="155">
        <f>'15.2н'!B20</f>
        <v>0.44350616752476246</v>
      </c>
      <c r="E26" s="155">
        <f>'15.3н'!B20</f>
        <v>0.46136935886059438</v>
      </c>
    </row>
    <row r="27" spans="1:5" ht="15.75" x14ac:dyDescent="0.25">
      <c r="A27" s="85">
        <v>20</v>
      </c>
      <c r="B27" s="84" t="s">
        <v>20</v>
      </c>
      <c r="C27" s="155">
        <f>'15.1н'!B21</f>
        <v>0.44904343316441359</v>
      </c>
      <c r="D27" s="155">
        <f>'15.2н'!B21</f>
        <v>0.51627437186689118</v>
      </c>
      <c r="E27" s="155">
        <f>'15.3н'!B21</f>
        <v>0.45473621093423228</v>
      </c>
    </row>
    <row r="28" spans="1:5" ht="15.75" x14ac:dyDescent="0.25">
      <c r="A28" s="85">
        <v>21</v>
      </c>
      <c r="B28" s="84" t="s">
        <v>21</v>
      </c>
      <c r="C28" s="155">
        <f>'15.1н'!B22</f>
        <v>0.52298435474858007</v>
      </c>
      <c r="D28" s="155">
        <f>'15.2н'!B22</f>
        <v>0.52976135004807234</v>
      </c>
      <c r="E28" s="155">
        <f>'15.3н'!B22</f>
        <v>0.4528055831332945</v>
      </c>
    </row>
    <row r="29" spans="1:5" ht="15.75" x14ac:dyDescent="0.25">
      <c r="A29" s="85">
        <v>22</v>
      </c>
      <c r="B29" s="84" t="s">
        <v>22</v>
      </c>
      <c r="C29" s="155">
        <f>'15.1н'!B23</f>
        <v>0.41365384959221613</v>
      </c>
      <c r="D29" s="155">
        <f>'15.2н'!B23</f>
        <v>0.32494688467580785</v>
      </c>
      <c r="E29" s="155">
        <f>'15.3н'!B23</f>
        <v>0.42221628051518928</v>
      </c>
    </row>
    <row r="30" spans="1:5" ht="15.75" x14ac:dyDescent="0.25">
      <c r="A30" s="85">
        <v>23</v>
      </c>
      <c r="B30" s="84" t="s">
        <v>23</v>
      </c>
      <c r="C30" s="155">
        <f>'15.1н'!B24</f>
        <v>0.4143836388850573</v>
      </c>
      <c r="D30" s="155">
        <f>'15.2н'!B24</f>
        <v>0.50124882516074154</v>
      </c>
      <c r="E30" s="155">
        <f>'15.3н'!B24</f>
        <v>0.4398033569877608</v>
      </c>
    </row>
    <row r="31" spans="1:5" ht="15.75" x14ac:dyDescent="0.25">
      <c r="A31" s="85">
        <v>24</v>
      </c>
      <c r="B31" s="84" t="s">
        <v>24</v>
      </c>
      <c r="C31" s="155">
        <f>'15.1н'!B25</f>
        <v>0.53173579343602817</v>
      </c>
      <c r="D31" s="155">
        <f>'15.2н'!B25</f>
        <v>0.36687322069216299</v>
      </c>
      <c r="E31" s="155">
        <f>'15.3н'!B25</f>
        <v>0.34412605559620069</v>
      </c>
    </row>
    <row r="32" spans="1:5" ht="15.75" x14ac:dyDescent="0.25">
      <c r="A32" s="85">
        <v>25</v>
      </c>
      <c r="B32" s="84" t="s">
        <v>25</v>
      </c>
      <c r="C32" s="155">
        <f>'15.1н'!B26</f>
        <v>0.51432237017530291</v>
      </c>
      <c r="D32" s="155">
        <f>'15.2н'!B26</f>
        <v>0.63393178491664204</v>
      </c>
      <c r="E32" s="155">
        <f>'15.3н'!B26</f>
        <v>0.56492777961859286</v>
      </c>
    </row>
    <row r="33" spans="1:5" ht="15.75" x14ac:dyDescent="0.25">
      <c r="A33" s="85">
        <v>26</v>
      </c>
      <c r="B33" s="84" t="s">
        <v>26</v>
      </c>
      <c r="C33" s="155">
        <f>'15.1н'!B27</f>
        <v>0.45411985800534554</v>
      </c>
      <c r="D33" s="155">
        <f>'15.2н'!B27</f>
        <v>0.37769312663225924</v>
      </c>
      <c r="E33" s="155">
        <f>'15.3н'!B27</f>
        <v>0.39762618794145577</v>
      </c>
    </row>
    <row r="34" spans="1:5" ht="15.75" x14ac:dyDescent="0.25">
      <c r="A34" s="85">
        <v>27</v>
      </c>
      <c r="B34" s="84" t="s">
        <v>27</v>
      </c>
      <c r="C34" s="155">
        <f>'15.1н'!B28</f>
        <v>0.44768732626979785</v>
      </c>
      <c r="D34" s="155">
        <f>'15.2н'!B28</f>
        <v>0.4333076289645133</v>
      </c>
      <c r="E34" s="155">
        <f>'15.3н'!B28</f>
        <v>0.34304475743979013</v>
      </c>
    </row>
    <row r="35" spans="1:5" ht="15.75" x14ac:dyDescent="0.25">
      <c r="A35" s="85">
        <v>28</v>
      </c>
      <c r="B35" s="84" t="s">
        <v>28</v>
      </c>
      <c r="C35" s="155">
        <f>'15.1н'!B29</f>
        <v>0.56577162113391144</v>
      </c>
      <c r="D35" s="155">
        <f>'15.2н'!B29</f>
        <v>0.54068417211388919</v>
      </c>
      <c r="E35" s="155">
        <f>'15.3н'!B29</f>
        <v>0.59594429639360158</v>
      </c>
    </row>
    <row r="36" spans="1:5" ht="15.75" thickBot="1" x14ac:dyDescent="0.3"/>
    <row r="37" spans="1:5" ht="48" thickBot="1" x14ac:dyDescent="0.3">
      <c r="A37" s="85" t="s">
        <v>0</v>
      </c>
      <c r="B37" s="85" t="s">
        <v>83</v>
      </c>
      <c r="C37" s="54" t="s">
        <v>212</v>
      </c>
      <c r="D37" s="159" t="s">
        <v>136</v>
      </c>
      <c r="E37" s="54" t="s">
        <v>213</v>
      </c>
    </row>
    <row r="38" spans="1:5" ht="15.75" x14ac:dyDescent="0.25">
      <c r="A38" s="85">
        <v>19</v>
      </c>
      <c r="B38" s="153" t="s">
        <v>19</v>
      </c>
      <c r="C38" s="155">
        <f>'16.1н'!B20</f>
        <v>0.40763706531277816</v>
      </c>
      <c r="D38" s="155">
        <f>'16.2н'!B20</f>
        <v>0.53735322601046143</v>
      </c>
      <c r="E38" s="155">
        <f>'16.3н'!B20</f>
        <v>0.4837658892619458</v>
      </c>
    </row>
    <row r="39" spans="1:5" ht="15.75" x14ac:dyDescent="0.25">
      <c r="A39" s="85">
        <v>20</v>
      </c>
      <c r="B39" s="153" t="s">
        <v>20</v>
      </c>
      <c r="C39" s="155">
        <f>'16.1н'!B21</f>
        <v>0.17752910245224557</v>
      </c>
      <c r="D39" s="155">
        <f>'16.2н'!B21</f>
        <v>0.5490266544822846</v>
      </c>
      <c r="E39" s="155">
        <f>'16.3н'!B21</f>
        <v>0.54336743126302911</v>
      </c>
    </row>
    <row r="40" spans="1:5" ht="15.75" x14ac:dyDescent="0.25">
      <c r="A40" s="85">
        <v>21</v>
      </c>
      <c r="B40" s="153" t="s">
        <v>21</v>
      </c>
      <c r="C40" s="155">
        <f>'16.1н'!B22</f>
        <v>0.27105253128416262</v>
      </c>
      <c r="D40" s="155">
        <f>'16.2н'!B22</f>
        <v>0.5490266544822846</v>
      </c>
      <c r="E40" s="155">
        <f>'16.3н'!B22</f>
        <v>0.41628174059420603</v>
      </c>
    </row>
    <row r="41" spans="1:5" ht="15.75" x14ac:dyDescent="0.25">
      <c r="A41" s="85">
        <v>22</v>
      </c>
      <c r="B41" s="153" t="s">
        <v>22</v>
      </c>
      <c r="C41" s="155">
        <f>'16.1н'!B23</f>
        <v>0.36888678194071783</v>
      </c>
      <c r="D41" s="155">
        <f>'16.2н'!B23</f>
        <v>0.57788757624927778</v>
      </c>
      <c r="E41" s="155">
        <f>'16.3н'!B23</f>
        <v>0.47699261494897471</v>
      </c>
    </row>
    <row r="42" spans="1:5" ht="15.75" x14ac:dyDescent="0.25">
      <c r="A42" s="85">
        <v>23</v>
      </c>
      <c r="B42" s="153" t="s">
        <v>23</v>
      </c>
      <c r="C42" s="155">
        <f>'16.1н'!B24</f>
        <v>0.68437384466451667</v>
      </c>
      <c r="D42" s="155">
        <f>'16.2н'!B24</f>
        <v>0.57688242082743946</v>
      </c>
      <c r="E42" s="155">
        <f>'16.3н'!B24</f>
        <v>0.38555270635198519</v>
      </c>
    </row>
    <row r="43" spans="1:5" ht="15.75" x14ac:dyDescent="0.25">
      <c r="A43" s="85">
        <v>24</v>
      </c>
      <c r="B43" s="153" t="s">
        <v>24</v>
      </c>
      <c r="C43" s="155">
        <f>'16.1н'!B25</f>
        <v>0.7352043354783071</v>
      </c>
      <c r="D43" s="155">
        <f>'16.2н'!B25</f>
        <v>0.56762362261435517</v>
      </c>
      <c r="E43" s="155">
        <f>'16.3н'!B25</f>
        <v>0.48039987884286789</v>
      </c>
    </row>
    <row r="44" spans="1:5" ht="15.75" x14ac:dyDescent="0.25">
      <c r="A44" s="85">
        <v>25</v>
      </c>
      <c r="B44" s="153" t="s">
        <v>25</v>
      </c>
      <c r="C44" s="155">
        <f>'16.1н'!B26</f>
        <v>1.4763327588466804E-4</v>
      </c>
      <c r="D44" s="155">
        <f>'16.2н'!B26</f>
        <v>0.51218930543723784</v>
      </c>
      <c r="E44" s="155">
        <f>'16.3н'!B26</f>
        <v>0.53252054471998134</v>
      </c>
    </row>
    <row r="45" spans="1:5" ht="15.75" x14ac:dyDescent="0.25">
      <c r="A45" s="85">
        <v>26</v>
      </c>
      <c r="B45" s="153" t="s">
        <v>26</v>
      </c>
      <c r="C45" s="155">
        <f>'16.1н'!B27</f>
        <v>0.40404265306214004</v>
      </c>
      <c r="D45" s="155">
        <f>'16.2н'!B27</f>
        <v>0.59429421774074243</v>
      </c>
      <c r="E45" s="155">
        <f>'16.3н'!B27</f>
        <v>0.54336743126302911</v>
      </c>
    </row>
    <row r="46" spans="1:5" ht="15.75" x14ac:dyDescent="0.25">
      <c r="A46" s="85">
        <v>27</v>
      </c>
      <c r="B46" s="153" t="s">
        <v>27</v>
      </c>
      <c r="C46" s="155">
        <f>'16.1н'!B28</f>
        <v>0.37386415992921207</v>
      </c>
      <c r="D46" s="155">
        <f>'16.2н'!B28</f>
        <v>0.58673023000231317</v>
      </c>
      <c r="E46" s="155">
        <f>'16.3н'!B28</f>
        <v>0.50313205358200364</v>
      </c>
    </row>
    <row r="47" spans="1:5" ht="15.75" x14ac:dyDescent="0.25">
      <c r="A47" s="85">
        <v>28</v>
      </c>
      <c r="B47" s="153" t="s">
        <v>28</v>
      </c>
      <c r="C47" s="155">
        <f>'16.1н'!B29</f>
        <v>0.50051446863644122</v>
      </c>
      <c r="D47" s="155">
        <f>'16.2н'!B29</f>
        <v>0.52634260131947785</v>
      </c>
      <c r="E47" s="155">
        <f>'16.3н'!B29</f>
        <v>0.45931347703523795</v>
      </c>
    </row>
    <row r="64" spans="1:18" ht="15.75" x14ac:dyDescent="0.25">
      <c r="A64" s="84" t="s">
        <v>0</v>
      </c>
      <c r="B64" s="84"/>
      <c r="C64" s="84">
        <v>2005</v>
      </c>
      <c r="D64" s="84">
        <v>2006</v>
      </c>
      <c r="E64" s="84">
        <v>2007</v>
      </c>
      <c r="F64" s="84">
        <v>2008</v>
      </c>
      <c r="G64" s="84">
        <v>2009</v>
      </c>
      <c r="H64" s="84">
        <v>2010</v>
      </c>
      <c r="I64" s="84">
        <v>2011</v>
      </c>
      <c r="J64" s="84">
        <v>2012</v>
      </c>
      <c r="K64" s="84">
        <v>2013</v>
      </c>
      <c r="L64" s="84">
        <v>2014</v>
      </c>
      <c r="M64" s="84">
        <v>2015</v>
      </c>
      <c r="N64" s="84">
        <v>2016</v>
      </c>
      <c r="O64" s="84">
        <v>2017</v>
      </c>
      <c r="P64" s="84">
        <v>2018</v>
      </c>
      <c r="Q64" s="84">
        <v>2019</v>
      </c>
      <c r="R64" s="84">
        <v>2020</v>
      </c>
    </row>
    <row r="65" spans="1:18" ht="15.75" x14ac:dyDescent="0.25">
      <c r="A65" s="152">
        <v>19</v>
      </c>
      <c r="B65" s="84" t="s">
        <v>19</v>
      </c>
      <c r="C65" s="160" t="e">
        <f>ОИ1!C20</f>
        <v>#REF!</v>
      </c>
      <c r="D65" s="160" t="e">
        <f>ОИ1!D20</f>
        <v>#REF!</v>
      </c>
      <c r="E65" s="160">
        <f>ОИ1!E20</f>
        <v>0</v>
      </c>
      <c r="F65" s="160">
        <f>ОИ1!F20</f>
        <v>0</v>
      </c>
      <c r="G65" s="160">
        <f>ОИ1!G20</f>
        <v>0</v>
      </c>
      <c r="H65" s="160">
        <f>ОИ1!H20</f>
        <v>0</v>
      </c>
      <c r="I65" s="160">
        <f>ОИ1!I20</f>
        <v>0</v>
      </c>
      <c r="J65" s="160">
        <f>ОИ1!J20</f>
        <v>0</v>
      </c>
      <c r="K65" s="160">
        <f>ОИ1!K20</f>
        <v>0</v>
      </c>
      <c r="L65" s="160">
        <f>ОИ1!L20</f>
        <v>0</v>
      </c>
      <c r="M65" s="160">
        <f>ОИ1!M20</f>
        <v>0</v>
      </c>
      <c r="N65" s="160">
        <f>ОИ1!N20</f>
        <v>0</v>
      </c>
      <c r="O65" s="160">
        <f>ОИ1!O20</f>
        <v>0</v>
      </c>
      <c r="P65" s="160">
        <f>ОИ1!P20</f>
        <v>0</v>
      </c>
      <c r="Q65" s="160">
        <f>ОИ1!Q20</f>
        <v>0</v>
      </c>
      <c r="R65" s="160">
        <f>ОИ1!R20</f>
        <v>0.56086006748601913</v>
      </c>
    </row>
    <row r="66" spans="1:18" ht="15.75" x14ac:dyDescent="0.25">
      <c r="A66" s="84">
        <v>20</v>
      </c>
      <c r="B66" s="84" t="s">
        <v>20</v>
      </c>
      <c r="C66" s="160" t="e">
        <f>ОИ1!C21</f>
        <v>#REF!</v>
      </c>
      <c r="D66" s="160" t="e">
        <f>ОИ1!D21</f>
        <v>#REF!</v>
      </c>
      <c r="E66" s="160">
        <f>ОИ1!E21</f>
        <v>0</v>
      </c>
      <c r="F66" s="160">
        <f>ОИ1!F21</f>
        <v>0</v>
      </c>
      <c r="G66" s="160">
        <f>ОИ1!G21</f>
        <v>0</v>
      </c>
      <c r="H66" s="160">
        <f>ОИ1!H21</f>
        <v>0</v>
      </c>
      <c r="I66" s="160">
        <f>ОИ1!I21</f>
        <v>0</v>
      </c>
      <c r="J66" s="160">
        <f>ОИ1!J21</f>
        <v>0</v>
      </c>
      <c r="K66" s="160">
        <f>ОИ1!K21</f>
        <v>0</v>
      </c>
      <c r="L66" s="160">
        <f>ОИ1!L21</f>
        <v>0</v>
      </c>
      <c r="M66" s="160">
        <f>ОИ1!M21</f>
        <v>0</v>
      </c>
      <c r="N66" s="160">
        <f>ОИ1!N21</f>
        <v>0</v>
      </c>
      <c r="O66" s="160">
        <f>ОИ1!O21</f>
        <v>0</v>
      </c>
      <c r="P66" s="160">
        <f>ОИ1!P21</f>
        <v>0</v>
      </c>
      <c r="Q66" s="160">
        <f>ОИ1!Q21</f>
        <v>0</v>
      </c>
      <c r="R66" s="160">
        <f>ОИ1!R21</f>
        <v>0.65876979660603452</v>
      </c>
    </row>
    <row r="67" spans="1:18" ht="15.75" x14ac:dyDescent="0.25">
      <c r="A67" s="84">
        <v>21</v>
      </c>
      <c r="B67" s="84" t="s">
        <v>21</v>
      </c>
      <c r="C67" s="160" t="e">
        <f>ОИ1!C22</f>
        <v>#REF!</v>
      </c>
      <c r="D67" s="160" t="e">
        <f>ОИ1!D22</f>
        <v>#REF!</v>
      </c>
      <c r="E67" s="160">
        <f>ОИ1!E22</f>
        <v>0</v>
      </c>
      <c r="F67" s="160">
        <f>ОИ1!F22</f>
        <v>0</v>
      </c>
      <c r="G67" s="160">
        <f>ОИ1!G22</f>
        <v>0</v>
      </c>
      <c r="H67" s="160">
        <f>ОИ1!H22</f>
        <v>0</v>
      </c>
      <c r="I67" s="160">
        <f>ОИ1!I22</f>
        <v>0</v>
      </c>
      <c r="J67" s="160">
        <f>ОИ1!J22</f>
        <v>0</v>
      </c>
      <c r="K67" s="160">
        <f>ОИ1!K22</f>
        <v>0</v>
      </c>
      <c r="L67" s="160">
        <f>ОИ1!L22</f>
        <v>0</v>
      </c>
      <c r="M67" s="160">
        <f>ОИ1!M22</f>
        <v>0</v>
      </c>
      <c r="N67" s="160">
        <f>ОИ1!N22</f>
        <v>0</v>
      </c>
      <c r="O67" s="160">
        <f>ОИ1!O22</f>
        <v>0</v>
      </c>
      <c r="P67" s="160">
        <f>ОИ1!P22</f>
        <v>0</v>
      </c>
      <c r="Q67" s="160">
        <f>ОИ1!Q22</f>
        <v>0</v>
      </c>
      <c r="R67" s="160">
        <f>ОИ1!R22</f>
        <v>0.54505469812106</v>
      </c>
    </row>
    <row r="68" spans="1:18" ht="15.75" x14ac:dyDescent="0.25">
      <c r="A68" s="84">
        <v>22</v>
      </c>
      <c r="B68" s="84" t="s">
        <v>22</v>
      </c>
      <c r="C68" s="160" t="e">
        <f>ОИ1!C23</f>
        <v>#REF!</v>
      </c>
      <c r="D68" s="160" t="e">
        <f>ОИ1!D23</f>
        <v>#REF!</v>
      </c>
      <c r="E68" s="160">
        <f>ОИ1!E23</f>
        <v>0</v>
      </c>
      <c r="F68" s="160">
        <f>ОИ1!F23</f>
        <v>0</v>
      </c>
      <c r="G68" s="160">
        <f>ОИ1!G23</f>
        <v>0</v>
      </c>
      <c r="H68" s="160">
        <f>ОИ1!H23</f>
        <v>0</v>
      </c>
      <c r="I68" s="160">
        <f>ОИ1!I23</f>
        <v>0</v>
      </c>
      <c r="J68" s="160">
        <f>ОИ1!J23</f>
        <v>0</v>
      </c>
      <c r="K68" s="160">
        <f>ОИ1!K23</f>
        <v>0</v>
      </c>
      <c r="L68" s="160">
        <f>ОИ1!L23</f>
        <v>0</v>
      </c>
      <c r="M68" s="160">
        <f>ОИ1!M23</f>
        <v>0</v>
      </c>
      <c r="N68" s="160">
        <f>ОИ1!N23</f>
        <v>0</v>
      </c>
      <c r="O68" s="160">
        <f>ОИ1!O23</f>
        <v>0</v>
      </c>
      <c r="P68" s="160">
        <f>ОИ1!P23</f>
        <v>0</v>
      </c>
      <c r="Q68" s="160">
        <f>ОИ1!Q23</f>
        <v>0</v>
      </c>
      <c r="R68" s="160">
        <f>ОИ1!R23</f>
        <v>0.59110739897920539</v>
      </c>
    </row>
    <row r="69" spans="1:18" ht="15.75" x14ac:dyDescent="0.25">
      <c r="A69" s="84">
        <v>23</v>
      </c>
      <c r="B69" s="84" t="s">
        <v>23</v>
      </c>
      <c r="C69" s="160" t="e">
        <f>ОИ1!C24</f>
        <v>#REF!</v>
      </c>
      <c r="D69" s="160" t="e">
        <f>ОИ1!D24</f>
        <v>#REF!</v>
      </c>
      <c r="E69" s="160">
        <f>ОИ1!E24</f>
        <v>0</v>
      </c>
      <c r="F69" s="160">
        <f>ОИ1!F24</f>
        <v>0</v>
      </c>
      <c r="G69" s="160">
        <f>ОИ1!G24</f>
        <v>0</v>
      </c>
      <c r="H69" s="160">
        <f>ОИ1!H24</f>
        <v>0</v>
      </c>
      <c r="I69" s="160">
        <f>ОИ1!I24</f>
        <v>0</v>
      </c>
      <c r="J69" s="160">
        <f>ОИ1!J24</f>
        <v>0</v>
      </c>
      <c r="K69" s="160">
        <f>ОИ1!K24</f>
        <v>0</v>
      </c>
      <c r="L69" s="160">
        <f>ОИ1!L24</f>
        <v>0</v>
      </c>
      <c r="M69" s="160">
        <f>ОИ1!M24</f>
        <v>0</v>
      </c>
      <c r="N69" s="160">
        <f>ОИ1!N24</f>
        <v>0</v>
      </c>
      <c r="O69" s="160">
        <f>ОИ1!O24</f>
        <v>0</v>
      </c>
      <c r="P69" s="160">
        <f>ОИ1!P24</f>
        <v>0</v>
      </c>
      <c r="Q69" s="160">
        <f>ОИ1!Q24</f>
        <v>0</v>
      </c>
      <c r="R69" s="160">
        <f>ОИ1!R24</f>
        <v>0.67635128962769819</v>
      </c>
    </row>
    <row r="70" spans="1:18" ht="15.75" x14ac:dyDescent="0.25">
      <c r="A70" s="84">
        <v>24</v>
      </c>
      <c r="B70" s="84" t="s">
        <v>24</v>
      </c>
      <c r="C70" s="160" t="e">
        <f>ОИ1!C25</f>
        <v>#REF!</v>
      </c>
      <c r="D70" s="160" t="e">
        <f>ОИ1!D25</f>
        <v>#REF!</v>
      </c>
      <c r="E70" s="160">
        <f>ОИ1!E25</f>
        <v>0</v>
      </c>
      <c r="F70" s="160">
        <f>ОИ1!F25</f>
        <v>0</v>
      </c>
      <c r="G70" s="160">
        <f>ОИ1!G25</f>
        <v>0</v>
      </c>
      <c r="H70" s="160">
        <f>ОИ1!H25</f>
        <v>0</v>
      </c>
      <c r="I70" s="160">
        <f>ОИ1!I25</f>
        <v>0</v>
      </c>
      <c r="J70" s="160">
        <f>ОИ1!J25</f>
        <v>0</v>
      </c>
      <c r="K70" s="160">
        <f>ОИ1!K25</f>
        <v>0</v>
      </c>
      <c r="L70" s="160">
        <f>ОИ1!L25</f>
        <v>0</v>
      </c>
      <c r="M70" s="160">
        <f>ОИ1!M25</f>
        <v>0</v>
      </c>
      <c r="N70" s="160">
        <f>ОИ1!N25</f>
        <v>0</v>
      </c>
      <c r="O70" s="160">
        <f>ОИ1!O25</f>
        <v>0</v>
      </c>
      <c r="P70" s="160">
        <f>ОИ1!P25</f>
        <v>0</v>
      </c>
      <c r="Q70" s="160">
        <f>ОИ1!Q25</f>
        <v>0</v>
      </c>
      <c r="R70" s="160">
        <f>ОИ1!R25</f>
        <v>0.66507030168913361</v>
      </c>
    </row>
    <row r="71" spans="1:18" ht="15.75" x14ac:dyDescent="0.25">
      <c r="A71" s="84">
        <v>25</v>
      </c>
      <c r="B71" s="84" t="s">
        <v>25</v>
      </c>
      <c r="C71" s="160" t="e">
        <f>ОИ1!C26</f>
        <v>#REF!</v>
      </c>
      <c r="D71" s="160" t="e">
        <f>ОИ1!D26</f>
        <v>#REF!</v>
      </c>
      <c r="E71" s="160">
        <f>ОИ1!E26</f>
        <v>0</v>
      </c>
      <c r="F71" s="160">
        <f>ОИ1!F26</f>
        <v>0</v>
      </c>
      <c r="G71" s="160">
        <f>ОИ1!G26</f>
        <v>0</v>
      </c>
      <c r="H71" s="160">
        <f>ОИ1!H26</f>
        <v>0</v>
      </c>
      <c r="I71" s="160">
        <f>ОИ1!I26</f>
        <v>0</v>
      </c>
      <c r="J71" s="160">
        <f>ОИ1!J26</f>
        <v>0</v>
      </c>
      <c r="K71" s="160">
        <f>ОИ1!K26</f>
        <v>0</v>
      </c>
      <c r="L71" s="160">
        <f>ОИ1!L26</f>
        <v>0</v>
      </c>
      <c r="M71" s="160">
        <f>ОИ1!M26</f>
        <v>0</v>
      </c>
      <c r="N71" s="160">
        <f>ОИ1!N26</f>
        <v>0</v>
      </c>
      <c r="O71" s="160">
        <f>ОИ1!O26</f>
        <v>0</v>
      </c>
      <c r="P71" s="160">
        <f>ОИ1!P26</f>
        <v>0</v>
      </c>
      <c r="Q71" s="160">
        <f>ОИ1!Q26</f>
        <v>0</v>
      </c>
      <c r="R71" s="160">
        <f>ОИ1!R26</f>
        <v>0.46548285164714426</v>
      </c>
    </row>
    <row r="72" spans="1:18" ht="15.75" x14ac:dyDescent="0.25">
      <c r="A72" s="84">
        <v>26</v>
      </c>
      <c r="B72" s="84" t="s">
        <v>26</v>
      </c>
      <c r="C72" s="160" t="e">
        <f>ОИ1!C27</f>
        <v>#REF!</v>
      </c>
      <c r="D72" s="160" t="e">
        <f>ОИ1!D27</f>
        <v>#REF!</v>
      </c>
      <c r="E72" s="160">
        <f>ОИ1!E27</f>
        <v>0</v>
      </c>
      <c r="F72" s="160">
        <f>ОИ1!F27</f>
        <v>0</v>
      </c>
      <c r="G72" s="160">
        <f>ОИ1!G27</f>
        <v>0</v>
      </c>
      <c r="H72" s="160">
        <f>ОИ1!H27</f>
        <v>0</v>
      </c>
      <c r="I72" s="160">
        <f>ОИ1!I27</f>
        <v>0</v>
      </c>
      <c r="J72" s="160">
        <f>ОИ1!J27</f>
        <v>0</v>
      </c>
      <c r="K72" s="160">
        <f>ОИ1!K27</f>
        <v>0</v>
      </c>
      <c r="L72" s="160">
        <f>ОИ1!L27</f>
        <v>0</v>
      </c>
      <c r="M72" s="160">
        <f>ОИ1!M27</f>
        <v>0</v>
      </c>
      <c r="N72" s="160">
        <f>ОИ1!N27</f>
        <v>0</v>
      </c>
      <c r="O72" s="160">
        <f>ОИ1!O27</f>
        <v>0</v>
      </c>
      <c r="P72" s="160">
        <f>ОИ1!P27</f>
        <v>0</v>
      </c>
      <c r="Q72" s="160">
        <f>ОИ1!Q27</f>
        <v>0</v>
      </c>
      <c r="R72" s="160">
        <f>ОИ1!R27</f>
        <v>0.43738948573025499</v>
      </c>
    </row>
    <row r="73" spans="1:18" ht="15.75" x14ac:dyDescent="0.25">
      <c r="A73" s="84">
        <v>27</v>
      </c>
      <c r="B73" s="84" t="s">
        <v>27</v>
      </c>
      <c r="C73" s="160" t="e">
        <f>ОИ1!C28</f>
        <v>#REF!</v>
      </c>
      <c r="D73" s="160" t="e">
        <f>ОИ1!D28</f>
        <v>#REF!</v>
      </c>
      <c r="E73" s="160">
        <f>ОИ1!E28</f>
        <v>0</v>
      </c>
      <c r="F73" s="160">
        <f>ОИ1!F28</f>
        <v>0</v>
      </c>
      <c r="G73" s="160">
        <f>ОИ1!G28</f>
        <v>0</v>
      </c>
      <c r="H73" s="160">
        <f>ОИ1!H28</f>
        <v>0</v>
      </c>
      <c r="I73" s="160">
        <f>ОИ1!I28</f>
        <v>0</v>
      </c>
      <c r="J73" s="160">
        <f>ОИ1!J28</f>
        <v>0</v>
      </c>
      <c r="K73" s="160">
        <f>ОИ1!K28</f>
        <v>0</v>
      </c>
      <c r="L73" s="160">
        <f>ОИ1!L28</f>
        <v>0</v>
      </c>
      <c r="M73" s="160">
        <f>ОИ1!M28</f>
        <v>0</v>
      </c>
      <c r="N73" s="160">
        <f>ОИ1!N28</f>
        <v>0</v>
      </c>
      <c r="O73" s="160">
        <f>ОИ1!O28</f>
        <v>0</v>
      </c>
      <c r="P73" s="160">
        <f>ОИ1!P28</f>
        <v>0</v>
      </c>
      <c r="Q73" s="160">
        <f>ОИ1!Q28</f>
        <v>0</v>
      </c>
      <c r="R73" s="160">
        <f>ОИ1!R28</f>
        <v>0.46955366542848043</v>
      </c>
    </row>
    <row r="74" spans="1:18" ht="15.75" x14ac:dyDescent="0.25">
      <c r="A74" s="84">
        <v>28</v>
      </c>
      <c r="B74" s="84" t="s">
        <v>28</v>
      </c>
      <c r="C74" s="160" t="e">
        <f>ОИ1!C29</f>
        <v>#REF!</v>
      </c>
      <c r="D74" s="160" t="e">
        <f>ОИ1!D29</f>
        <v>#REF!</v>
      </c>
      <c r="E74" s="160">
        <f>ОИ1!E29</f>
        <v>0</v>
      </c>
      <c r="F74" s="160">
        <f>ОИ1!F29</f>
        <v>0</v>
      </c>
      <c r="G74" s="160">
        <f>ОИ1!G29</f>
        <v>0</v>
      </c>
      <c r="H74" s="160">
        <f>ОИ1!H29</f>
        <v>0</v>
      </c>
      <c r="I74" s="160">
        <f>ОИ1!I29</f>
        <v>0</v>
      </c>
      <c r="J74" s="160">
        <f>ОИ1!J29</f>
        <v>0</v>
      </c>
      <c r="K74" s="160">
        <f>ОИ1!K29</f>
        <v>0</v>
      </c>
      <c r="L74" s="160">
        <f>ОИ1!L29</f>
        <v>0</v>
      </c>
      <c r="M74" s="160">
        <f>ОИ1!M29</f>
        <v>0</v>
      </c>
      <c r="N74" s="160">
        <f>ОИ1!N29</f>
        <v>0</v>
      </c>
      <c r="O74" s="160">
        <f>ОИ1!O29</f>
        <v>0</v>
      </c>
      <c r="P74" s="160">
        <f>ОИ1!P29</f>
        <v>0</v>
      </c>
      <c r="Q74" s="160">
        <f>ОИ1!Q29</f>
        <v>0</v>
      </c>
      <c r="R74" s="160">
        <f>ОИ1!R29</f>
        <v>0.85497690202677867</v>
      </c>
    </row>
    <row r="76" spans="1:18" ht="33" customHeight="1" x14ac:dyDescent="0.25"/>
    <row r="77" spans="1:18" ht="37.5" customHeight="1" x14ac:dyDescent="0.25"/>
    <row r="79" spans="1:18" ht="32.25" customHeight="1" x14ac:dyDescent="0.25"/>
    <row r="82" spans="1:18" ht="47.25" customHeight="1" x14ac:dyDescent="0.25"/>
    <row r="86" spans="1:18" ht="35.25" customHeight="1" x14ac:dyDescent="0.25"/>
    <row r="91" spans="1:18" ht="15.75" x14ac:dyDescent="0.25">
      <c r="A91" s="84" t="s">
        <v>0</v>
      </c>
      <c r="B91" s="84"/>
      <c r="C91" s="84">
        <v>2005</v>
      </c>
      <c r="D91" s="84">
        <v>2006</v>
      </c>
      <c r="E91" s="84">
        <v>2007</v>
      </c>
      <c r="F91" s="84">
        <v>2008</v>
      </c>
      <c r="G91" s="84">
        <v>2009</v>
      </c>
      <c r="H91" s="84">
        <v>2010</v>
      </c>
      <c r="I91" s="84">
        <v>2011</v>
      </c>
      <c r="J91" s="84">
        <v>2012</v>
      </c>
      <c r="K91" s="84">
        <v>2013</v>
      </c>
      <c r="L91" s="84">
        <v>2014</v>
      </c>
      <c r="M91" s="84">
        <v>2015</v>
      </c>
      <c r="N91" s="84">
        <v>2016</v>
      </c>
      <c r="O91" s="84">
        <v>2017</v>
      </c>
      <c r="P91" s="84">
        <v>2018</v>
      </c>
      <c r="Q91" s="84">
        <v>2019</v>
      </c>
      <c r="R91" s="84">
        <v>2020</v>
      </c>
    </row>
    <row r="92" spans="1:18" ht="15.75" x14ac:dyDescent="0.25">
      <c r="A92" s="84">
        <v>19</v>
      </c>
      <c r="B92" s="84" t="s">
        <v>19</v>
      </c>
      <c r="C92" s="160" t="e">
        <f>ОИ2!C20</f>
        <v>#REF!</v>
      </c>
      <c r="D92" s="160" t="e">
        <f>ОИ2!D20</f>
        <v>#REF!</v>
      </c>
      <c r="E92" s="160">
        <f>ОИ2!E20</f>
        <v>0</v>
      </c>
      <c r="F92" s="160">
        <f>ОИ2!F20</f>
        <v>0</v>
      </c>
      <c r="G92" s="160">
        <f>ОИ2!G20</f>
        <v>0</v>
      </c>
      <c r="H92" s="160">
        <f>ОИ2!H20</f>
        <v>0</v>
      </c>
      <c r="I92" s="160">
        <f>ОИ2!I20</f>
        <v>0</v>
      </c>
      <c r="J92" s="160">
        <f>ОИ2!J20</f>
        <v>0</v>
      </c>
      <c r="K92" s="160">
        <f>ОИ2!K20</f>
        <v>0</v>
      </c>
      <c r="L92" s="160">
        <f>ОИ2!L20</f>
        <v>0</v>
      </c>
      <c r="M92" s="160">
        <f>ОИ2!M20</f>
        <v>0</v>
      </c>
      <c r="N92" s="160">
        <f>ОИ2!N20</f>
        <v>0</v>
      </c>
      <c r="O92" s="160">
        <f>ОИ2!O20</f>
        <v>0</v>
      </c>
      <c r="P92" s="160">
        <f>ОИ2!P20</f>
        <v>0</v>
      </c>
      <c r="Q92" s="160">
        <f>ОИ2!Q20</f>
        <v>0</v>
      </c>
      <c r="R92" s="160">
        <f>ОИ2!R20</f>
        <v>0.16271287332824155</v>
      </c>
    </row>
    <row r="93" spans="1:18" ht="15.75" x14ac:dyDescent="0.25">
      <c r="A93" s="84">
        <v>20</v>
      </c>
      <c r="B93" s="84" t="s">
        <v>20</v>
      </c>
      <c r="C93" s="160"/>
      <c r="D93" s="160" t="e">
        <f>ОИ2!D21</f>
        <v>#REF!</v>
      </c>
      <c r="E93" s="160">
        <f>ОИ2!E21</f>
        <v>0</v>
      </c>
      <c r="F93" s="160">
        <f>ОИ2!F21</f>
        <v>0</v>
      </c>
      <c r="G93" s="160">
        <f>ОИ2!G21</f>
        <v>0</v>
      </c>
      <c r="H93" s="160">
        <f>ОИ2!H21</f>
        <v>0</v>
      </c>
      <c r="I93" s="160">
        <f>ОИ2!I21</f>
        <v>0</v>
      </c>
      <c r="J93" s="160">
        <f>ОИ2!J21</f>
        <v>0</v>
      </c>
      <c r="K93" s="160">
        <f>ОИ2!K21</f>
        <v>0</v>
      </c>
      <c r="L93" s="160">
        <f>ОИ2!L21</f>
        <v>0</v>
      </c>
      <c r="M93" s="160">
        <f>ОИ2!M21</f>
        <v>0</v>
      </c>
      <c r="N93" s="160">
        <f>ОИ2!N21</f>
        <v>0</v>
      </c>
      <c r="O93" s="160">
        <f>ОИ2!O21</f>
        <v>0</v>
      </c>
      <c r="P93" s="160">
        <f>ОИ2!P21</f>
        <v>0</v>
      </c>
      <c r="Q93" s="160">
        <f>ОИ2!Q21</f>
        <v>0</v>
      </c>
      <c r="R93" s="160">
        <f>ОИ2!R21</f>
        <v>8.453986096004551E-2</v>
      </c>
    </row>
    <row r="94" spans="1:18" ht="15.75" x14ac:dyDescent="0.25">
      <c r="A94" s="84">
        <v>21</v>
      </c>
      <c r="B94" s="84" t="s">
        <v>21</v>
      </c>
      <c r="C94" s="160" t="e">
        <f>ОИ2!C22</f>
        <v>#REF!</v>
      </c>
      <c r="D94" s="160" t="e">
        <f>ОИ2!D22</f>
        <v>#REF!</v>
      </c>
      <c r="E94" s="160">
        <f>ОИ2!E22</f>
        <v>0</v>
      </c>
      <c r="F94" s="160">
        <f>ОИ2!F22</f>
        <v>0</v>
      </c>
      <c r="G94" s="160">
        <f>ОИ2!G22</f>
        <v>0</v>
      </c>
      <c r="H94" s="160">
        <f>ОИ2!H22</f>
        <v>0</v>
      </c>
      <c r="I94" s="160">
        <f>ОИ2!I22</f>
        <v>0</v>
      </c>
      <c r="J94" s="160">
        <f>ОИ2!J22</f>
        <v>0</v>
      </c>
      <c r="K94" s="160">
        <f>ОИ2!K22</f>
        <v>0</v>
      </c>
      <c r="L94" s="160">
        <f>ОИ2!L22</f>
        <v>0</v>
      </c>
      <c r="M94" s="160">
        <f>ОИ2!M22</f>
        <v>0</v>
      </c>
      <c r="N94" s="160">
        <f>ОИ2!N22</f>
        <v>0</v>
      </c>
      <c r="O94" s="160">
        <f>ОИ2!O22</f>
        <v>0</v>
      </c>
      <c r="P94" s="160">
        <f>ОИ2!P22</f>
        <v>0</v>
      </c>
      <c r="Q94" s="160">
        <f>ОИ2!Q22</f>
        <v>0</v>
      </c>
      <c r="R94" s="160">
        <f>ОИ2!R22</f>
        <v>5.6520129221873688E-2</v>
      </c>
    </row>
    <row r="95" spans="1:18" ht="15.75" x14ac:dyDescent="0.25">
      <c r="A95" s="84">
        <v>22</v>
      </c>
      <c r="B95" s="84" t="s">
        <v>22</v>
      </c>
      <c r="C95" s="160" t="e">
        <f>ОИ2!C23</f>
        <v>#REF!</v>
      </c>
      <c r="D95" s="160" t="e">
        <f>ОИ2!D23</f>
        <v>#REF!</v>
      </c>
      <c r="E95" s="160">
        <f>ОИ2!E23</f>
        <v>0</v>
      </c>
      <c r="F95" s="160">
        <f>ОИ2!F23</f>
        <v>0</v>
      </c>
      <c r="G95" s="160">
        <f>ОИ2!G23</f>
        <v>0</v>
      </c>
      <c r="H95" s="160">
        <f>ОИ2!H23</f>
        <v>0</v>
      </c>
      <c r="I95" s="160">
        <f>ОИ2!I23</f>
        <v>0</v>
      </c>
      <c r="J95" s="160">
        <f>ОИ2!J23</f>
        <v>0</v>
      </c>
      <c r="K95" s="160">
        <f>ОИ2!K23</f>
        <v>0</v>
      </c>
      <c r="L95" s="160">
        <f>ОИ2!L23</f>
        <v>0</v>
      </c>
      <c r="M95" s="160">
        <f>ОИ2!M23</f>
        <v>0</v>
      </c>
      <c r="N95" s="160">
        <f>ОИ2!N23</f>
        <v>0</v>
      </c>
      <c r="O95" s="160">
        <f>ОИ2!O23</f>
        <v>0</v>
      </c>
      <c r="P95" s="160">
        <f>ОИ2!P23</f>
        <v>0</v>
      </c>
      <c r="Q95" s="160">
        <f>ОИ2!Q23</f>
        <v>0</v>
      </c>
      <c r="R95" s="160">
        <f>ОИ2!R23</f>
        <v>0.12493808101144044</v>
      </c>
    </row>
    <row r="96" spans="1:18" ht="15.75" x14ac:dyDescent="0.25">
      <c r="A96" s="84">
        <v>23</v>
      </c>
      <c r="B96" s="84" t="s">
        <v>23</v>
      </c>
      <c r="C96" s="160" t="e">
        <f>ОИ2!C24</f>
        <v>#REF!</v>
      </c>
      <c r="D96" s="160" t="e">
        <f>ОИ2!D24</f>
        <v>#REF!</v>
      </c>
      <c r="E96" s="160">
        <f>ОИ2!E24</f>
        <v>0</v>
      </c>
      <c r="F96" s="160">
        <f>ОИ2!F24</f>
        <v>0</v>
      </c>
      <c r="G96" s="160">
        <f>ОИ2!G24</f>
        <v>0</v>
      </c>
      <c r="H96" s="160">
        <f>ОИ2!H24</f>
        <v>0</v>
      </c>
      <c r="I96" s="160">
        <f>ОИ2!I24</f>
        <v>0</v>
      </c>
      <c r="J96" s="160">
        <f>ОИ2!J24</f>
        <v>0</v>
      </c>
      <c r="K96" s="160">
        <f>ОИ2!K24</f>
        <v>0</v>
      </c>
      <c r="L96" s="160">
        <f>ОИ2!L24</f>
        <v>0</v>
      </c>
      <c r="M96" s="160">
        <f>ОИ2!M24</f>
        <v>0</v>
      </c>
      <c r="N96" s="160">
        <f>ОИ2!N24</f>
        <v>0</v>
      </c>
      <c r="O96" s="160">
        <f>ОИ2!O24</f>
        <v>0</v>
      </c>
      <c r="P96" s="160">
        <f>ОИ2!P24</f>
        <v>0</v>
      </c>
      <c r="Q96" s="160">
        <f>ОИ2!Q24</f>
        <v>0</v>
      </c>
      <c r="R96" s="160">
        <f>ОИ2!R24</f>
        <v>3.8784117660143454E-2</v>
      </c>
    </row>
    <row r="97" spans="1:18" ht="15.75" x14ac:dyDescent="0.25">
      <c r="A97" s="84">
        <v>24</v>
      </c>
      <c r="B97" s="84" t="s">
        <v>24</v>
      </c>
      <c r="C97" s="160" t="e">
        <f>ОИ2!C25</f>
        <v>#REF!</v>
      </c>
      <c r="D97" s="160" t="e">
        <f>ОИ2!D25</f>
        <v>#REF!</v>
      </c>
      <c r="E97" s="160">
        <f>ОИ2!E25</f>
        <v>0</v>
      </c>
      <c r="F97" s="160">
        <f>ОИ2!F25</f>
        <v>0</v>
      </c>
      <c r="G97" s="160">
        <f>ОИ2!G25</f>
        <v>0</v>
      </c>
      <c r="H97" s="160">
        <f>ОИ2!H25</f>
        <v>0</v>
      </c>
      <c r="I97" s="160">
        <f>ОИ2!I25</f>
        <v>0</v>
      </c>
      <c r="J97" s="160">
        <f>ОИ2!J25</f>
        <v>0</v>
      </c>
      <c r="K97" s="160">
        <f>ОИ2!K25</f>
        <v>0</v>
      </c>
      <c r="L97" s="160">
        <f>ОИ2!L25</f>
        <v>0</v>
      </c>
      <c r="M97" s="160">
        <f>ОИ2!M25</f>
        <v>0</v>
      </c>
      <c r="N97" s="160">
        <f>ОИ2!N25</f>
        <v>0</v>
      </c>
      <c r="O97" s="160">
        <f>ОИ2!O25</f>
        <v>0</v>
      </c>
      <c r="P97" s="160">
        <f>ОИ2!P25</f>
        <v>0</v>
      </c>
      <c r="Q97" s="160">
        <f>ОИ2!Q25</f>
        <v>0</v>
      </c>
      <c r="R97" s="160">
        <f>ОИ2!R25</f>
        <v>0.15878838128160108</v>
      </c>
    </row>
    <row r="98" spans="1:18" ht="15.75" x14ac:dyDescent="0.25">
      <c r="A98" s="84">
        <v>25</v>
      </c>
      <c r="B98" s="84" t="s">
        <v>25</v>
      </c>
      <c r="C98" s="160" t="e">
        <f>ОИ2!C26</f>
        <v>#REF!</v>
      </c>
      <c r="D98" s="160" t="e">
        <f>ОИ2!D26</f>
        <v>#REF!</v>
      </c>
      <c r="E98" s="160">
        <f>ОИ2!E26</f>
        <v>0</v>
      </c>
      <c r="F98" s="160">
        <f>ОИ2!F26</f>
        <v>0</v>
      </c>
      <c r="G98" s="160">
        <f>ОИ2!G26</f>
        <v>0</v>
      </c>
      <c r="H98" s="160">
        <f>ОИ2!H26</f>
        <v>0</v>
      </c>
      <c r="I98" s="160">
        <f>ОИ2!I26</f>
        <v>0</v>
      </c>
      <c r="J98" s="160">
        <f>ОИ2!J26</f>
        <v>0</v>
      </c>
      <c r="K98" s="160">
        <f>ОИ2!K26</f>
        <v>0</v>
      </c>
      <c r="L98" s="160">
        <f>ОИ2!L26</f>
        <v>0</v>
      </c>
      <c r="M98" s="160">
        <f>ОИ2!M26</f>
        <v>0</v>
      </c>
      <c r="N98" s="160">
        <f>ОИ2!N26</f>
        <v>0</v>
      </c>
      <c r="O98" s="160">
        <f>ОИ2!O26</f>
        <v>0</v>
      </c>
      <c r="P98" s="160">
        <f>ОИ2!P26</f>
        <v>0</v>
      </c>
      <c r="Q98" s="160">
        <f>ОИ2!Q26</f>
        <v>0</v>
      </c>
      <c r="R98" s="160">
        <f>ОИ2!R26</f>
        <v>0.15967087497048274</v>
      </c>
    </row>
    <row r="99" spans="1:18" ht="15.75" x14ac:dyDescent="0.25">
      <c r="A99" s="84">
        <v>26</v>
      </c>
      <c r="B99" s="84" t="s">
        <v>26</v>
      </c>
      <c r="C99" s="160" t="e">
        <f>ОИ2!C27</f>
        <v>#REF!</v>
      </c>
      <c r="D99" s="160" t="e">
        <f>ОИ2!D27</f>
        <v>#REF!</v>
      </c>
      <c r="E99" s="160">
        <f>ОИ2!E27</f>
        <v>0</v>
      </c>
      <c r="F99" s="160">
        <f>ОИ2!F27</f>
        <v>0</v>
      </c>
      <c r="G99" s="160">
        <f>ОИ2!G27</f>
        <v>0</v>
      </c>
      <c r="H99" s="160">
        <f>ОИ2!H27</f>
        <v>0</v>
      </c>
      <c r="I99" s="160">
        <f>ОИ2!I27</f>
        <v>0</v>
      </c>
      <c r="J99" s="160">
        <f>ОИ2!J27</f>
        <v>0</v>
      </c>
      <c r="K99" s="160">
        <f>ОИ2!K27</f>
        <v>0</v>
      </c>
      <c r="L99" s="160">
        <f>ОИ2!L27</f>
        <v>0</v>
      </c>
      <c r="M99" s="160">
        <f>ОИ2!M27</f>
        <v>0</v>
      </c>
      <c r="N99" s="160">
        <f>ОИ2!N27</f>
        <v>0</v>
      </c>
      <c r="O99" s="160">
        <f>ОИ2!O27</f>
        <v>0</v>
      </c>
      <c r="P99" s="160">
        <f>ОИ2!P27</f>
        <v>0</v>
      </c>
      <c r="Q99" s="160">
        <f>ОИ2!Q27</f>
        <v>0</v>
      </c>
      <c r="R99" s="160">
        <f>ОИ2!R27</f>
        <v>0.15725681935043545</v>
      </c>
    </row>
    <row r="100" spans="1:18" ht="15.75" x14ac:dyDescent="0.25">
      <c r="A100" s="84">
        <v>27</v>
      </c>
      <c r="B100" s="84" t="s">
        <v>27</v>
      </c>
      <c r="C100" s="160" t="e">
        <f>ОИ2!C28</f>
        <v>#REF!</v>
      </c>
      <c r="D100" s="160" t="e">
        <f>ОИ2!D28</f>
        <v>#REF!</v>
      </c>
      <c r="E100" s="160">
        <f>ОИ2!E28</f>
        <v>0</v>
      </c>
      <c r="F100" s="160">
        <f>ОИ2!F28</f>
        <v>0</v>
      </c>
      <c r="G100" s="160">
        <f>ОИ2!G28</f>
        <v>0</v>
      </c>
      <c r="H100" s="160">
        <f>ОИ2!H28</f>
        <v>0</v>
      </c>
      <c r="I100" s="160">
        <f>ОИ2!I28</f>
        <v>0</v>
      </c>
      <c r="J100" s="160">
        <f>ОИ2!J28</f>
        <v>0</v>
      </c>
      <c r="K100" s="160">
        <f>ОИ2!K28</f>
        <v>0</v>
      </c>
      <c r="L100" s="160">
        <f>ОИ2!L28</f>
        <v>0</v>
      </c>
      <c r="M100" s="160">
        <f>ОИ2!M28</f>
        <v>0</v>
      </c>
      <c r="N100" s="160">
        <f>ОИ2!N28</f>
        <v>0</v>
      </c>
      <c r="O100" s="160">
        <f>ОИ2!O28</f>
        <v>0</v>
      </c>
      <c r="P100" s="160">
        <f>ОИ2!P28</f>
        <v>0</v>
      </c>
      <c r="Q100" s="160">
        <f>ОИ2!Q28</f>
        <v>0</v>
      </c>
      <c r="R100" s="160">
        <f>ОИ2!R28</f>
        <v>9.6862376277115969E-2</v>
      </c>
    </row>
    <row r="101" spans="1:18" ht="15.75" x14ac:dyDescent="0.25">
      <c r="A101" s="84">
        <v>28</v>
      </c>
      <c r="B101" s="84" t="s">
        <v>28</v>
      </c>
      <c r="C101" s="160" t="e">
        <f>ОИ2!C29</f>
        <v>#REF!</v>
      </c>
      <c r="D101" s="160" t="e">
        <f>ОИ2!D29</f>
        <v>#REF!</v>
      </c>
      <c r="E101" s="160">
        <f>ОИ2!E29</f>
        <v>0</v>
      </c>
      <c r="F101" s="160">
        <f>ОИ2!F29</f>
        <v>0</v>
      </c>
      <c r="G101" s="160">
        <f>ОИ2!G29</f>
        <v>0</v>
      </c>
      <c r="H101" s="160">
        <f>ОИ2!H29</f>
        <v>0</v>
      </c>
      <c r="I101" s="160">
        <f>ОИ2!I29</f>
        <v>0</v>
      </c>
      <c r="J101" s="160">
        <f>ОИ2!J29</f>
        <v>0</v>
      </c>
      <c r="K101" s="160">
        <f>ОИ2!K29</f>
        <v>0</v>
      </c>
      <c r="L101" s="160">
        <f>ОИ2!L29</f>
        <v>0</v>
      </c>
      <c r="M101" s="160">
        <f>ОИ2!M29</f>
        <v>0</v>
      </c>
      <c r="N101" s="160">
        <f>ОИ2!N29</f>
        <v>0</v>
      </c>
      <c r="O101" s="160">
        <f>ОИ2!O29</f>
        <v>0</v>
      </c>
      <c r="P101" s="160">
        <f>ОИ2!P29</f>
        <v>0</v>
      </c>
      <c r="Q101" s="160">
        <f>ОИ2!Q29</f>
        <v>0</v>
      </c>
      <c r="R101" s="160">
        <f>ОИ2!R29</f>
        <v>0.38314196275818557</v>
      </c>
    </row>
    <row r="106" spans="1:18" ht="25.5" customHeight="1" x14ac:dyDescent="0.25"/>
    <row r="107" spans="1:18" ht="35.25" customHeight="1" x14ac:dyDescent="0.25"/>
    <row r="108" spans="1:18" ht="36.75" customHeight="1" x14ac:dyDescent="0.25"/>
    <row r="111" spans="1:18" ht="49.5" customHeight="1" x14ac:dyDescent="0.25"/>
    <row r="112" spans="1:18" ht="38.25" customHeight="1" x14ac:dyDescent="0.25"/>
    <row r="113" spans="1:18" ht="20.25" customHeight="1" x14ac:dyDescent="0.25"/>
    <row r="114" spans="1:18" ht="25.5" customHeight="1" x14ac:dyDescent="0.25"/>
    <row r="115" spans="1:18" ht="39.75" customHeight="1" x14ac:dyDescent="0.25"/>
    <row r="117" spans="1:18" ht="15.75" x14ac:dyDescent="0.25">
      <c r="A117" s="84" t="s">
        <v>0</v>
      </c>
      <c r="B117" s="84"/>
      <c r="C117" s="84">
        <v>2005</v>
      </c>
      <c r="D117" s="84">
        <v>2006</v>
      </c>
      <c r="E117" s="84">
        <v>2007</v>
      </c>
      <c r="F117" s="84">
        <v>2008</v>
      </c>
      <c r="G117" s="84">
        <v>2009</v>
      </c>
      <c r="H117" s="84">
        <v>2010</v>
      </c>
      <c r="I117" s="84">
        <v>2011</v>
      </c>
      <c r="J117" s="84">
        <v>2012</v>
      </c>
      <c r="K117" s="84">
        <v>2013</v>
      </c>
      <c r="L117" s="84">
        <v>2014</v>
      </c>
      <c r="M117" s="84">
        <v>2015</v>
      </c>
      <c r="N117" s="84">
        <v>2016</v>
      </c>
      <c r="O117" s="84">
        <v>2017</v>
      </c>
      <c r="P117" s="84">
        <v>2018</v>
      </c>
      <c r="Q117" s="84">
        <v>2019</v>
      </c>
      <c r="R117" s="84">
        <v>2020</v>
      </c>
    </row>
    <row r="118" spans="1:18" ht="15.75" x14ac:dyDescent="0.25">
      <c r="A118" s="84">
        <v>19</v>
      </c>
      <c r="B118" s="84" t="s">
        <v>19</v>
      </c>
      <c r="C118" s="160" t="e">
        <f>ОИ3!C20</f>
        <v>#REF!</v>
      </c>
      <c r="D118" s="160" t="e">
        <f>ОИ3!D20</f>
        <v>#REF!</v>
      </c>
      <c r="E118" s="160">
        <f>ОИ3!E20</f>
        <v>0</v>
      </c>
      <c r="F118" s="160">
        <f>ОИ3!F20</f>
        <v>0</v>
      </c>
      <c r="G118" s="160">
        <f>ОИ3!G20</f>
        <v>0</v>
      </c>
      <c r="H118" s="160">
        <f>ОИ3!H20</f>
        <v>0</v>
      </c>
      <c r="I118" s="160">
        <f>ОИ3!I20</f>
        <v>0</v>
      </c>
      <c r="J118" s="160">
        <f>ОИ3!J20</f>
        <v>0</v>
      </c>
      <c r="K118" s="160">
        <f>ОИ3!K20</f>
        <v>0</v>
      </c>
      <c r="L118" s="160">
        <f>ОИ3!L20</f>
        <v>0</v>
      </c>
      <c r="M118" s="160">
        <f>ОИ3!M20</f>
        <v>0</v>
      </c>
      <c r="N118" s="160">
        <f>ОИ3!N20</f>
        <v>0</v>
      </c>
      <c r="O118" s="160">
        <f>ОИ3!O20</f>
        <v>0</v>
      </c>
      <c r="P118" s="160">
        <f>ОИ3!P20</f>
        <v>0</v>
      </c>
      <c r="Q118" s="160">
        <f>ОИ3!Q20</f>
        <v>0</v>
      </c>
      <c r="R118" s="160">
        <f>ОИ3!R20</f>
        <v>0.46507012291605898</v>
      </c>
    </row>
    <row r="119" spans="1:18" ht="15.75" x14ac:dyDescent="0.25">
      <c r="A119" s="84">
        <v>20</v>
      </c>
      <c r="B119" s="84" t="s">
        <v>20</v>
      </c>
      <c r="C119" s="160" t="e">
        <f>ОИ3!C21</f>
        <v>#REF!</v>
      </c>
      <c r="D119" s="160" t="e">
        <f>ОИ3!D21</f>
        <v>#REF!</v>
      </c>
      <c r="E119" s="160">
        <f>ОИ3!E21</f>
        <v>0</v>
      </c>
      <c r="F119" s="160">
        <f>ОИ3!F21</f>
        <v>0</v>
      </c>
      <c r="G119" s="160">
        <f>ОИ3!G21</f>
        <v>0</v>
      </c>
      <c r="H119" s="160">
        <f>ОИ3!H21</f>
        <v>0</v>
      </c>
      <c r="I119" s="160">
        <f>ОИ3!I21</f>
        <v>0</v>
      </c>
      <c r="J119" s="160">
        <f>ОИ3!J21</f>
        <v>0</v>
      </c>
      <c r="K119" s="160">
        <f>ОИ3!K21</f>
        <v>0</v>
      </c>
      <c r="L119" s="160">
        <f>ОИ3!L21</f>
        <v>0</v>
      </c>
      <c r="M119" s="160">
        <f>ОИ3!M21</f>
        <v>0</v>
      </c>
      <c r="N119" s="160">
        <f>ОИ3!N21</f>
        <v>0</v>
      </c>
      <c r="O119" s="160">
        <f>ОИ3!O21</f>
        <v>0</v>
      </c>
      <c r="P119" s="160">
        <f>ОИ3!P21</f>
        <v>0</v>
      </c>
      <c r="Q119" s="160">
        <f>ОИ3!Q21</f>
        <v>0</v>
      </c>
      <c r="R119" s="160">
        <f>ОИ3!R21</f>
        <v>0.47335133865517903</v>
      </c>
    </row>
    <row r="120" spans="1:18" ht="15.75" x14ac:dyDescent="0.25">
      <c r="A120" s="84">
        <v>21</v>
      </c>
      <c r="B120" s="84" t="s">
        <v>21</v>
      </c>
      <c r="C120" s="160" t="e">
        <f>ОИ3!C22</f>
        <v>#REF!</v>
      </c>
      <c r="D120" s="160" t="e">
        <f>ОИ3!D22</f>
        <v>#REF!</v>
      </c>
      <c r="E120" s="160">
        <f>ОИ3!E22</f>
        <v>0</v>
      </c>
      <c r="F120" s="160">
        <f>ОИ3!F22</f>
        <v>0</v>
      </c>
      <c r="G120" s="160">
        <f>ОИ3!G22</f>
        <v>0</v>
      </c>
      <c r="H120" s="160">
        <f>ОИ3!H22</f>
        <v>0</v>
      </c>
      <c r="I120" s="160">
        <f>ОИ3!I22</f>
        <v>0</v>
      </c>
      <c r="J120" s="160">
        <f>ОИ3!J22</f>
        <v>0</v>
      </c>
      <c r="K120" s="160">
        <f>ОИ3!K22</f>
        <v>0</v>
      </c>
      <c r="L120" s="160">
        <f>ОИ3!L22</f>
        <v>0</v>
      </c>
      <c r="M120" s="160">
        <f>ОИ3!M22</f>
        <v>0</v>
      </c>
      <c r="N120" s="160">
        <f>ОИ3!N22</f>
        <v>0</v>
      </c>
      <c r="O120" s="160">
        <f>ОИ3!O22</f>
        <v>0</v>
      </c>
      <c r="P120" s="160">
        <f>ОИ3!P22</f>
        <v>0</v>
      </c>
      <c r="Q120" s="160">
        <f>ОИ3!Q22</f>
        <v>0</v>
      </c>
      <c r="R120" s="160">
        <f>ОИ3!R22</f>
        <v>0.50185042930998225</v>
      </c>
    </row>
    <row r="121" spans="1:18" ht="15.75" x14ac:dyDescent="0.25">
      <c r="A121" s="84">
        <v>22</v>
      </c>
      <c r="B121" s="84" t="s">
        <v>22</v>
      </c>
      <c r="C121" s="160" t="e">
        <f>ОИ3!C23</f>
        <v>#REF!</v>
      </c>
      <c r="D121" s="160" t="e">
        <f>ОИ3!D23</f>
        <v>#REF!</v>
      </c>
      <c r="E121" s="160">
        <f>ОИ3!E23</f>
        <v>0</v>
      </c>
      <c r="F121" s="160">
        <f>ОИ3!F23</f>
        <v>0</v>
      </c>
      <c r="G121" s="160">
        <f>ОИ3!G23</f>
        <v>0</v>
      </c>
      <c r="H121" s="160">
        <f>ОИ3!H23</f>
        <v>0</v>
      </c>
      <c r="I121" s="160">
        <f>ОИ3!I23</f>
        <v>0</v>
      </c>
      <c r="J121" s="160">
        <f>ОИ3!J23</f>
        <v>0</v>
      </c>
      <c r="K121" s="160">
        <f>ОИ3!K23</f>
        <v>0</v>
      </c>
      <c r="L121" s="160">
        <f>ОИ3!L23</f>
        <v>0</v>
      </c>
      <c r="M121" s="160">
        <f>ОИ3!M23</f>
        <v>0</v>
      </c>
      <c r="N121" s="160">
        <f>ОИ3!N23</f>
        <v>0</v>
      </c>
      <c r="O121" s="160">
        <f>ОИ3!O23</f>
        <v>0</v>
      </c>
      <c r="P121" s="160">
        <f>ОИ3!P23</f>
        <v>0</v>
      </c>
      <c r="Q121" s="160">
        <f>ОИ3!Q23</f>
        <v>0</v>
      </c>
      <c r="R121" s="160">
        <f>ОИ3!R23</f>
        <v>0.38693900492773775</v>
      </c>
    </row>
    <row r="122" spans="1:18" ht="15.75" x14ac:dyDescent="0.25">
      <c r="A122" s="84">
        <v>23</v>
      </c>
      <c r="B122" s="84" t="s">
        <v>23</v>
      </c>
      <c r="C122" s="160" t="e">
        <f>ОИ3!C24</f>
        <v>#REF!</v>
      </c>
      <c r="D122" s="160" t="e">
        <f>ОИ3!D24</f>
        <v>#REF!</v>
      </c>
      <c r="E122" s="160">
        <f>ОИ3!E24</f>
        <v>0</v>
      </c>
      <c r="F122" s="160">
        <f>ОИ3!F24</f>
        <v>0</v>
      </c>
      <c r="G122" s="160">
        <f>ОИ3!G24</f>
        <v>0</v>
      </c>
      <c r="H122" s="160">
        <f>ОИ3!H24</f>
        <v>0</v>
      </c>
      <c r="I122" s="160">
        <f>ОИ3!I24</f>
        <v>0</v>
      </c>
      <c r="J122" s="160">
        <f>ОИ3!J24</f>
        <v>0</v>
      </c>
      <c r="K122" s="160">
        <f>ОИ3!K24</f>
        <v>0</v>
      </c>
      <c r="L122" s="160">
        <f>ОИ3!L24</f>
        <v>0</v>
      </c>
      <c r="M122" s="160">
        <f>ОИ3!M24</f>
        <v>0</v>
      </c>
      <c r="N122" s="160">
        <f>ОИ3!N24</f>
        <v>0</v>
      </c>
      <c r="O122" s="160">
        <f>ОИ3!O24</f>
        <v>0</v>
      </c>
      <c r="P122" s="160">
        <f>ОИ3!P24</f>
        <v>0</v>
      </c>
      <c r="Q122" s="160">
        <f>ОИ3!Q24</f>
        <v>0</v>
      </c>
      <c r="R122" s="160">
        <f>ОИ3!R24</f>
        <v>0.45181194034451994</v>
      </c>
    </row>
    <row r="123" spans="1:18" ht="15.75" x14ac:dyDescent="0.25">
      <c r="A123" s="84">
        <v>24</v>
      </c>
      <c r="B123" s="84" t="s">
        <v>24</v>
      </c>
      <c r="C123" s="160" t="e">
        <f>ОИ3!C25</f>
        <v>#REF!</v>
      </c>
      <c r="D123" s="160" t="e">
        <f>ОИ3!D25</f>
        <v>#REF!</v>
      </c>
      <c r="E123" s="160">
        <f>ОИ3!E25</f>
        <v>0</v>
      </c>
      <c r="F123" s="160">
        <f>ОИ3!F25</f>
        <v>0</v>
      </c>
      <c r="G123" s="160">
        <f>ОИ3!G25</f>
        <v>0</v>
      </c>
      <c r="H123" s="160">
        <f>ОИ3!H25</f>
        <v>0</v>
      </c>
      <c r="I123" s="160">
        <f>ОИ3!I25</f>
        <v>0</v>
      </c>
      <c r="J123" s="160">
        <f>ОИ3!J25</f>
        <v>0</v>
      </c>
      <c r="K123" s="160">
        <f>ОИ3!K25</f>
        <v>0</v>
      </c>
      <c r="L123" s="160">
        <f>ОИ3!L25</f>
        <v>0</v>
      </c>
      <c r="M123" s="160">
        <f>ОИ3!M25</f>
        <v>0</v>
      </c>
      <c r="N123" s="160">
        <f>ОИ3!N25</f>
        <v>0</v>
      </c>
      <c r="O123" s="160">
        <f>ОИ3!O25</f>
        <v>0</v>
      </c>
      <c r="P123" s="160">
        <f>ОИ3!P25</f>
        <v>0</v>
      </c>
      <c r="Q123" s="160">
        <f>ОИ3!Q25</f>
        <v>0</v>
      </c>
      <c r="R123" s="160">
        <f>ОИ3!R25</f>
        <v>0.41424502324146389</v>
      </c>
    </row>
    <row r="124" spans="1:18" ht="15.75" x14ac:dyDescent="0.25">
      <c r="A124" s="84">
        <v>25</v>
      </c>
      <c r="B124" s="84" t="s">
        <v>25</v>
      </c>
      <c r="C124" s="160" t="e">
        <f>ОИ3!C26</f>
        <v>#REF!</v>
      </c>
      <c r="D124" s="160" t="e">
        <f>ОИ3!D26</f>
        <v>#REF!</v>
      </c>
      <c r="E124" s="160">
        <f>ОИ3!E26</f>
        <v>0</v>
      </c>
      <c r="F124" s="160">
        <f>ОИ3!F26</f>
        <v>0</v>
      </c>
      <c r="G124" s="160">
        <f>ОИ3!G26</f>
        <v>0</v>
      </c>
      <c r="H124" s="160">
        <f>ОИ3!H26</f>
        <v>0</v>
      </c>
      <c r="I124" s="160">
        <f>ОИ3!I26</f>
        <v>0</v>
      </c>
      <c r="J124" s="160">
        <f>ОИ3!J26</f>
        <v>0</v>
      </c>
      <c r="K124" s="160">
        <f>ОИ3!K26</f>
        <v>0</v>
      </c>
      <c r="L124" s="160">
        <f>ОИ3!L26</f>
        <v>0</v>
      </c>
      <c r="M124" s="160">
        <f>ОИ3!M26</f>
        <v>0</v>
      </c>
      <c r="N124" s="160">
        <f>ОИ3!N26</f>
        <v>0</v>
      </c>
      <c r="O124" s="160">
        <f>ОИ3!O26</f>
        <v>0</v>
      </c>
      <c r="P124" s="160">
        <f>ОИ3!P26</f>
        <v>0</v>
      </c>
      <c r="Q124" s="160">
        <f>ОИ3!Q26</f>
        <v>0</v>
      </c>
      <c r="R124" s="160">
        <f>ОИ3!R26</f>
        <v>0.5710606449035126</v>
      </c>
    </row>
    <row r="125" spans="1:18" ht="15.75" x14ac:dyDescent="0.25">
      <c r="A125" s="84">
        <v>26</v>
      </c>
      <c r="B125" s="84" t="s">
        <v>26</v>
      </c>
      <c r="C125" s="160" t="e">
        <f>ОИ3!C27</f>
        <v>#REF!</v>
      </c>
      <c r="D125" s="160" t="e">
        <f>ОИ3!D27</f>
        <v>#REF!</v>
      </c>
      <c r="E125" s="160">
        <f>ОИ3!E27</f>
        <v>0</v>
      </c>
      <c r="F125" s="160">
        <f>ОИ3!F27</f>
        <v>0</v>
      </c>
      <c r="G125" s="160">
        <f>ОИ3!G27</f>
        <v>0</v>
      </c>
      <c r="H125" s="160">
        <f>ОИ3!H27</f>
        <v>0</v>
      </c>
      <c r="I125" s="160">
        <f>ОИ3!I27</f>
        <v>0</v>
      </c>
      <c r="J125" s="160">
        <f>ОИ3!J27</f>
        <v>0</v>
      </c>
      <c r="K125" s="160">
        <f>ОИ3!K27</f>
        <v>0</v>
      </c>
      <c r="L125" s="160">
        <f>ОИ3!L27</f>
        <v>0</v>
      </c>
      <c r="M125" s="160">
        <f>ОИ3!M27</f>
        <v>0</v>
      </c>
      <c r="N125" s="160">
        <f>ОИ3!N27</f>
        <v>0</v>
      </c>
      <c r="O125" s="160">
        <f>ОИ3!O27</f>
        <v>0</v>
      </c>
      <c r="P125" s="160">
        <f>ОИ3!P27</f>
        <v>0</v>
      </c>
      <c r="Q125" s="160">
        <f>ОИ3!Q27</f>
        <v>0</v>
      </c>
      <c r="R125" s="160">
        <f>ОИ3!R27</f>
        <v>0.4098130575263535</v>
      </c>
    </row>
    <row r="126" spans="1:18" ht="15.75" x14ac:dyDescent="0.25">
      <c r="A126" s="84">
        <v>27</v>
      </c>
      <c r="B126" s="84" t="s">
        <v>27</v>
      </c>
      <c r="C126" s="160" t="e">
        <f>ОИ3!C28</f>
        <v>#REF!</v>
      </c>
      <c r="D126" s="160" t="e">
        <f>ОИ3!D28</f>
        <v>#REF!</v>
      </c>
      <c r="E126" s="160">
        <f>ОИ3!E28</f>
        <v>0</v>
      </c>
      <c r="F126" s="160">
        <f>ОИ3!F28</f>
        <v>0</v>
      </c>
      <c r="G126" s="160">
        <f>ОИ3!G28</f>
        <v>0</v>
      </c>
      <c r="H126" s="160">
        <f>ОИ3!H28</f>
        <v>0</v>
      </c>
      <c r="I126" s="160">
        <f>ОИ3!I28</f>
        <v>0</v>
      </c>
      <c r="J126" s="160">
        <f>ОИ3!J28</f>
        <v>0</v>
      </c>
      <c r="K126" s="160">
        <f>ОИ3!K28</f>
        <v>0</v>
      </c>
      <c r="L126" s="160">
        <f>ОИ3!L28</f>
        <v>0</v>
      </c>
      <c r="M126" s="160">
        <f>ОИ3!M28</f>
        <v>0</v>
      </c>
      <c r="N126" s="160">
        <f>ОИ3!N28</f>
        <v>0</v>
      </c>
      <c r="O126" s="160">
        <f>ОИ3!O28</f>
        <v>0</v>
      </c>
      <c r="P126" s="160">
        <f>ОИ3!P28</f>
        <v>0</v>
      </c>
      <c r="Q126" s="160">
        <f>ОИ3!Q28</f>
        <v>0</v>
      </c>
      <c r="R126" s="160">
        <f>ОИ3!R28</f>
        <v>0.40801323755803381</v>
      </c>
    </row>
    <row r="127" spans="1:18" ht="15.75" x14ac:dyDescent="0.25">
      <c r="A127" s="84">
        <v>28</v>
      </c>
      <c r="B127" s="84" t="s">
        <v>28</v>
      </c>
      <c r="C127" s="160" t="e">
        <f>ОИ3!C29</f>
        <v>#REF!</v>
      </c>
      <c r="D127" s="160" t="e">
        <f>ОИ3!D29</f>
        <v>#REF!</v>
      </c>
      <c r="E127" s="160">
        <f>ОИ3!E29</f>
        <v>0</v>
      </c>
      <c r="F127" s="160">
        <f>ОИ3!F29</f>
        <v>0</v>
      </c>
      <c r="G127" s="160">
        <f>ОИ3!G29</f>
        <v>0</v>
      </c>
      <c r="H127" s="160">
        <f>ОИ3!H29</f>
        <v>0</v>
      </c>
      <c r="I127" s="160">
        <f>ОИ3!I29</f>
        <v>0</v>
      </c>
      <c r="J127" s="160">
        <f>ОИ3!J29</f>
        <v>0</v>
      </c>
      <c r="K127" s="160">
        <f>ОИ3!K29</f>
        <v>0</v>
      </c>
      <c r="L127" s="160">
        <f>ОИ3!L29</f>
        <v>0</v>
      </c>
      <c r="M127" s="160">
        <f>ОИ3!M29</f>
        <v>0</v>
      </c>
      <c r="N127" s="160">
        <f>ОИ3!N29</f>
        <v>0</v>
      </c>
      <c r="O127" s="160">
        <f>ОИ3!O29</f>
        <v>0</v>
      </c>
      <c r="P127" s="160">
        <f>ОИ3!P29</f>
        <v>0</v>
      </c>
      <c r="Q127" s="160">
        <f>ОИ3!Q29</f>
        <v>0</v>
      </c>
      <c r="R127" s="160">
        <f>ОИ3!R29</f>
        <v>0.56746669654713411</v>
      </c>
    </row>
    <row r="130" spans="1:18" ht="34.5" customHeight="1" x14ac:dyDescent="0.25"/>
    <row r="131" spans="1:18" ht="34.5" customHeight="1" x14ac:dyDescent="0.25"/>
    <row r="132" spans="1:18" ht="44.25" customHeight="1" x14ac:dyDescent="0.25"/>
    <row r="133" spans="1:18" ht="45" customHeight="1" x14ac:dyDescent="0.25"/>
    <row r="134" spans="1:18" ht="24.75" customHeight="1" x14ac:dyDescent="0.25"/>
    <row r="135" spans="1:18" ht="25.5" customHeight="1" x14ac:dyDescent="0.25"/>
    <row r="144" spans="1:18" ht="15.75" x14ac:dyDescent="0.25">
      <c r="A144" s="84" t="s">
        <v>0</v>
      </c>
      <c r="B144" s="84"/>
      <c r="C144" s="84">
        <v>2005</v>
      </c>
      <c r="D144" s="84">
        <v>2006</v>
      </c>
      <c r="E144" s="84">
        <v>2007</v>
      </c>
      <c r="F144" s="84">
        <v>2008</v>
      </c>
      <c r="G144" s="84">
        <v>2009</v>
      </c>
      <c r="H144" s="84">
        <v>2010</v>
      </c>
      <c r="I144" s="84">
        <v>2011</v>
      </c>
      <c r="J144" s="84">
        <v>2012</v>
      </c>
      <c r="K144" s="84">
        <v>2013</v>
      </c>
      <c r="L144" s="84">
        <v>2014</v>
      </c>
      <c r="M144" s="84">
        <v>2015</v>
      </c>
      <c r="N144" s="84">
        <v>2016</v>
      </c>
      <c r="O144" s="84">
        <v>2017</v>
      </c>
      <c r="P144" s="84">
        <v>2018</v>
      </c>
      <c r="Q144" s="84">
        <v>2019</v>
      </c>
      <c r="R144" s="84">
        <v>2020</v>
      </c>
    </row>
    <row r="145" spans="1:18" ht="15.75" x14ac:dyDescent="0.25">
      <c r="A145" s="84">
        <v>19</v>
      </c>
      <c r="B145" s="84" t="s">
        <v>19</v>
      </c>
      <c r="C145" s="160" t="e">
        <f>ОИ4!C20</f>
        <v>#REF!</v>
      </c>
      <c r="D145" s="160" t="e">
        <f>ОИ4!D20</f>
        <v>#REF!</v>
      </c>
      <c r="E145" s="160">
        <f>ОИ4!E20</f>
        <v>0</v>
      </c>
      <c r="F145" s="160">
        <f>ОИ4!F20</f>
        <v>0</v>
      </c>
      <c r="G145" s="160">
        <f>ОИ4!G20</f>
        <v>0</v>
      </c>
      <c r="H145" s="160">
        <f>ОИ4!H20</f>
        <v>0</v>
      </c>
      <c r="I145" s="160">
        <f>ОИ4!I20</f>
        <v>0</v>
      </c>
      <c r="J145" s="160">
        <f>ОИ4!J20</f>
        <v>0</v>
      </c>
      <c r="K145" s="160">
        <f>ОИ4!K20</f>
        <v>0</v>
      </c>
      <c r="L145" s="160">
        <f>ОИ4!L20</f>
        <v>0</v>
      </c>
      <c r="M145" s="160">
        <f>ОИ4!M20</f>
        <v>0</v>
      </c>
      <c r="N145" s="160">
        <f>ОИ4!N20</f>
        <v>0</v>
      </c>
      <c r="O145" s="160">
        <f>ОИ4!O20</f>
        <v>0</v>
      </c>
      <c r="P145" s="160">
        <f>ОИ4!P20</f>
        <v>0</v>
      </c>
      <c r="Q145" s="160">
        <f>ОИ4!Q20</f>
        <v>0</v>
      </c>
      <c r="R145" s="160">
        <f>ОИ4!R20</f>
        <v>0.47625206019506178</v>
      </c>
    </row>
    <row r="146" spans="1:18" ht="15.75" x14ac:dyDescent="0.25">
      <c r="A146" s="84">
        <v>20</v>
      </c>
      <c r="B146" s="84" t="s">
        <v>20</v>
      </c>
      <c r="C146" s="160" t="e">
        <f>ОИ4!C21</f>
        <v>#REF!</v>
      </c>
      <c r="D146" s="160" t="e">
        <f>ОИ4!D21</f>
        <v>#REF!</v>
      </c>
      <c r="E146" s="160">
        <f>ОИ4!E21</f>
        <v>0</v>
      </c>
      <c r="F146" s="160">
        <f>ОИ4!F21</f>
        <v>0</v>
      </c>
      <c r="G146" s="160">
        <f>ОИ4!G21</f>
        <v>0</v>
      </c>
      <c r="H146" s="160">
        <f>ОИ4!H21</f>
        <v>0</v>
      </c>
      <c r="I146" s="160">
        <f>ОИ4!I21</f>
        <v>0</v>
      </c>
      <c r="J146" s="160">
        <f>ОИ4!J21</f>
        <v>0</v>
      </c>
      <c r="K146" s="160">
        <f>ОИ4!K21</f>
        <v>0</v>
      </c>
      <c r="L146" s="160">
        <f>ОИ4!L21</f>
        <v>0</v>
      </c>
      <c r="M146" s="160">
        <f>ОИ4!M21</f>
        <v>0</v>
      </c>
      <c r="N146" s="160">
        <f>ОИ4!N21</f>
        <v>0</v>
      </c>
      <c r="O146" s="160">
        <f>ОИ4!O21</f>
        <v>0</v>
      </c>
      <c r="P146" s="160">
        <f>ОИ4!P21</f>
        <v>0</v>
      </c>
      <c r="Q146" s="160">
        <f>ОИ4!Q21</f>
        <v>0</v>
      </c>
      <c r="R146" s="160">
        <f>ОИ4!R21</f>
        <v>0.42330772939918643</v>
      </c>
    </row>
    <row r="147" spans="1:18" ht="15.75" x14ac:dyDescent="0.25">
      <c r="A147" s="84">
        <v>21</v>
      </c>
      <c r="B147" s="84" t="s">
        <v>21</v>
      </c>
      <c r="C147" s="160" t="e">
        <f>ОИ4!C22</f>
        <v>#REF!</v>
      </c>
      <c r="D147" s="160" t="e">
        <f>ОИ4!D22</f>
        <v>#REF!</v>
      </c>
      <c r="E147" s="160">
        <f>ОИ4!E22</f>
        <v>0</v>
      </c>
      <c r="F147" s="160">
        <f>ОИ4!F22</f>
        <v>0</v>
      </c>
      <c r="G147" s="160">
        <f>ОИ4!G22</f>
        <v>0</v>
      </c>
      <c r="H147" s="160">
        <f>ОИ4!H22</f>
        <v>0</v>
      </c>
      <c r="I147" s="160">
        <f>ОИ4!I22</f>
        <v>0</v>
      </c>
      <c r="J147" s="160">
        <f>ОИ4!J22</f>
        <v>0</v>
      </c>
      <c r="K147" s="160">
        <f>ОИ4!K22</f>
        <v>0</v>
      </c>
      <c r="L147" s="160">
        <f>ОИ4!L22</f>
        <v>0</v>
      </c>
      <c r="M147" s="160">
        <f>ОИ4!M22</f>
        <v>0</v>
      </c>
      <c r="N147" s="160">
        <f>ОИ4!N22</f>
        <v>0</v>
      </c>
      <c r="O147" s="160">
        <f>ОИ4!O22</f>
        <v>0</v>
      </c>
      <c r="P147" s="160">
        <f>ОИ4!P22</f>
        <v>0</v>
      </c>
      <c r="Q147" s="160">
        <f>ОИ4!Q22</f>
        <v>0</v>
      </c>
      <c r="R147" s="160">
        <f>ОИ4!R22</f>
        <v>0.41212030878688438</v>
      </c>
    </row>
    <row r="148" spans="1:18" ht="15.75" x14ac:dyDescent="0.25">
      <c r="A148" s="84">
        <v>22</v>
      </c>
      <c r="B148" s="84" t="s">
        <v>22</v>
      </c>
      <c r="C148" s="160" t="e">
        <f>ОИ4!C23</f>
        <v>#REF!</v>
      </c>
      <c r="D148" s="160" t="e">
        <f>ОИ4!D23</f>
        <v>#REF!</v>
      </c>
      <c r="E148" s="160">
        <f>ОИ4!E23</f>
        <v>0</v>
      </c>
      <c r="F148" s="160">
        <f>ОИ4!F23</f>
        <v>0</v>
      </c>
      <c r="G148" s="160">
        <f>ОИ4!G23</f>
        <v>0</v>
      </c>
      <c r="H148" s="160">
        <f>ОИ4!H23</f>
        <v>0</v>
      </c>
      <c r="I148" s="160">
        <f>ОИ4!I23</f>
        <v>0</v>
      </c>
      <c r="J148" s="160">
        <f>ОИ4!J23</f>
        <v>0</v>
      </c>
      <c r="K148" s="160">
        <f>ОИ4!K23</f>
        <v>0</v>
      </c>
      <c r="L148" s="160">
        <f>ОИ4!L23</f>
        <v>0</v>
      </c>
      <c r="M148" s="160">
        <f>ОИ4!M23</f>
        <v>0</v>
      </c>
      <c r="N148" s="160">
        <f>ОИ4!N23</f>
        <v>0</v>
      </c>
      <c r="O148" s="160">
        <f>ОИ4!O23</f>
        <v>0</v>
      </c>
      <c r="P148" s="160">
        <f>ОИ4!P23</f>
        <v>0</v>
      </c>
      <c r="Q148" s="160">
        <f>ОИ4!Q23</f>
        <v>0</v>
      </c>
      <c r="R148" s="160">
        <f>ОИ4!R23</f>
        <v>0.47458899104632346</v>
      </c>
    </row>
    <row r="149" spans="1:18" ht="15.75" x14ac:dyDescent="0.25">
      <c r="A149" s="84">
        <v>23</v>
      </c>
      <c r="B149" s="84" t="s">
        <v>23</v>
      </c>
      <c r="C149" s="160" t="e">
        <f>ОИ4!C24</f>
        <v>#REF!</v>
      </c>
      <c r="D149" s="160" t="e">
        <f>ОИ4!D24</f>
        <v>#REF!</v>
      </c>
      <c r="E149" s="160">
        <f>ОИ4!E24</f>
        <v>0</v>
      </c>
      <c r="F149" s="160">
        <f>ОИ4!F24</f>
        <v>0</v>
      </c>
      <c r="G149" s="160">
        <f>ОИ4!G24</f>
        <v>0</v>
      </c>
      <c r="H149" s="160">
        <f>ОИ4!H24</f>
        <v>0</v>
      </c>
      <c r="I149" s="160">
        <f>ОИ4!I24</f>
        <v>0</v>
      </c>
      <c r="J149" s="160">
        <f>ОИ4!J24</f>
        <v>0</v>
      </c>
      <c r="K149" s="160">
        <f>ОИ4!K24</f>
        <v>0</v>
      </c>
      <c r="L149" s="160">
        <f>ОИ4!L24</f>
        <v>0</v>
      </c>
      <c r="M149" s="160">
        <f>ОИ4!M24</f>
        <v>0</v>
      </c>
      <c r="N149" s="160">
        <f>ОИ4!N24</f>
        <v>0</v>
      </c>
      <c r="O149" s="160">
        <f>ОИ4!O24</f>
        <v>0</v>
      </c>
      <c r="P149" s="160">
        <f>ОИ4!P24</f>
        <v>0</v>
      </c>
      <c r="Q149" s="160">
        <f>ОИ4!Q24</f>
        <v>0</v>
      </c>
      <c r="R149" s="160">
        <f>ОИ4!R24</f>
        <v>0.54893632394798042</v>
      </c>
    </row>
    <row r="150" spans="1:18" ht="15.75" x14ac:dyDescent="0.25">
      <c r="A150" s="84">
        <v>24</v>
      </c>
      <c r="B150" s="84" t="s">
        <v>24</v>
      </c>
      <c r="C150" s="160" t="e">
        <f>ОИ4!C25</f>
        <v>#REF!</v>
      </c>
      <c r="D150" s="160" t="e">
        <f>ОИ4!D25</f>
        <v>#REF!</v>
      </c>
      <c r="E150" s="160">
        <f>ОИ4!E25</f>
        <v>0</v>
      </c>
      <c r="F150" s="160">
        <f>ОИ4!F25</f>
        <v>0</v>
      </c>
      <c r="G150" s="160">
        <f>ОИ4!G25</f>
        <v>0</v>
      </c>
      <c r="H150" s="160">
        <f>ОИ4!H25</f>
        <v>0</v>
      </c>
      <c r="I150" s="160">
        <f>ОИ4!I25</f>
        <v>0</v>
      </c>
      <c r="J150" s="160">
        <f>ОИ4!J25</f>
        <v>0</v>
      </c>
      <c r="K150" s="160">
        <f>ОИ4!K25</f>
        <v>0</v>
      </c>
      <c r="L150" s="160">
        <f>ОИ4!L25</f>
        <v>0</v>
      </c>
      <c r="M150" s="160">
        <f>ОИ4!M25</f>
        <v>0</v>
      </c>
      <c r="N150" s="160">
        <f>ОИ4!N25</f>
        <v>0</v>
      </c>
      <c r="O150" s="160">
        <f>ОИ4!O25</f>
        <v>0</v>
      </c>
      <c r="P150" s="160">
        <f>ОИ4!P25</f>
        <v>0</v>
      </c>
      <c r="Q150" s="160">
        <f>ОИ4!Q25</f>
        <v>0</v>
      </c>
      <c r="R150" s="160">
        <f>ОИ4!R25</f>
        <v>0.59440927897851004</v>
      </c>
    </row>
    <row r="151" spans="1:18" ht="15.75" x14ac:dyDescent="0.25">
      <c r="A151" s="84">
        <v>25</v>
      </c>
      <c r="B151" s="84" t="s">
        <v>25</v>
      </c>
      <c r="C151" s="160" t="e">
        <f>ОИ4!C26</f>
        <v>#REF!</v>
      </c>
      <c r="D151" s="160" t="e">
        <f>ОИ4!D26</f>
        <v>#REF!</v>
      </c>
      <c r="E151" s="160">
        <f>ОИ4!E26</f>
        <v>0</v>
      </c>
      <c r="F151" s="160">
        <f>ОИ4!F26</f>
        <v>0</v>
      </c>
      <c r="G151" s="160">
        <f>ОИ4!G26</f>
        <v>0</v>
      </c>
      <c r="H151" s="160">
        <f>ОИ4!H26</f>
        <v>0</v>
      </c>
      <c r="I151" s="160">
        <f>ОИ4!I26</f>
        <v>0</v>
      </c>
      <c r="J151" s="160">
        <f>ОИ4!J26</f>
        <v>0</v>
      </c>
      <c r="K151" s="160">
        <f>ОИ4!K26</f>
        <v>0</v>
      </c>
      <c r="L151" s="160">
        <f>ОИ4!L26</f>
        <v>0</v>
      </c>
      <c r="M151" s="160">
        <f>ОИ4!M26</f>
        <v>0</v>
      </c>
      <c r="N151" s="160">
        <f>ОИ4!N26</f>
        <v>0</v>
      </c>
      <c r="O151" s="160">
        <f>ОИ4!O26</f>
        <v>0</v>
      </c>
      <c r="P151" s="160">
        <f>ОИ4!P26</f>
        <v>0</v>
      </c>
      <c r="Q151" s="160">
        <f>ОИ4!Q26</f>
        <v>0</v>
      </c>
      <c r="R151" s="160">
        <f>ОИ4!R26</f>
        <v>0.34828582781103457</v>
      </c>
    </row>
    <row r="152" spans="1:18" ht="15.75" x14ac:dyDescent="0.25">
      <c r="A152" s="84">
        <v>26</v>
      </c>
      <c r="B152" s="84" t="s">
        <v>26</v>
      </c>
      <c r="C152" s="160" t="e">
        <f>ОИ4!C27</f>
        <v>#REF!</v>
      </c>
      <c r="D152" s="160" t="e">
        <f>ОИ4!D27</f>
        <v>#REF!</v>
      </c>
      <c r="E152" s="160">
        <f>ОИ4!E27</f>
        <v>0</v>
      </c>
      <c r="F152" s="160">
        <f>ОИ4!F27</f>
        <v>0</v>
      </c>
      <c r="G152" s="160">
        <f>ОИ4!G27</f>
        <v>0</v>
      </c>
      <c r="H152" s="160">
        <f>ОИ4!H27</f>
        <v>0</v>
      </c>
      <c r="I152" s="160">
        <f>ОИ4!I27</f>
        <v>0</v>
      </c>
      <c r="J152" s="160">
        <f>ОИ4!J27</f>
        <v>0</v>
      </c>
      <c r="K152" s="160">
        <f>ОИ4!K27</f>
        <v>0</v>
      </c>
      <c r="L152" s="160">
        <f>ОИ4!L27</f>
        <v>0</v>
      </c>
      <c r="M152" s="160">
        <f>ОИ4!M27</f>
        <v>0</v>
      </c>
      <c r="N152" s="160">
        <f>ОИ4!N27</f>
        <v>0</v>
      </c>
      <c r="O152" s="160">
        <f>ОИ4!O27</f>
        <v>0</v>
      </c>
      <c r="P152" s="160">
        <f>ОИ4!P27</f>
        <v>0</v>
      </c>
      <c r="Q152" s="160">
        <f>ОИ4!Q27</f>
        <v>0</v>
      </c>
      <c r="R152" s="160">
        <f>ОИ4!R27</f>
        <v>0.51390143402197053</v>
      </c>
    </row>
    <row r="153" spans="1:18" ht="15.75" x14ac:dyDescent="0.25">
      <c r="A153" s="84">
        <v>27</v>
      </c>
      <c r="B153" s="84" t="s">
        <v>27</v>
      </c>
      <c r="C153" s="160" t="e">
        <f>ОИ4!C28</f>
        <v>#REF!</v>
      </c>
      <c r="D153" s="160" t="e">
        <f>ОИ4!D28</f>
        <v>#REF!</v>
      </c>
      <c r="E153" s="160">
        <f>ОИ4!E28</f>
        <v>0</v>
      </c>
      <c r="F153" s="160">
        <f>ОИ4!F28</f>
        <v>0</v>
      </c>
      <c r="G153" s="160">
        <f>ОИ4!G28</f>
        <v>0</v>
      </c>
      <c r="H153" s="160">
        <f>ОИ4!H28</f>
        <v>0</v>
      </c>
      <c r="I153" s="160">
        <f>ОИ4!I28</f>
        <v>0</v>
      </c>
      <c r="J153" s="160">
        <f>ОИ4!J28</f>
        <v>0</v>
      </c>
      <c r="K153" s="160">
        <f>ОИ4!K28</f>
        <v>0</v>
      </c>
      <c r="L153" s="160">
        <f>ОИ4!L28</f>
        <v>0</v>
      </c>
      <c r="M153" s="160">
        <f>ОИ4!M28</f>
        <v>0</v>
      </c>
      <c r="N153" s="160">
        <f>ОИ4!N28</f>
        <v>0</v>
      </c>
      <c r="O153" s="160">
        <f>ОИ4!O28</f>
        <v>0</v>
      </c>
      <c r="P153" s="160">
        <f>ОИ4!P28</f>
        <v>0</v>
      </c>
      <c r="Q153" s="160">
        <f>ОИ4!Q28</f>
        <v>0</v>
      </c>
      <c r="R153" s="160">
        <f>ОИ4!R28</f>
        <v>0.48790881450450962</v>
      </c>
    </row>
    <row r="154" spans="1:18" ht="15.75" x14ac:dyDescent="0.25">
      <c r="A154" s="84">
        <v>28</v>
      </c>
      <c r="B154" s="84" t="s">
        <v>28</v>
      </c>
      <c r="C154" s="160" t="e">
        <f>ОИ4!C29</f>
        <v>#REF!</v>
      </c>
      <c r="D154" s="160" t="e">
        <f>ОИ4!D29</f>
        <v>#REF!</v>
      </c>
      <c r="E154" s="160">
        <f>ОИ4!E29</f>
        <v>0</v>
      </c>
      <c r="F154" s="160">
        <f>ОИ4!F29</f>
        <v>0</v>
      </c>
      <c r="G154" s="160">
        <f>ОИ4!G29</f>
        <v>0</v>
      </c>
      <c r="H154" s="160">
        <f>ОИ4!H29</f>
        <v>0</v>
      </c>
      <c r="I154" s="160">
        <f>ОИ4!I29</f>
        <v>0</v>
      </c>
      <c r="J154" s="160">
        <f>ОИ4!J29</f>
        <v>0</v>
      </c>
      <c r="K154" s="160">
        <f>ОИ4!K29</f>
        <v>0</v>
      </c>
      <c r="L154" s="160">
        <f>ОИ4!L29</f>
        <v>0</v>
      </c>
      <c r="M154" s="160">
        <f>ОИ4!M29</f>
        <v>0</v>
      </c>
      <c r="N154" s="160">
        <f>ОИ4!N29</f>
        <v>0</v>
      </c>
      <c r="O154" s="160">
        <f>ОИ4!O29</f>
        <v>0</v>
      </c>
      <c r="P154" s="160">
        <f>ОИ4!P29</f>
        <v>0</v>
      </c>
      <c r="Q154" s="160">
        <f>ОИ4!Q29</f>
        <v>0</v>
      </c>
      <c r="R154" s="160">
        <f>ОИ4!R29</f>
        <v>0.49539018233038562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160"/>
  <sheetViews>
    <sheetView topLeftCell="A55" zoomScale="70" zoomScaleNormal="70" workbookViewId="0">
      <selection activeCell="C57" sqref="C57"/>
    </sheetView>
  </sheetViews>
  <sheetFormatPr defaultRowHeight="15" x14ac:dyDescent="0.25"/>
  <cols>
    <col min="2" max="2" width="26.7109375" customWidth="1"/>
    <col min="3" max="3" width="14.140625" customWidth="1"/>
    <col min="4" max="4" width="12.85546875" customWidth="1"/>
    <col min="5" max="5" width="13.140625" customWidth="1"/>
    <col min="6" max="18" width="11.85546875" bestFit="1" customWidth="1"/>
  </cols>
  <sheetData>
    <row r="1" spans="1:5" ht="85.5" customHeight="1" x14ac:dyDescent="0.25">
      <c r="A1" s="85" t="s">
        <v>0</v>
      </c>
      <c r="B1" s="84" t="s">
        <v>83</v>
      </c>
      <c r="C1" s="159" t="s">
        <v>202</v>
      </c>
      <c r="D1" s="159" t="s">
        <v>203</v>
      </c>
      <c r="E1" s="159" t="s">
        <v>204</v>
      </c>
    </row>
    <row r="2" spans="1:5" ht="15.75" x14ac:dyDescent="0.25">
      <c r="A2" s="85">
        <v>29</v>
      </c>
      <c r="B2" s="84" t="s">
        <v>29</v>
      </c>
      <c r="C2" s="154">
        <f>'13.1н'!B30</f>
        <v>4.2296953577702079E-8</v>
      </c>
      <c r="D2" s="154">
        <f>'13.2н'!B30</f>
        <v>0.55706058269853109</v>
      </c>
      <c r="E2" s="154">
        <f>'13.3н'!B30</f>
        <v>0.13295239821897267</v>
      </c>
    </row>
    <row r="3" spans="1:5" ht="15.75" x14ac:dyDescent="0.25">
      <c r="A3" s="85">
        <v>30</v>
      </c>
      <c r="B3" s="84" t="s">
        <v>30</v>
      </c>
      <c r="C3" s="154">
        <f>'13.1н'!B31</f>
        <v>0.24343350015595636</v>
      </c>
      <c r="D3" s="154">
        <f>'13.2н'!B31</f>
        <v>0.76494251180676442</v>
      </c>
      <c r="E3" s="154">
        <f>'13.3н'!B31</f>
        <v>6.9869665694309718E-2</v>
      </c>
    </row>
    <row r="4" spans="1:5" ht="15.75" x14ac:dyDescent="0.25">
      <c r="A4" s="85">
        <v>31</v>
      </c>
      <c r="B4" s="84" t="s">
        <v>31</v>
      </c>
      <c r="C4" s="154">
        <f>'13.1н'!B32</f>
        <v>0.78464901461543179</v>
      </c>
      <c r="D4" s="154">
        <f>'13.2н'!B32</f>
        <v>0.39623753252105726</v>
      </c>
      <c r="E4" s="154">
        <f>'13.3н'!B32</f>
        <v>0.16074499767207401</v>
      </c>
    </row>
    <row r="5" spans="1:5" ht="15.75" x14ac:dyDescent="0.25">
      <c r="A5" s="85">
        <v>32</v>
      </c>
      <c r="B5" s="84" t="s">
        <v>32</v>
      </c>
      <c r="C5" s="154">
        <f>'13.1н'!B33</f>
        <v>0.78704907203862695</v>
      </c>
      <c r="D5" s="154">
        <f>'13.2н'!B33</f>
        <v>0.68706631246325589</v>
      </c>
      <c r="E5" s="154">
        <f>'13.3н'!B33</f>
        <v>0.44594572438127333</v>
      </c>
    </row>
    <row r="6" spans="1:5" ht="15.75" x14ac:dyDescent="0.25">
      <c r="A6" s="85">
        <v>33</v>
      </c>
      <c r="B6" s="84" t="s">
        <v>33</v>
      </c>
      <c r="C6" s="154">
        <f>'13.1н'!B34</f>
        <v>0.22191568445372667</v>
      </c>
      <c r="D6" s="154">
        <f>'13.2н'!B34</f>
        <v>0.67080242952885383</v>
      </c>
      <c r="E6" s="154">
        <f>'13.3н'!B34</f>
        <v>0.28431094556781877</v>
      </c>
    </row>
    <row r="7" spans="1:5" ht="15.75" x14ac:dyDescent="0.25">
      <c r="A7" s="85">
        <v>34</v>
      </c>
      <c r="B7" s="84" t="s">
        <v>34</v>
      </c>
      <c r="C7" s="154">
        <f>'13.1н'!B35</f>
        <v>0.75644597412377546</v>
      </c>
      <c r="D7" s="154">
        <f>'13.2н'!B35</f>
        <v>0.67772991632800517</v>
      </c>
      <c r="E7" s="154">
        <f>'13.3н'!B35</f>
        <v>0.35236143889062588</v>
      </c>
    </row>
    <row r="8" spans="1:5" ht="15.75" x14ac:dyDescent="0.25">
      <c r="A8" s="85">
        <v>35</v>
      </c>
      <c r="B8" s="84" t="s">
        <v>35</v>
      </c>
      <c r="C8" s="154">
        <f>'13.1н'!B36</f>
        <v>0.65929447021296417</v>
      </c>
      <c r="D8" s="154">
        <f>'13.2н'!B36</f>
        <v>0.68684302017014964</v>
      </c>
      <c r="E8" s="154">
        <f>'13.3н'!B36</f>
        <v>0.4256160228915648</v>
      </c>
    </row>
    <row r="9" spans="1:5" ht="15.75" x14ac:dyDescent="0.25">
      <c r="A9" s="85">
        <v>36</v>
      </c>
      <c r="B9" s="84" t="s">
        <v>36</v>
      </c>
      <c r="C9" s="154">
        <f>'13.1н'!B37</f>
        <v>1.3417306305140726E-3</v>
      </c>
      <c r="D9" s="154">
        <f>'13.2н'!B37</f>
        <v>0.47321098982088844</v>
      </c>
      <c r="E9" s="154">
        <f>'13.3н'!B37</f>
        <v>0.17809784407262791</v>
      </c>
    </row>
    <row r="10" spans="1:5" ht="15.75" x14ac:dyDescent="0.25">
      <c r="A10" s="79"/>
      <c r="B10" s="80"/>
      <c r="C10" s="142"/>
      <c r="D10" s="143"/>
      <c r="E10" s="143"/>
    </row>
    <row r="11" spans="1:5" ht="15.75" x14ac:dyDescent="0.25">
      <c r="A11" s="79"/>
      <c r="B11" s="80"/>
      <c r="C11" s="142"/>
      <c r="D11" s="143"/>
      <c r="E11" s="143"/>
    </row>
    <row r="12" spans="1:5" ht="15.75" x14ac:dyDescent="0.25">
      <c r="A12" s="79"/>
      <c r="B12" s="80"/>
      <c r="C12" s="142"/>
      <c r="D12" s="143"/>
      <c r="E12" s="143"/>
    </row>
    <row r="13" spans="1:5" ht="15.75" x14ac:dyDescent="0.25">
      <c r="A13" s="79"/>
      <c r="B13" s="80"/>
      <c r="C13" s="142"/>
      <c r="D13" s="143"/>
      <c r="E13" s="143"/>
    </row>
    <row r="14" spans="1:5" ht="15.75" x14ac:dyDescent="0.25">
      <c r="A14" s="79"/>
      <c r="B14" s="80"/>
      <c r="C14" s="142"/>
      <c r="D14" s="143"/>
      <c r="E14" s="143"/>
    </row>
    <row r="15" spans="1:5" ht="16.5" thickBot="1" x14ac:dyDescent="0.3">
      <c r="A15" s="79"/>
      <c r="B15" s="80"/>
      <c r="C15" s="142"/>
      <c r="D15" s="143"/>
      <c r="E15" s="143"/>
    </row>
    <row r="16" spans="1:5" ht="90.75" thickBot="1" x14ac:dyDescent="0.3">
      <c r="A16" s="85" t="s">
        <v>0</v>
      </c>
      <c r="B16" s="84" t="s">
        <v>83</v>
      </c>
      <c r="C16" s="54" t="s">
        <v>206</v>
      </c>
      <c r="D16" s="54" t="s">
        <v>104</v>
      </c>
      <c r="E16" s="54" t="s">
        <v>106</v>
      </c>
    </row>
    <row r="17" spans="1:5" ht="15.75" x14ac:dyDescent="0.25">
      <c r="A17" s="85">
        <v>29</v>
      </c>
      <c r="B17" s="84" t="s">
        <v>29</v>
      </c>
      <c r="C17" s="154">
        <f>'14.1н'!B30</f>
        <v>0.26154554467842894</v>
      </c>
      <c r="D17" s="154">
        <f>'14.2н'!B30</f>
        <v>3.4270271911288205E-4</v>
      </c>
      <c r="E17" s="154">
        <f>'14.3н'!B30</f>
        <v>1.3380774632272618E-13</v>
      </c>
    </row>
    <row r="18" spans="1:5" ht="15.75" x14ac:dyDescent="0.25">
      <c r="A18" s="85">
        <v>30</v>
      </c>
      <c r="B18" s="84" t="s">
        <v>30</v>
      </c>
      <c r="C18" s="154">
        <f>'14.1н'!B31</f>
        <v>1.4157973797000206E-2</v>
      </c>
      <c r="D18" s="154">
        <f>'14.2н'!B31</f>
        <v>2.3915291623004064E-4</v>
      </c>
      <c r="E18" s="154">
        <f>'14.3н'!B31</f>
        <v>1.1760466106958783E-14</v>
      </c>
    </row>
    <row r="19" spans="1:5" ht="15.75" x14ac:dyDescent="0.25">
      <c r="A19" s="85">
        <v>31</v>
      </c>
      <c r="B19" s="84" t="s">
        <v>31</v>
      </c>
      <c r="C19" s="154">
        <f>'14.1н'!B32</f>
        <v>8.4281499464186782E-2</v>
      </c>
      <c r="D19" s="154">
        <f>'14.2н'!B32</f>
        <v>0.50877607700313165</v>
      </c>
      <c r="E19" s="154">
        <f>'14.3н'!B32</f>
        <v>4.1356833934528332E-11</v>
      </c>
    </row>
    <row r="20" spans="1:5" ht="15.75" x14ac:dyDescent="0.25">
      <c r="A20" s="85">
        <v>32</v>
      </c>
      <c r="B20" s="84" t="s">
        <v>32</v>
      </c>
      <c r="C20" s="154">
        <f>'14.1н'!B33</f>
        <v>0.10666508187441774</v>
      </c>
      <c r="D20" s="154">
        <f>'14.2н'!B33</f>
        <v>0.41687503422909999</v>
      </c>
      <c r="E20" s="154">
        <f>'14.3н'!B33</f>
        <v>6.0546081635416356E-5</v>
      </c>
    </row>
    <row r="21" spans="1:5" ht="15.75" x14ac:dyDescent="0.25">
      <c r="A21" s="85">
        <v>33</v>
      </c>
      <c r="B21" s="84" t="s">
        <v>33</v>
      </c>
      <c r="C21" s="154">
        <f>'14.1н'!B34</f>
        <v>0.10395205240210419</v>
      </c>
      <c r="D21" s="154">
        <f>'14.2н'!B34</f>
        <v>2.9575682554364366E-2</v>
      </c>
      <c r="E21" s="154">
        <f>'14.3н'!B34</f>
        <v>7.2179193634961306E-45</v>
      </c>
    </row>
    <row r="22" spans="1:5" ht="15.75" x14ac:dyDescent="0.25">
      <c r="A22" s="85">
        <v>34</v>
      </c>
      <c r="B22" s="84" t="s">
        <v>34</v>
      </c>
      <c r="C22" s="154">
        <f>'14.1н'!B35</f>
        <v>0.21033833252025702</v>
      </c>
      <c r="D22" s="154">
        <f>'14.2н'!B35</f>
        <v>1.2097078222802102E-2</v>
      </c>
      <c r="E22" s="154">
        <f>'14.3н'!B35</f>
        <v>4.470284825538179E-4</v>
      </c>
    </row>
    <row r="23" spans="1:5" ht="15.75" x14ac:dyDescent="0.25">
      <c r="A23" s="85">
        <v>35</v>
      </c>
      <c r="B23" s="84" t="s">
        <v>35</v>
      </c>
      <c r="C23" s="154">
        <f>'14.1н'!B36</f>
        <v>0.42122433947500709</v>
      </c>
      <c r="D23" s="154">
        <f>'14.2н'!B36</f>
        <v>0.58912756268044431</v>
      </c>
      <c r="E23" s="154">
        <f>'14.3н'!B36</f>
        <v>0.12984558416918848</v>
      </c>
    </row>
    <row r="24" spans="1:5" ht="15.75" x14ac:dyDescent="0.25">
      <c r="A24" s="85">
        <v>36</v>
      </c>
      <c r="B24" s="84" t="s">
        <v>36</v>
      </c>
      <c r="C24" s="154">
        <f>'14.1н'!B37</f>
        <v>0.50627424694066481</v>
      </c>
      <c r="D24" s="154">
        <f>'14.2н'!B37</f>
        <v>0.43208350918249722</v>
      </c>
      <c r="E24" s="154">
        <f>'14.3н'!B37</f>
        <v>5.409964775574868E-2</v>
      </c>
    </row>
    <row r="30" spans="1:5" ht="15.75" thickBot="1" x14ac:dyDescent="0.3"/>
    <row r="31" spans="1:5" ht="45.75" thickBot="1" x14ac:dyDescent="0.3">
      <c r="A31" s="85" t="s">
        <v>0</v>
      </c>
      <c r="B31" s="84" t="s">
        <v>83</v>
      </c>
      <c r="C31" s="54" t="s">
        <v>208</v>
      </c>
      <c r="D31" s="54" t="s">
        <v>209</v>
      </c>
      <c r="E31" s="54" t="s">
        <v>210</v>
      </c>
    </row>
    <row r="32" spans="1:5" ht="15.75" x14ac:dyDescent="0.25">
      <c r="A32" s="85">
        <v>29</v>
      </c>
      <c r="B32" s="84" t="s">
        <v>29</v>
      </c>
      <c r="C32" s="154">
        <f>'15.1н'!B30</f>
        <v>0.49775537686587179</v>
      </c>
      <c r="D32" s="154">
        <f>'15.2н'!B30</f>
        <v>0.29121900451992916</v>
      </c>
      <c r="E32" s="154">
        <f>'15.3н'!B30</f>
        <v>0.22912982156955602</v>
      </c>
    </row>
    <row r="33" spans="1:5" ht="15.75" x14ac:dyDescent="0.25">
      <c r="A33" s="85">
        <v>30</v>
      </c>
      <c r="B33" s="84" t="s">
        <v>30</v>
      </c>
      <c r="C33" s="154">
        <f>'15.1н'!B31</f>
        <v>0.15297305025315747</v>
      </c>
      <c r="D33" s="154">
        <f>'15.2н'!B31</f>
        <v>2.1809128054029046E-2</v>
      </c>
      <c r="E33" s="154">
        <f>'15.3н'!B31</f>
        <v>0.12500241251669322</v>
      </c>
    </row>
    <row r="34" spans="1:5" ht="15.75" x14ac:dyDescent="0.25">
      <c r="A34" s="85">
        <v>31</v>
      </c>
      <c r="B34" s="84" t="s">
        <v>31</v>
      </c>
      <c r="C34" s="154">
        <f>'15.1н'!B32</f>
        <v>0.33605575399302778</v>
      </c>
      <c r="D34" s="154">
        <f>'15.2н'!B32</f>
        <v>0.32234068162311252</v>
      </c>
      <c r="E34" s="154">
        <f>'15.3н'!B32</f>
        <v>0.36591741398549288</v>
      </c>
    </row>
    <row r="35" spans="1:5" ht="15.75" x14ac:dyDescent="0.25">
      <c r="A35" s="85">
        <v>32</v>
      </c>
      <c r="B35" s="84" t="s">
        <v>32</v>
      </c>
      <c r="C35" s="154">
        <f>'15.1н'!B33</f>
        <v>0.53976177965310157</v>
      </c>
      <c r="D35" s="154">
        <f>'15.2н'!B33</f>
        <v>0.56049282208759899</v>
      </c>
      <c r="E35" s="154">
        <f>'15.3н'!B33</f>
        <v>0.61385782096211527</v>
      </c>
    </row>
    <row r="36" spans="1:5" ht="15.75" x14ac:dyDescent="0.25">
      <c r="A36" s="85">
        <v>33</v>
      </c>
      <c r="B36" s="84" t="s">
        <v>33</v>
      </c>
      <c r="C36" s="154">
        <f>'15.1н'!B34</f>
        <v>0.39646162308846383</v>
      </c>
      <c r="D36" s="154">
        <f>'15.2н'!B34</f>
        <v>0.39714078057266039</v>
      </c>
      <c r="E36" s="154">
        <f>'15.3н'!B34</f>
        <v>0.31335778156719812</v>
      </c>
    </row>
    <row r="37" spans="1:5" ht="15.75" x14ac:dyDescent="0.25">
      <c r="A37" s="85">
        <v>34</v>
      </c>
      <c r="B37" s="84" t="s">
        <v>34</v>
      </c>
      <c r="C37" s="154">
        <f>'15.1н'!B35</f>
        <v>0.38124993694833709</v>
      </c>
      <c r="D37" s="154">
        <f>'15.2н'!B35</f>
        <v>0.24123932222267713</v>
      </c>
      <c r="E37" s="154">
        <f>'15.3н'!B35</f>
        <v>0.42868433639169712</v>
      </c>
    </row>
    <row r="38" spans="1:5" ht="15.75" x14ac:dyDescent="0.25">
      <c r="A38" s="85">
        <v>35</v>
      </c>
      <c r="B38" s="84" t="s">
        <v>35</v>
      </c>
      <c r="C38" s="154">
        <f>'15.1н'!B36</f>
        <v>0.49986700894512931</v>
      </c>
      <c r="D38" s="154">
        <f>'15.2н'!B36</f>
        <v>0.41610444524964274</v>
      </c>
      <c r="E38" s="154">
        <f>'15.3н'!B36</f>
        <v>0.43854511782381878</v>
      </c>
    </row>
    <row r="39" spans="1:5" ht="15.75" x14ac:dyDescent="0.25">
      <c r="A39" s="85">
        <v>36</v>
      </c>
      <c r="B39" s="84" t="s">
        <v>36</v>
      </c>
      <c r="C39" s="154">
        <f>'15.1н'!B37</f>
        <v>0.31916013160732914</v>
      </c>
      <c r="D39" s="154">
        <f>'15.2н'!B37</f>
        <v>0.51068873993852615</v>
      </c>
      <c r="E39" s="154">
        <f>'15.3н'!B37</f>
        <v>0.521208321631074</v>
      </c>
    </row>
    <row r="48" spans="1:5" ht="15.75" thickBot="1" x14ac:dyDescent="0.3"/>
    <row r="49" spans="1:5" ht="63.75" thickBot="1" x14ac:dyDescent="0.3">
      <c r="A49" s="85" t="s">
        <v>0</v>
      </c>
      <c r="B49" s="84" t="s">
        <v>83</v>
      </c>
      <c r="C49" s="54" t="s">
        <v>212</v>
      </c>
      <c r="D49" s="159" t="s">
        <v>136</v>
      </c>
      <c r="E49" s="54" t="s">
        <v>213</v>
      </c>
    </row>
    <row r="50" spans="1:5" ht="15.75" x14ac:dyDescent="0.25">
      <c r="A50" s="85">
        <v>29</v>
      </c>
      <c r="B50" s="84" t="s">
        <v>29</v>
      </c>
      <c r="C50" s="154">
        <f>'16.1н'!B30</f>
        <v>0.45958113138714513</v>
      </c>
      <c r="D50" s="154">
        <f>'16.2н'!B30</f>
        <v>0.53373772784636819</v>
      </c>
      <c r="E50" s="154">
        <f>'16.3н'!B30</f>
        <v>0.4837658892619458</v>
      </c>
    </row>
    <row r="51" spans="1:5" ht="15.75" x14ac:dyDescent="0.25">
      <c r="A51" s="85">
        <v>30</v>
      </c>
      <c r="B51" s="84" t="s">
        <v>30</v>
      </c>
      <c r="C51" s="154">
        <f>'16.1н'!B31</f>
        <v>0.26469197555592938</v>
      </c>
      <c r="D51" s="154">
        <f>'16.2н'!B31</f>
        <v>0.50818915745547655</v>
      </c>
      <c r="E51" s="154">
        <f>'16.3н'!B31</f>
        <v>0.28061551207734331</v>
      </c>
    </row>
    <row r="52" spans="1:5" ht="15.75" x14ac:dyDescent="0.25">
      <c r="A52" s="85">
        <v>31</v>
      </c>
      <c r="B52" s="84" t="s">
        <v>31</v>
      </c>
      <c r="C52" s="154">
        <f>'16.1н'!B32</f>
        <v>0.36113078757566519</v>
      </c>
      <c r="D52" s="154">
        <f>'16.2н'!B32</f>
        <v>0.41493707293697635</v>
      </c>
      <c r="E52" s="154">
        <f>'16.3н'!B32</f>
        <v>0.46293735614364523</v>
      </c>
    </row>
    <row r="53" spans="1:5" ht="15.75" x14ac:dyDescent="0.25">
      <c r="A53" s="85">
        <v>32</v>
      </c>
      <c r="B53" s="84" t="s">
        <v>32</v>
      </c>
      <c r="C53" s="154">
        <f>'16.1н'!B33</f>
        <v>0.6184350487935526</v>
      </c>
      <c r="D53" s="154">
        <f>'16.2н'!B33</f>
        <v>0.54091551256225567</v>
      </c>
      <c r="E53" s="154">
        <f>'16.3н'!B33</f>
        <v>0.42862199142653634</v>
      </c>
    </row>
    <row r="54" spans="1:5" ht="15.75" x14ac:dyDescent="0.25">
      <c r="A54" s="85">
        <v>33</v>
      </c>
      <c r="B54" s="84" t="s">
        <v>33</v>
      </c>
      <c r="C54" s="154">
        <f>'16.1н'!B34</f>
        <v>0.30589234109903646</v>
      </c>
      <c r="D54" s="154">
        <f>'16.2н'!B34</f>
        <v>0.5</v>
      </c>
      <c r="E54" s="154">
        <f>'16.3н'!B34</f>
        <v>0.35187884454383445</v>
      </c>
    </row>
    <row r="55" spans="1:5" ht="15.75" x14ac:dyDescent="0.25">
      <c r="A55" s="85">
        <v>34</v>
      </c>
      <c r="B55" s="84" t="s">
        <v>34</v>
      </c>
      <c r="C55" s="154">
        <f>'16.1н'!B35</f>
        <v>0.24890671255857583</v>
      </c>
      <c r="D55" s="154">
        <f>'16.2н'!B35</f>
        <v>0.504126503180508</v>
      </c>
      <c r="E55" s="154">
        <f>'16.3н'!B35</f>
        <v>0.44435580299072147</v>
      </c>
    </row>
    <row r="56" spans="1:5" ht="15.75" x14ac:dyDescent="0.25">
      <c r="A56" s="85">
        <v>35</v>
      </c>
      <c r="B56" s="84" t="s">
        <v>35</v>
      </c>
      <c r="C56" s="154">
        <f>'16.1н'!B36</f>
        <v>0.50398091196373818</v>
      </c>
      <c r="D56" s="154">
        <f>'16.2н'!B36</f>
        <v>0.52000729716759797</v>
      </c>
      <c r="E56" s="154">
        <f>'16.3н'!B36</f>
        <v>0.52691065255862768</v>
      </c>
    </row>
    <row r="57" spans="1:5" ht="15.75" x14ac:dyDescent="0.25">
      <c r="A57" s="85">
        <v>36</v>
      </c>
      <c r="B57" s="84" t="s">
        <v>36</v>
      </c>
      <c r="C57" s="154">
        <f>'16.1н'!B37</f>
        <v>0.70882661136690728</v>
      </c>
      <c r="D57" s="154">
        <f>'16.2н'!B37</f>
        <v>0.51482199389134364</v>
      </c>
      <c r="E57" s="154">
        <f>'16.3н'!B37</f>
        <v>0.27463610758063006</v>
      </c>
    </row>
    <row r="66" spans="1:18" ht="15.75" x14ac:dyDescent="0.25">
      <c r="A66" s="84" t="s">
        <v>0</v>
      </c>
      <c r="B66" s="84"/>
      <c r="C66" s="84">
        <v>2005</v>
      </c>
      <c r="D66" s="84">
        <v>2006</v>
      </c>
      <c r="E66" s="84">
        <v>2007</v>
      </c>
      <c r="F66" s="84">
        <v>2008</v>
      </c>
      <c r="G66" s="84">
        <v>2009</v>
      </c>
      <c r="H66" s="84">
        <v>2010</v>
      </c>
      <c r="I66" s="84">
        <v>2011</v>
      </c>
      <c r="J66" s="84">
        <v>2012</v>
      </c>
      <c r="K66" s="84">
        <v>2013</v>
      </c>
      <c r="L66" s="84">
        <v>2014</v>
      </c>
      <c r="M66" s="84">
        <v>2015</v>
      </c>
      <c r="N66" s="84">
        <v>2016</v>
      </c>
      <c r="O66" s="84">
        <v>2017</v>
      </c>
      <c r="P66" s="84">
        <v>2018</v>
      </c>
      <c r="Q66" s="84">
        <v>2019</v>
      </c>
      <c r="R66" s="84">
        <v>2020</v>
      </c>
    </row>
    <row r="67" spans="1:18" ht="15.75" x14ac:dyDescent="0.25">
      <c r="A67" s="84">
        <v>29</v>
      </c>
      <c r="B67" s="84" t="s">
        <v>29</v>
      </c>
      <c r="C67" s="160" t="e">
        <f>ОИ1!C30</f>
        <v>#REF!</v>
      </c>
      <c r="D67" s="160" t="e">
        <f>ОИ1!D30</f>
        <v>#REF!</v>
      </c>
      <c r="E67" s="160">
        <f>ОИ1!E30</f>
        <v>0</v>
      </c>
      <c r="F67" s="160">
        <f>ОИ1!F30</f>
        <v>0</v>
      </c>
      <c r="G67" s="160">
        <f>ОИ1!G30</f>
        <v>0</v>
      </c>
      <c r="H67" s="160">
        <f>ОИ1!H30</f>
        <v>0</v>
      </c>
      <c r="I67" s="160">
        <f>ОИ1!I30</f>
        <v>0</v>
      </c>
      <c r="J67" s="160">
        <f>ОИ1!J30</f>
        <v>0</v>
      </c>
      <c r="K67" s="160">
        <f>ОИ1!K30</f>
        <v>0</v>
      </c>
      <c r="L67" s="160">
        <f>ОИ1!L30</f>
        <v>0</v>
      </c>
      <c r="M67" s="160">
        <f>ОИ1!M30</f>
        <v>0</v>
      </c>
      <c r="N67" s="160">
        <f>ОИ1!N30</f>
        <v>0</v>
      </c>
      <c r="O67" s="160">
        <f>ОИ1!O30</f>
        <v>0</v>
      </c>
      <c r="P67" s="160">
        <f>ОИ1!P30</f>
        <v>0</v>
      </c>
      <c r="Q67" s="160">
        <f>ОИ1!Q30</f>
        <v>0</v>
      </c>
      <c r="R67" s="160">
        <f>ОИ1!R30</f>
        <v>0.23000434107148579</v>
      </c>
    </row>
    <row r="68" spans="1:18" ht="15.75" x14ac:dyDescent="0.25">
      <c r="A68" s="84">
        <v>30</v>
      </c>
      <c r="B68" s="84" t="s">
        <v>30</v>
      </c>
      <c r="C68" s="160" t="e">
        <f>ОИ1!C31</f>
        <v>#REF!</v>
      </c>
      <c r="D68" s="160" t="e">
        <f>ОИ1!D31</f>
        <v>#REF!</v>
      </c>
      <c r="E68" s="160">
        <f>ОИ1!E31</f>
        <v>0</v>
      </c>
      <c r="F68" s="160">
        <f>ОИ1!F31</f>
        <v>0</v>
      </c>
      <c r="G68" s="160">
        <f>ОИ1!G31</f>
        <v>0</v>
      </c>
      <c r="H68" s="160">
        <f>ОИ1!H31</f>
        <v>0</v>
      </c>
      <c r="I68" s="160">
        <f>ОИ1!I31</f>
        <v>0</v>
      </c>
      <c r="J68" s="160">
        <f>ОИ1!J31</f>
        <v>0</v>
      </c>
      <c r="K68" s="160">
        <f>ОИ1!K31</f>
        <v>0</v>
      </c>
      <c r="L68" s="160">
        <f>ОИ1!L31</f>
        <v>0</v>
      </c>
      <c r="M68" s="160">
        <f>ОИ1!M31</f>
        <v>0</v>
      </c>
      <c r="N68" s="160">
        <f>ОИ1!N31</f>
        <v>0</v>
      </c>
      <c r="O68" s="160">
        <f>ОИ1!O31</f>
        <v>0</v>
      </c>
      <c r="P68" s="160">
        <f>ОИ1!P31</f>
        <v>0</v>
      </c>
      <c r="Q68" s="160">
        <f>ОИ1!Q31</f>
        <v>0</v>
      </c>
      <c r="R68" s="160">
        <f>ОИ1!R31</f>
        <v>0.35941522588567681</v>
      </c>
    </row>
    <row r="69" spans="1:18" ht="15.75" x14ac:dyDescent="0.25">
      <c r="A69" s="84">
        <v>31</v>
      </c>
      <c r="B69" s="84" t="s">
        <v>31</v>
      </c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>
        <f>ОИ1!M32</f>
        <v>0</v>
      </c>
      <c r="N69" s="160">
        <f>ОИ1!N32</f>
        <v>0</v>
      </c>
      <c r="O69" s="160">
        <f>ОИ1!O32</f>
        <v>0</v>
      </c>
      <c r="P69" s="160">
        <f>ОИ1!P32</f>
        <v>0</v>
      </c>
      <c r="Q69" s="160">
        <f>ОИ1!Q32</f>
        <v>0</v>
      </c>
      <c r="R69" s="160">
        <f>ОИ1!R32</f>
        <v>0.44721051493618774</v>
      </c>
    </row>
    <row r="70" spans="1:18" ht="15.75" x14ac:dyDescent="0.25">
      <c r="A70" s="84">
        <v>32</v>
      </c>
      <c r="B70" s="84" t="s">
        <v>32</v>
      </c>
      <c r="C70" s="160" t="e">
        <f>ОИ1!C33</f>
        <v>#REF!</v>
      </c>
      <c r="D70" s="160" t="e">
        <f>ОИ1!D33</f>
        <v>#REF!</v>
      </c>
      <c r="E70" s="160">
        <f>ОИ1!E33</f>
        <v>0</v>
      </c>
      <c r="F70" s="160">
        <f>ОИ1!F33</f>
        <v>0</v>
      </c>
      <c r="G70" s="160">
        <f>ОИ1!G33</f>
        <v>0</v>
      </c>
      <c r="H70" s="160">
        <f>ОИ1!H33</f>
        <v>0</v>
      </c>
      <c r="I70" s="160">
        <f>ОИ1!I33</f>
        <v>0</v>
      </c>
      <c r="J70" s="160">
        <f>ОИ1!J33</f>
        <v>0</v>
      </c>
      <c r="K70" s="160">
        <f>ОИ1!K33</f>
        <v>0</v>
      </c>
      <c r="L70" s="160">
        <f>ОИ1!L33</f>
        <v>0</v>
      </c>
      <c r="M70" s="160">
        <f>ОИ1!M33</f>
        <v>0</v>
      </c>
      <c r="N70" s="160">
        <f>ОИ1!N33</f>
        <v>0</v>
      </c>
      <c r="O70" s="160">
        <f>ОИ1!O33</f>
        <v>0</v>
      </c>
      <c r="P70" s="160">
        <f>ОИ1!P33</f>
        <v>0</v>
      </c>
      <c r="Q70" s="160">
        <f>ОИ1!Q33</f>
        <v>0</v>
      </c>
      <c r="R70" s="160">
        <f>ОИ1!R33</f>
        <v>0.6400203696277188</v>
      </c>
    </row>
    <row r="71" spans="1:18" ht="15.75" x14ac:dyDescent="0.25">
      <c r="A71" s="84">
        <v>33</v>
      </c>
      <c r="B71" s="84" t="s">
        <v>33</v>
      </c>
      <c r="C71" s="160" t="e">
        <f>ОИ1!C34</f>
        <v>#REF!</v>
      </c>
      <c r="D71" s="160" t="e">
        <f>ОИ1!D34</f>
        <v>#REF!</v>
      </c>
      <c r="E71" s="160">
        <f>ОИ1!E34</f>
        <v>0</v>
      </c>
      <c r="F71" s="160">
        <f>ОИ1!F34</f>
        <v>0</v>
      </c>
      <c r="G71" s="160">
        <f>ОИ1!G34</f>
        <v>0</v>
      </c>
      <c r="H71" s="160">
        <f>ОИ1!H34</f>
        <v>0</v>
      </c>
      <c r="I71" s="160">
        <f>ОИ1!I34</f>
        <v>0</v>
      </c>
      <c r="J71" s="160">
        <f>ОИ1!J34</f>
        <v>0</v>
      </c>
      <c r="K71" s="160">
        <f>ОИ1!K34</f>
        <v>0</v>
      </c>
      <c r="L71" s="160">
        <f>ОИ1!L34</f>
        <v>0</v>
      </c>
      <c r="M71" s="160">
        <f>ОИ1!M34</f>
        <v>0</v>
      </c>
      <c r="N71" s="160">
        <f>ОИ1!N34</f>
        <v>0</v>
      </c>
      <c r="O71" s="160">
        <f>ОИ1!O34</f>
        <v>0</v>
      </c>
      <c r="P71" s="160">
        <f>ОИ1!P34</f>
        <v>0</v>
      </c>
      <c r="Q71" s="160">
        <f>ОИ1!Q34</f>
        <v>0</v>
      </c>
      <c r="R71" s="160">
        <f>ОИ1!R34</f>
        <v>0.39234301985013315</v>
      </c>
    </row>
    <row r="72" spans="1:18" ht="15.75" x14ac:dyDescent="0.25">
      <c r="A72" s="84">
        <v>34</v>
      </c>
      <c r="B72" s="84" t="s">
        <v>34</v>
      </c>
      <c r="C72" s="160" t="e">
        <f>ОИ1!C35</f>
        <v>#REF!</v>
      </c>
      <c r="D72" s="160" t="e">
        <f>ОИ1!D35</f>
        <v>#REF!</v>
      </c>
      <c r="E72" s="160">
        <f>ОИ1!E35</f>
        <v>0</v>
      </c>
      <c r="F72" s="160">
        <f>ОИ1!F35</f>
        <v>0</v>
      </c>
      <c r="G72" s="160">
        <f>ОИ1!G35</f>
        <v>0</v>
      </c>
      <c r="H72" s="160">
        <f>ОИ1!H35</f>
        <v>0</v>
      </c>
      <c r="I72" s="160">
        <f>ОИ1!I35</f>
        <v>0</v>
      </c>
      <c r="J72" s="160">
        <f>ОИ1!J35</f>
        <v>0</v>
      </c>
      <c r="K72" s="160">
        <f>ОИ1!K35</f>
        <v>0</v>
      </c>
      <c r="L72" s="160">
        <f>ОИ1!L35</f>
        <v>0</v>
      </c>
      <c r="M72" s="160">
        <f>ОИ1!M35</f>
        <v>0</v>
      </c>
      <c r="N72" s="160">
        <f>ОИ1!N35</f>
        <v>0</v>
      </c>
      <c r="O72" s="160">
        <f>ОИ1!O35</f>
        <v>0</v>
      </c>
      <c r="P72" s="160">
        <f>ОИ1!P35</f>
        <v>0</v>
      </c>
      <c r="Q72" s="160">
        <f>ОИ1!Q35</f>
        <v>0</v>
      </c>
      <c r="R72" s="160">
        <f>ОИ1!R35</f>
        <v>0.59551244311413543</v>
      </c>
    </row>
    <row r="73" spans="1:18" ht="15.75" x14ac:dyDescent="0.25">
      <c r="A73" s="84">
        <v>35</v>
      </c>
      <c r="B73" s="84" t="s">
        <v>35</v>
      </c>
      <c r="C73" s="160" t="e">
        <f>ОИ1!C36</f>
        <v>#REF!</v>
      </c>
      <c r="D73" s="160" t="e">
        <f>ОИ1!D36</f>
        <v>#REF!</v>
      </c>
      <c r="E73" s="160">
        <f>ОИ1!E36</f>
        <v>0</v>
      </c>
      <c r="F73" s="160">
        <f>ОИ1!F36</f>
        <v>0</v>
      </c>
      <c r="G73" s="160">
        <f>ОИ1!G36</f>
        <v>0</v>
      </c>
      <c r="H73" s="160">
        <f>ОИ1!H36</f>
        <v>0</v>
      </c>
      <c r="I73" s="160">
        <f>ОИ1!I36</f>
        <v>0</v>
      </c>
      <c r="J73" s="160">
        <f>ОИ1!J36</f>
        <v>0</v>
      </c>
      <c r="K73" s="160">
        <f>ОИ1!K36</f>
        <v>0</v>
      </c>
      <c r="L73" s="160">
        <f>ОИ1!L36</f>
        <v>0</v>
      </c>
      <c r="M73" s="160">
        <f>ОИ1!M36</f>
        <v>0</v>
      </c>
      <c r="N73" s="160">
        <f>ОИ1!N36</f>
        <v>0</v>
      </c>
      <c r="O73" s="160">
        <f>ОИ1!O36</f>
        <v>0</v>
      </c>
      <c r="P73" s="160">
        <f>ОИ1!P36</f>
        <v>0</v>
      </c>
      <c r="Q73" s="160">
        <f>ОИ1!Q36</f>
        <v>0</v>
      </c>
      <c r="R73" s="160">
        <f>ОИ1!R36</f>
        <v>0.59058450442489285</v>
      </c>
    </row>
    <row r="74" spans="1:18" ht="15.75" x14ac:dyDescent="0.25">
      <c r="A74" s="84">
        <v>36</v>
      </c>
      <c r="B74" s="84" t="s">
        <v>36</v>
      </c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>
        <f>ОИ1!M37</f>
        <v>0</v>
      </c>
      <c r="N74" s="160">
        <f>ОИ1!N37</f>
        <v>0</v>
      </c>
      <c r="O74" s="160">
        <f>ОИ1!O37</f>
        <v>0</v>
      </c>
      <c r="P74" s="160">
        <f>ОИ1!P37</f>
        <v>0</v>
      </c>
      <c r="Q74" s="160">
        <f>ОИ1!Q37</f>
        <v>0</v>
      </c>
      <c r="R74" s="160">
        <f>ОИ1!R37</f>
        <v>0.21755018817467678</v>
      </c>
    </row>
    <row r="83" spans="1:18" ht="27.75" customHeight="1" x14ac:dyDescent="0.25"/>
    <row r="84" spans="1:18" ht="34.5" customHeight="1" x14ac:dyDescent="0.25"/>
    <row r="87" spans="1:18" ht="30" customHeight="1" x14ac:dyDescent="0.25"/>
    <row r="88" spans="1:18" ht="18.75" customHeight="1" x14ac:dyDescent="0.25"/>
    <row r="90" spans="1:18" ht="23.25" customHeight="1" x14ac:dyDescent="0.25"/>
    <row r="91" spans="1:18" ht="27.75" customHeight="1" x14ac:dyDescent="0.25"/>
    <row r="93" spans="1:18" ht="15.75" x14ac:dyDescent="0.25">
      <c r="A93" s="84" t="s">
        <v>0</v>
      </c>
      <c r="B93" s="84"/>
      <c r="C93" s="84">
        <v>2005</v>
      </c>
      <c r="D93" s="84">
        <v>2006</v>
      </c>
      <c r="E93" s="84">
        <v>2007</v>
      </c>
      <c r="F93" s="84">
        <v>2008</v>
      </c>
      <c r="G93" s="84">
        <v>2009</v>
      </c>
      <c r="H93" s="84">
        <v>2010</v>
      </c>
      <c r="I93" s="84">
        <v>2011</v>
      </c>
      <c r="J93" s="84">
        <v>2012</v>
      </c>
      <c r="K93" s="84">
        <v>2013</v>
      </c>
      <c r="L93" s="84">
        <v>2014</v>
      </c>
      <c r="M93" s="84">
        <v>2015</v>
      </c>
      <c r="N93" s="84">
        <v>2016</v>
      </c>
      <c r="O93" s="84">
        <v>2017</v>
      </c>
      <c r="P93" s="84">
        <v>2018</v>
      </c>
      <c r="Q93" s="84">
        <v>2019</v>
      </c>
      <c r="R93" s="84">
        <v>2020</v>
      </c>
    </row>
    <row r="94" spans="1:18" ht="15.75" x14ac:dyDescent="0.25">
      <c r="A94" s="161">
        <v>29</v>
      </c>
      <c r="B94" s="161" t="s">
        <v>29</v>
      </c>
      <c r="C94" s="155" t="e">
        <f>ОИ2!C30</f>
        <v>#REF!</v>
      </c>
      <c r="D94" s="155" t="e">
        <f>ОИ2!D30</f>
        <v>#REF!</v>
      </c>
      <c r="E94" s="155">
        <f>ОИ2!E30</f>
        <v>0</v>
      </c>
      <c r="F94" s="155">
        <f>ОИ2!F30</f>
        <v>0</v>
      </c>
      <c r="G94" s="155">
        <f>ОИ2!G30</f>
        <v>0</v>
      </c>
      <c r="H94" s="155">
        <f>ОИ2!H30</f>
        <v>0</v>
      </c>
      <c r="I94" s="155">
        <f>ОИ2!I30</f>
        <v>0</v>
      </c>
      <c r="J94" s="155">
        <f>ОИ2!J30</f>
        <v>0</v>
      </c>
      <c r="K94" s="155">
        <f>ОИ2!K30</f>
        <v>0</v>
      </c>
      <c r="L94" s="155">
        <f>ОИ2!L30</f>
        <v>0</v>
      </c>
      <c r="M94" s="155">
        <f>ОИ2!M30</f>
        <v>0</v>
      </c>
      <c r="N94" s="155">
        <f>ОИ2!N30</f>
        <v>0</v>
      </c>
      <c r="O94" s="155">
        <f>ОИ2!O30</f>
        <v>0</v>
      </c>
      <c r="P94" s="155">
        <f>ОИ2!P30</f>
        <v>0</v>
      </c>
      <c r="Q94" s="155">
        <f>ОИ2!Q30</f>
        <v>0</v>
      </c>
      <c r="R94" s="155">
        <f>ОИ2!R30</f>
        <v>8.7296082465891878E-2</v>
      </c>
    </row>
    <row r="95" spans="1:18" ht="15.75" x14ac:dyDescent="0.25">
      <c r="A95" s="161">
        <v>30</v>
      </c>
      <c r="B95" s="161" t="s">
        <v>30</v>
      </c>
      <c r="C95" s="155">
        <f>ОИ2!C31</f>
        <v>0</v>
      </c>
      <c r="D95" s="155">
        <f>ОИ2!D31</f>
        <v>0</v>
      </c>
      <c r="E95" s="155">
        <f>ОИ2!E31</f>
        <v>0</v>
      </c>
      <c r="F95" s="155">
        <f>ОИ2!F31</f>
        <v>0</v>
      </c>
      <c r="G95" s="155">
        <f>ОИ2!G31</f>
        <v>0</v>
      </c>
      <c r="H95" s="155">
        <f>ОИ2!H31</f>
        <v>0</v>
      </c>
      <c r="I95" s="155">
        <f>ОИ2!I31</f>
        <v>0</v>
      </c>
      <c r="J95" s="155">
        <f>ОИ2!J31</f>
        <v>0</v>
      </c>
      <c r="K95" s="155">
        <f>ОИ2!K31</f>
        <v>0</v>
      </c>
      <c r="L95" s="155">
        <f>ОИ2!L31</f>
        <v>0</v>
      </c>
      <c r="M95" s="155">
        <f>ОИ2!M31</f>
        <v>0</v>
      </c>
      <c r="N95" s="155">
        <f>ОИ2!N31</f>
        <v>0</v>
      </c>
      <c r="O95" s="155">
        <f>ОИ2!O31</f>
        <v>0</v>
      </c>
      <c r="P95" s="155">
        <f>ОИ2!P31</f>
        <v>0</v>
      </c>
      <c r="Q95" s="155">
        <f>ОИ2!Q31</f>
        <v>0</v>
      </c>
      <c r="R95" s="155">
        <f>ОИ2!R31</f>
        <v>4.7990422377473356E-3</v>
      </c>
    </row>
    <row r="96" spans="1:18" ht="15.75" x14ac:dyDescent="0.25">
      <c r="A96" s="161">
        <v>31</v>
      </c>
      <c r="B96" s="161" t="s">
        <v>31</v>
      </c>
      <c r="C96" s="155"/>
      <c r="D96" s="155"/>
      <c r="E96" s="155"/>
      <c r="F96" s="155"/>
      <c r="G96" s="155"/>
      <c r="H96" s="155"/>
      <c r="I96" s="155"/>
      <c r="J96" s="155"/>
      <c r="K96" s="155"/>
      <c r="L96" s="155">
        <f>ОИ2!L32</f>
        <v>0</v>
      </c>
      <c r="M96" s="155">
        <f>ОИ2!M32</f>
        <v>0</v>
      </c>
      <c r="N96" s="155">
        <f>ОИ2!N32</f>
        <v>0</v>
      </c>
      <c r="O96" s="155">
        <f>ОИ2!O32</f>
        <v>0</v>
      </c>
      <c r="P96" s="155">
        <f>ОИ2!P32</f>
        <v>0</v>
      </c>
      <c r="Q96" s="155">
        <f>ОИ2!Q32</f>
        <v>0</v>
      </c>
      <c r="R96" s="155">
        <f>ОИ2!R32</f>
        <v>0.19768585883622511</v>
      </c>
    </row>
    <row r="97" spans="1:18" ht="15.75" x14ac:dyDescent="0.25">
      <c r="A97" s="161">
        <v>32</v>
      </c>
      <c r="B97" s="161" t="s">
        <v>32</v>
      </c>
      <c r="C97" s="155" t="e">
        <f>ОИ2!C33</f>
        <v>#REF!</v>
      </c>
      <c r="D97" s="155" t="e">
        <f>ОИ2!D33</f>
        <v>#REF!</v>
      </c>
      <c r="E97" s="155">
        <f>ОИ2!E33</f>
        <v>0</v>
      </c>
      <c r="F97" s="155">
        <f>ОИ2!F33</f>
        <v>0</v>
      </c>
      <c r="G97" s="155">
        <f>ОИ2!G33</f>
        <v>0</v>
      </c>
      <c r="H97" s="155">
        <f>ОИ2!H33</f>
        <v>0</v>
      </c>
      <c r="I97" s="155">
        <f>ОИ2!I33</f>
        <v>0</v>
      </c>
      <c r="J97" s="155">
        <f>ОИ2!J33</f>
        <v>0</v>
      </c>
      <c r="K97" s="155">
        <f>ОИ2!K33</f>
        <v>0</v>
      </c>
      <c r="L97" s="155">
        <f>ОИ2!L33</f>
        <v>0</v>
      </c>
      <c r="M97" s="155">
        <f>ОИ2!M33</f>
        <v>0</v>
      </c>
      <c r="N97" s="155">
        <f>ОИ2!N33</f>
        <v>0</v>
      </c>
      <c r="O97" s="155">
        <f>ОИ2!O33</f>
        <v>0</v>
      </c>
      <c r="P97" s="155">
        <f>ОИ2!P33</f>
        <v>0</v>
      </c>
      <c r="Q97" s="155">
        <f>ОИ2!Q33</f>
        <v>0</v>
      </c>
      <c r="R97" s="155">
        <f>ОИ2!R33</f>
        <v>0.17453355406171769</v>
      </c>
    </row>
    <row r="98" spans="1:18" ht="15.75" x14ac:dyDescent="0.25">
      <c r="A98" s="161">
        <v>33</v>
      </c>
      <c r="B98" s="161" t="s">
        <v>33</v>
      </c>
      <c r="C98" s="155" t="e">
        <f>ОИ2!C34</f>
        <v>#REF!</v>
      </c>
      <c r="D98" s="155" t="e">
        <f>ОИ2!D34</f>
        <v>#REF!</v>
      </c>
      <c r="E98" s="155">
        <f>ОИ2!E34</f>
        <v>0</v>
      </c>
      <c r="F98" s="155">
        <f>ОИ2!F34</f>
        <v>0</v>
      </c>
      <c r="G98" s="155">
        <f>ОИ2!G34</f>
        <v>0</v>
      </c>
      <c r="H98" s="155">
        <f>ОИ2!H34</f>
        <v>0</v>
      </c>
      <c r="I98" s="155">
        <f>ОИ2!I34</f>
        <v>0</v>
      </c>
      <c r="J98" s="155">
        <f>ОИ2!J34</f>
        <v>0</v>
      </c>
      <c r="K98" s="155">
        <f>ОИ2!K34</f>
        <v>0</v>
      </c>
      <c r="L98" s="155">
        <f>ОИ2!L34</f>
        <v>0</v>
      </c>
      <c r="M98" s="155">
        <f>ОИ2!M34</f>
        <v>0</v>
      </c>
      <c r="N98" s="155">
        <f>ОИ2!N34</f>
        <v>0</v>
      </c>
      <c r="O98" s="155">
        <f>ОИ2!O34</f>
        <v>0</v>
      </c>
      <c r="P98" s="155">
        <f>ОИ2!P34</f>
        <v>0</v>
      </c>
      <c r="Q98" s="155">
        <f>ОИ2!Q34</f>
        <v>0</v>
      </c>
      <c r="R98" s="155">
        <f>ОИ2!R34</f>
        <v>4.450924498548952E-2</v>
      </c>
    </row>
    <row r="99" spans="1:18" ht="15.75" x14ac:dyDescent="0.25">
      <c r="A99" s="161">
        <v>34</v>
      </c>
      <c r="B99" s="161" t="s">
        <v>34</v>
      </c>
      <c r="C99" s="155" t="e">
        <f>ОИ2!C35</f>
        <v>#REF!</v>
      </c>
      <c r="D99" s="155" t="e">
        <f>ОИ2!D35</f>
        <v>#REF!</v>
      </c>
      <c r="E99" s="155">
        <f>ОИ2!E35</f>
        <v>0</v>
      </c>
      <c r="F99" s="155">
        <f>ОИ2!F35</f>
        <v>0</v>
      </c>
      <c r="G99" s="155">
        <f>ОИ2!G35</f>
        <v>0</v>
      </c>
      <c r="H99" s="155">
        <f>ОИ2!H35</f>
        <v>0</v>
      </c>
      <c r="I99" s="155">
        <f>ОИ2!I35</f>
        <v>0</v>
      </c>
      <c r="J99" s="155">
        <f>ОИ2!J35</f>
        <v>0</v>
      </c>
      <c r="K99" s="155">
        <f>ОИ2!K35</f>
        <v>0</v>
      </c>
      <c r="L99" s="155">
        <f>ОИ2!L35</f>
        <v>0</v>
      </c>
      <c r="M99" s="155">
        <f>ОИ2!M35</f>
        <v>0</v>
      </c>
      <c r="N99" s="155">
        <f>ОИ2!N35</f>
        <v>0</v>
      </c>
      <c r="O99" s="155">
        <f>ОИ2!O35</f>
        <v>0</v>
      </c>
      <c r="P99" s="155">
        <f>ОИ2!P35</f>
        <v>0</v>
      </c>
      <c r="Q99" s="155">
        <f>ОИ2!Q35</f>
        <v>0</v>
      </c>
      <c r="R99" s="155">
        <f>ОИ2!R35</f>
        <v>7.429414640853764E-2</v>
      </c>
    </row>
    <row r="100" spans="1:18" ht="15.75" x14ac:dyDescent="0.25">
      <c r="A100" s="161">
        <v>35</v>
      </c>
      <c r="B100" s="161" t="s">
        <v>35</v>
      </c>
      <c r="C100" s="155" t="e">
        <f>ОИ2!C36</f>
        <v>#REF!</v>
      </c>
      <c r="D100" s="155" t="e">
        <f>ОИ2!D36</f>
        <v>#REF!</v>
      </c>
      <c r="E100" s="155">
        <f>ОИ2!E36</f>
        <v>0</v>
      </c>
      <c r="F100" s="155">
        <f>ОИ2!F36</f>
        <v>0</v>
      </c>
      <c r="G100" s="155">
        <f>ОИ2!G36</f>
        <v>0</v>
      </c>
      <c r="H100" s="155">
        <f>ОИ2!H36</f>
        <v>0</v>
      </c>
      <c r="I100" s="155">
        <f>ОИ2!I36</f>
        <v>0</v>
      </c>
      <c r="J100" s="155">
        <f>ОИ2!J36</f>
        <v>0</v>
      </c>
      <c r="K100" s="155">
        <f>ОИ2!K36</f>
        <v>0</v>
      </c>
      <c r="L100" s="155">
        <f>ОИ2!L36</f>
        <v>0</v>
      </c>
      <c r="M100" s="155">
        <f>ОИ2!M36</f>
        <v>0</v>
      </c>
      <c r="N100" s="155">
        <f>ОИ2!N36</f>
        <v>0</v>
      </c>
      <c r="O100" s="155">
        <f>ОИ2!O36</f>
        <v>0</v>
      </c>
      <c r="P100" s="155">
        <f>ОИ2!P36</f>
        <v>0</v>
      </c>
      <c r="Q100" s="155">
        <f>ОИ2!Q36</f>
        <v>0</v>
      </c>
      <c r="R100" s="155">
        <f>ОИ2!R36</f>
        <v>0.38006582877487999</v>
      </c>
    </row>
    <row r="101" spans="1:18" ht="15.75" x14ac:dyDescent="0.25">
      <c r="A101" s="161">
        <v>36</v>
      </c>
      <c r="B101" s="161" t="s">
        <v>36</v>
      </c>
      <c r="C101" s="155"/>
      <c r="D101" s="155"/>
      <c r="E101" s="155"/>
      <c r="F101" s="155"/>
      <c r="G101" s="155"/>
      <c r="H101" s="155"/>
      <c r="I101" s="155"/>
      <c r="J101" s="155"/>
      <c r="K101" s="155"/>
      <c r="L101" s="155">
        <f>ОИ2!L37</f>
        <v>0</v>
      </c>
      <c r="M101" s="155">
        <f>ОИ2!M37</f>
        <v>0</v>
      </c>
      <c r="N101" s="155">
        <f>ОИ2!N37</f>
        <v>0</v>
      </c>
      <c r="O101" s="155">
        <f>ОИ2!O37</f>
        <v>0</v>
      </c>
      <c r="P101" s="155">
        <f>ОИ2!P37</f>
        <v>0</v>
      </c>
      <c r="Q101" s="155">
        <f>ОИ2!Q37</f>
        <v>0</v>
      </c>
      <c r="R101" s="155">
        <f>ОИ2!R37</f>
        <v>0.33081913462630358</v>
      </c>
    </row>
    <row r="110" spans="1:18" ht="57.75" customHeight="1" x14ac:dyDescent="0.25"/>
    <row r="111" spans="1:18" ht="19.5" customHeight="1" x14ac:dyDescent="0.25"/>
    <row r="112" spans="1:18" ht="20.25" customHeight="1" x14ac:dyDescent="0.25"/>
    <row r="114" spans="1:18" ht="29.25" customHeight="1" x14ac:dyDescent="0.25"/>
    <row r="123" spans="1:18" ht="15.75" x14ac:dyDescent="0.25">
      <c r="A123" s="84" t="s">
        <v>0</v>
      </c>
      <c r="B123" s="84"/>
      <c r="C123" s="84">
        <v>2005</v>
      </c>
      <c r="D123" s="84">
        <v>2006</v>
      </c>
      <c r="E123" s="84">
        <v>2007</v>
      </c>
      <c r="F123" s="84">
        <v>2008</v>
      </c>
      <c r="G123" s="84">
        <v>2009</v>
      </c>
      <c r="H123" s="84">
        <v>2010</v>
      </c>
      <c r="I123" s="84">
        <v>2011</v>
      </c>
      <c r="J123" s="84">
        <v>2012</v>
      </c>
      <c r="K123" s="84">
        <v>2013</v>
      </c>
      <c r="L123" s="84">
        <v>2014</v>
      </c>
      <c r="M123" s="84">
        <v>2015</v>
      </c>
      <c r="N123" s="84">
        <v>2016</v>
      </c>
      <c r="O123" s="84">
        <v>2017</v>
      </c>
      <c r="P123" s="84">
        <v>2018</v>
      </c>
      <c r="Q123" s="84">
        <v>2019</v>
      </c>
      <c r="R123" s="84">
        <v>2020</v>
      </c>
    </row>
    <row r="124" spans="1:18" ht="15.75" x14ac:dyDescent="0.25">
      <c r="A124" s="161">
        <v>29</v>
      </c>
      <c r="B124" s="161" t="s">
        <v>29</v>
      </c>
      <c r="C124" s="155" t="e">
        <f>ОИ3!C30</f>
        <v>#REF!</v>
      </c>
      <c r="D124" s="155" t="e">
        <f>ОИ3!D30</f>
        <v>#REF!</v>
      </c>
      <c r="E124" s="155">
        <f>ОИ3!E30</f>
        <v>0</v>
      </c>
      <c r="F124" s="155">
        <f>ОИ3!F30</f>
        <v>0</v>
      </c>
      <c r="G124" s="155">
        <f>ОИ3!G30</f>
        <v>0</v>
      </c>
      <c r="H124" s="155">
        <f>ОИ3!H30</f>
        <v>0</v>
      </c>
      <c r="I124" s="155">
        <f>ОИ3!I30</f>
        <v>0</v>
      </c>
      <c r="J124" s="155">
        <f>ОИ3!J30</f>
        <v>0</v>
      </c>
      <c r="K124" s="155">
        <f>ОИ3!K30</f>
        <v>0</v>
      </c>
      <c r="L124" s="155">
        <f>ОИ3!L30</f>
        <v>0</v>
      </c>
      <c r="M124" s="155">
        <f>ОИ3!M30</f>
        <v>0</v>
      </c>
      <c r="N124" s="155">
        <f>ОИ3!N30</f>
        <v>0</v>
      </c>
      <c r="O124" s="155">
        <f>ОИ3!O30</f>
        <v>0</v>
      </c>
      <c r="P124" s="155">
        <f>ОИ3!P30</f>
        <v>0</v>
      </c>
      <c r="Q124" s="155">
        <f>ОИ3!Q30</f>
        <v>0</v>
      </c>
      <c r="R124" s="155">
        <f>ОИ3!R30</f>
        <v>0.33936806765178568</v>
      </c>
    </row>
    <row r="125" spans="1:18" ht="15.75" x14ac:dyDescent="0.25">
      <c r="A125" s="161">
        <v>30</v>
      </c>
      <c r="B125" s="161" t="s">
        <v>30</v>
      </c>
      <c r="C125" s="155" t="e">
        <f>ОИ3!C31</f>
        <v>#REF!</v>
      </c>
      <c r="D125" s="155" t="e">
        <f>ОИ3!D31</f>
        <v>#REF!</v>
      </c>
      <c r="E125" s="155">
        <f>ОИ3!E31</f>
        <v>0</v>
      </c>
      <c r="F125" s="155">
        <f>ОИ3!F31</f>
        <v>0</v>
      </c>
      <c r="G125" s="155">
        <f>ОИ3!G31</f>
        <v>0</v>
      </c>
      <c r="H125" s="155">
        <f>ОИ3!H31</f>
        <v>0</v>
      </c>
      <c r="I125" s="155">
        <f>ОИ3!I31</f>
        <v>0</v>
      </c>
      <c r="J125" s="155">
        <f>ОИ3!J31</f>
        <v>0</v>
      </c>
      <c r="K125" s="155">
        <f>ОИ3!K31</f>
        <v>0</v>
      </c>
      <c r="L125" s="155">
        <f>ОИ3!L31</f>
        <v>0</v>
      </c>
      <c r="M125" s="155">
        <f>ОИ3!M31</f>
        <v>0</v>
      </c>
      <c r="N125" s="155">
        <f>ОИ3!N31</f>
        <v>0</v>
      </c>
      <c r="O125" s="155">
        <f>ОИ3!O31</f>
        <v>0</v>
      </c>
      <c r="P125" s="155">
        <f>ОИ3!P31</f>
        <v>0</v>
      </c>
      <c r="Q125" s="155">
        <f>ОИ3!Q31</f>
        <v>0</v>
      </c>
      <c r="R125" s="155">
        <f>ОИ3!R31</f>
        <v>9.9928196941293249E-2</v>
      </c>
    </row>
    <row r="126" spans="1:18" ht="15.75" x14ac:dyDescent="0.25">
      <c r="A126" s="161">
        <v>31</v>
      </c>
      <c r="B126" s="161" t="s">
        <v>31</v>
      </c>
      <c r="C126" s="155"/>
      <c r="D126" s="155"/>
      <c r="E126" s="155"/>
      <c r="F126" s="155"/>
      <c r="G126" s="155"/>
      <c r="H126" s="155"/>
      <c r="I126" s="155"/>
      <c r="J126" s="155"/>
      <c r="K126" s="155"/>
      <c r="L126" s="155">
        <f>ОИ3!L32</f>
        <v>0</v>
      </c>
      <c r="M126" s="155">
        <f>ОИ3!M32</f>
        <v>0</v>
      </c>
      <c r="N126" s="155">
        <f>ОИ3!N32</f>
        <v>0</v>
      </c>
      <c r="O126" s="155">
        <f>ОИ3!O32</f>
        <v>0</v>
      </c>
      <c r="P126" s="155">
        <f>ОИ3!P32</f>
        <v>0</v>
      </c>
      <c r="Q126" s="155">
        <f>ОИ3!Q32</f>
        <v>0</v>
      </c>
      <c r="R126" s="155">
        <f>ОИ3!R32</f>
        <v>0.34143794986721104</v>
      </c>
    </row>
    <row r="127" spans="1:18" ht="15.75" x14ac:dyDescent="0.25">
      <c r="A127" s="161">
        <v>32</v>
      </c>
      <c r="B127" s="161" t="s">
        <v>32</v>
      </c>
      <c r="C127" s="155" t="e">
        <f>ОИ3!C33</f>
        <v>#REF!</v>
      </c>
      <c r="D127" s="155" t="e">
        <f>ОИ3!D33</f>
        <v>#REF!</v>
      </c>
      <c r="E127" s="155">
        <f>ОИ3!E33</f>
        <v>0</v>
      </c>
      <c r="F127" s="155">
        <f>ОИ3!F33</f>
        <v>0</v>
      </c>
      <c r="G127" s="155">
        <f>ОИ3!G33</f>
        <v>0</v>
      </c>
      <c r="H127" s="155">
        <f>ОИ3!H33</f>
        <v>0</v>
      </c>
      <c r="I127" s="155">
        <f>ОИ3!I33</f>
        <v>0</v>
      </c>
      <c r="J127" s="155">
        <f>ОИ3!J33</f>
        <v>0</v>
      </c>
      <c r="K127" s="155">
        <f>ОИ3!K33</f>
        <v>0</v>
      </c>
      <c r="L127" s="155">
        <f>ОИ3!L33</f>
        <v>0</v>
      </c>
      <c r="M127" s="155">
        <f>ОИ3!M33</f>
        <v>0</v>
      </c>
      <c r="N127" s="155">
        <f>ОИ3!N33</f>
        <v>0</v>
      </c>
      <c r="O127" s="155">
        <f>ОИ3!O33</f>
        <v>0</v>
      </c>
      <c r="P127" s="155">
        <f>ОИ3!P33</f>
        <v>0</v>
      </c>
      <c r="Q127" s="155">
        <f>ОИ3!Q33</f>
        <v>0</v>
      </c>
      <c r="R127" s="155">
        <f>ОИ3!R33</f>
        <v>0.57137080756760528</v>
      </c>
    </row>
    <row r="128" spans="1:18" ht="15.75" x14ac:dyDescent="0.25">
      <c r="A128" s="161">
        <v>33</v>
      </c>
      <c r="B128" s="161" t="s">
        <v>33</v>
      </c>
      <c r="C128" s="155" t="e">
        <f>ОИ3!C34</f>
        <v>#REF!</v>
      </c>
      <c r="D128" s="155" t="e">
        <f>ОИ3!D34</f>
        <v>#REF!</v>
      </c>
      <c r="E128" s="155">
        <f>ОИ3!E34</f>
        <v>0</v>
      </c>
      <c r="F128" s="155">
        <f>ОИ3!F34</f>
        <v>0</v>
      </c>
      <c r="G128" s="155">
        <f>ОИ3!G34</f>
        <v>0</v>
      </c>
      <c r="H128" s="155">
        <f>ОИ3!H34</f>
        <v>0</v>
      </c>
      <c r="I128" s="155">
        <f>ОИ3!I34</f>
        <v>0</v>
      </c>
      <c r="J128" s="155">
        <f>ОИ3!J34</f>
        <v>0</v>
      </c>
      <c r="K128" s="155">
        <f>ОИ3!K34</f>
        <v>0</v>
      </c>
      <c r="L128" s="155">
        <f>ОИ3!L34</f>
        <v>0</v>
      </c>
      <c r="M128" s="155">
        <f>ОИ3!M34</f>
        <v>0</v>
      </c>
      <c r="N128" s="155">
        <f>ОИ3!N34</f>
        <v>0</v>
      </c>
      <c r="O128" s="155">
        <f>ОИ3!O34</f>
        <v>0</v>
      </c>
      <c r="P128" s="155">
        <f>ОИ3!P34</f>
        <v>0</v>
      </c>
      <c r="Q128" s="155">
        <f>ОИ3!Q34</f>
        <v>0</v>
      </c>
      <c r="R128" s="155">
        <f>ОИ3!R34</f>
        <v>0.3689867284094408</v>
      </c>
    </row>
    <row r="129" spans="1:18" ht="15.75" x14ac:dyDescent="0.25">
      <c r="A129" s="161">
        <v>34</v>
      </c>
      <c r="B129" s="161" t="s">
        <v>34</v>
      </c>
      <c r="C129" s="155" t="e">
        <f>ОИ3!C35</f>
        <v>#REF!</v>
      </c>
      <c r="D129" s="155" t="e">
        <f>ОИ3!D35</f>
        <v>#REF!</v>
      </c>
      <c r="E129" s="155">
        <f>ОИ3!E35</f>
        <v>0</v>
      </c>
      <c r="F129" s="155">
        <f>ОИ3!F35</f>
        <v>0</v>
      </c>
      <c r="G129" s="155">
        <f>ОИ3!G35</f>
        <v>0</v>
      </c>
      <c r="H129" s="155">
        <f>ОИ3!H35</f>
        <v>0</v>
      </c>
      <c r="I129" s="155">
        <f>ОИ3!I35</f>
        <v>0</v>
      </c>
      <c r="J129" s="155">
        <f>ОИ3!J35</f>
        <v>0</v>
      </c>
      <c r="K129" s="155">
        <f>ОИ3!K35</f>
        <v>0</v>
      </c>
      <c r="L129" s="155">
        <f>ОИ3!L35</f>
        <v>0</v>
      </c>
      <c r="M129" s="155">
        <f>ОИ3!M35</f>
        <v>0</v>
      </c>
      <c r="N129" s="155">
        <f>ОИ3!N35</f>
        <v>0</v>
      </c>
      <c r="O129" s="155">
        <f>ОИ3!O35</f>
        <v>0</v>
      </c>
      <c r="P129" s="155">
        <f>ОИ3!P35</f>
        <v>0</v>
      </c>
      <c r="Q129" s="155">
        <f>ОИ3!Q35</f>
        <v>0</v>
      </c>
      <c r="R129" s="155">
        <f>ОИ3!R35</f>
        <v>0.35039119852090383</v>
      </c>
    </row>
    <row r="130" spans="1:18" ht="15.75" x14ac:dyDescent="0.25">
      <c r="A130" s="161">
        <v>35</v>
      </c>
      <c r="B130" s="161" t="s">
        <v>35</v>
      </c>
      <c r="C130" s="155" t="e">
        <f>ОИ3!C36</f>
        <v>#REF!</v>
      </c>
      <c r="D130" s="155" t="e">
        <f>ОИ3!D36</f>
        <v>#REF!</v>
      </c>
      <c r="E130" s="155">
        <f>ОИ3!E36</f>
        <v>0</v>
      </c>
      <c r="F130" s="155">
        <f>ОИ3!F36</f>
        <v>0</v>
      </c>
      <c r="G130" s="155">
        <f>ОИ3!G36</f>
        <v>0</v>
      </c>
      <c r="H130" s="155">
        <f>ОИ3!H36</f>
        <v>0</v>
      </c>
      <c r="I130" s="155">
        <f>ОИ3!I36</f>
        <v>0</v>
      </c>
      <c r="J130" s="155">
        <f>ОИ3!J36</f>
        <v>0</v>
      </c>
      <c r="K130" s="155">
        <f>ОИ3!K36</f>
        <v>0</v>
      </c>
      <c r="L130" s="155">
        <f>ОИ3!L36</f>
        <v>0</v>
      </c>
      <c r="M130" s="155">
        <f>ОИ3!M36</f>
        <v>0</v>
      </c>
      <c r="N130" s="155">
        <f>ОИ3!N36</f>
        <v>0</v>
      </c>
      <c r="O130" s="155">
        <f>ОИ3!O36</f>
        <v>0</v>
      </c>
      <c r="P130" s="155">
        <f>ОИ3!P36</f>
        <v>0</v>
      </c>
      <c r="Q130" s="155">
        <f>ОИ3!Q36</f>
        <v>0</v>
      </c>
      <c r="R130" s="155">
        <f>ОИ3!R36</f>
        <v>0.45150552400619698</v>
      </c>
    </row>
    <row r="131" spans="1:18" ht="15.75" x14ac:dyDescent="0.25">
      <c r="A131" s="161">
        <v>36</v>
      </c>
      <c r="B131" s="161" t="s">
        <v>36</v>
      </c>
      <c r="C131" s="155"/>
      <c r="D131" s="155"/>
      <c r="E131" s="155"/>
      <c r="F131" s="155"/>
      <c r="G131" s="155"/>
      <c r="H131" s="155"/>
      <c r="I131" s="155"/>
      <c r="J131" s="155"/>
      <c r="K131" s="155"/>
      <c r="L131" s="155">
        <f>ОИ3!L37</f>
        <v>0</v>
      </c>
      <c r="M131" s="155">
        <f>ОИ3!M37</f>
        <v>0</v>
      </c>
      <c r="N131" s="155">
        <f>ОИ3!N37</f>
        <v>0</v>
      </c>
      <c r="O131" s="155">
        <f>ОИ3!O37</f>
        <v>0</v>
      </c>
      <c r="P131" s="155">
        <f>ОИ3!P37</f>
        <v>0</v>
      </c>
      <c r="Q131" s="155">
        <f>ОИ3!Q37</f>
        <v>0</v>
      </c>
      <c r="R131" s="155">
        <f>ОИ3!R37</f>
        <v>0.45035239772564312</v>
      </c>
    </row>
    <row r="138" spans="1:18" ht="25.5" customHeight="1" x14ac:dyDescent="0.25"/>
    <row r="139" spans="1:18" ht="25.5" customHeight="1" x14ac:dyDescent="0.25"/>
    <row r="140" spans="1:18" ht="25.5" customHeight="1" x14ac:dyDescent="0.25"/>
    <row r="141" spans="1:18" ht="32.25" customHeight="1" x14ac:dyDescent="0.25"/>
    <row r="142" spans="1:18" ht="40.5" customHeight="1" x14ac:dyDescent="0.25"/>
    <row r="152" spans="1:18" ht="15.75" x14ac:dyDescent="0.25">
      <c r="A152" s="84" t="s">
        <v>0</v>
      </c>
      <c r="B152" s="84"/>
      <c r="C152" s="84">
        <v>2005</v>
      </c>
      <c r="D152" s="84">
        <v>2006</v>
      </c>
      <c r="E152" s="84">
        <v>2007</v>
      </c>
      <c r="F152" s="84">
        <v>2008</v>
      </c>
      <c r="G152" s="84">
        <v>2009</v>
      </c>
      <c r="H152" s="84">
        <v>2010</v>
      </c>
      <c r="I152" s="84">
        <v>2011</v>
      </c>
      <c r="J152" s="84">
        <v>2012</v>
      </c>
      <c r="K152" s="84">
        <v>2013</v>
      </c>
      <c r="L152" s="84">
        <v>2014</v>
      </c>
      <c r="M152" s="84">
        <v>2015</v>
      </c>
      <c r="N152" s="84">
        <v>2016</v>
      </c>
      <c r="O152" s="84">
        <v>2017</v>
      </c>
      <c r="P152" s="84">
        <v>2018</v>
      </c>
      <c r="Q152" s="84">
        <v>2019</v>
      </c>
      <c r="R152" s="84">
        <v>2020</v>
      </c>
    </row>
    <row r="153" spans="1:18" ht="15.75" x14ac:dyDescent="0.25">
      <c r="A153" s="84">
        <v>29</v>
      </c>
      <c r="B153" s="84" t="s">
        <v>29</v>
      </c>
      <c r="C153" s="160" t="e">
        <f>ОИ4!C30</f>
        <v>#REF!</v>
      </c>
      <c r="D153" s="160" t="e">
        <f>ОИ4!D30</f>
        <v>#REF!</v>
      </c>
      <c r="E153" s="160">
        <f>ОИ4!E30</f>
        <v>0</v>
      </c>
      <c r="F153" s="160">
        <f>ОИ4!F30</f>
        <v>0</v>
      </c>
      <c r="G153" s="160">
        <f>ОИ4!G30</f>
        <v>0</v>
      </c>
      <c r="H153" s="160">
        <f>ОИ4!H30</f>
        <v>0</v>
      </c>
      <c r="I153" s="160">
        <f>ОИ4!I30</f>
        <v>0</v>
      </c>
      <c r="J153" s="160">
        <f>ОИ4!J30</f>
        <v>0</v>
      </c>
      <c r="K153" s="160">
        <f>ОИ4!K30</f>
        <v>0</v>
      </c>
      <c r="L153" s="160">
        <f>ОИ4!L30</f>
        <v>0</v>
      </c>
      <c r="M153" s="160">
        <f>ОИ4!M30</f>
        <v>0</v>
      </c>
      <c r="N153" s="160">
        <f>ОИ4!N30</f>
        <v>0</v>
      </c>
      <c r="O153" s="160">
        <f>ОИ4!O30</f>
        <v>0</v>
      </c>
      <c r="P153" s="160">
        <f>ОИ4!P30</f>
        <v>0</v>
      </c>
      <c r="Q153" s="160">
        <f>ОИ4!Q30</f>
        <v>0</v>
      </c>
      <c r="R153" s="160">
        <f>ОИ4!R30</f>
        <v>0.49236158283181974</v>
      </c>
    </row>
    <row r="154" spans="1:18" ht="15.75" x14ac:dyDescent="0.25">
      <c r="A154" s="84">
        <v>30</v>
      </c>
      <c r="B154" s="84" t="s">
        <v>30</v>
      </c>
      <c r="C154" s="160" t="e">
        <f>ОИ4!C31</f>
        <v>#REF!</v>
      </c>
      <c r="D154" s="160" t="e">
        <f>ОИ4!D31</f>
        <v>#REF!</v>
      </c>
      <c r="E154" s="160">
        <f>ОИ4!E31</f>
        <v>0</v>
      </c>
      <c r="F154" s="160">
        <f>ОИ4!F31</f>
        <v>0</v>
      </c>
      <c r="G154" s="160">
        <f>ОИ4!G31</f>
        <v>0</v>
      </c>
      <c r="H154" s="160">
        <f>ОИ4!H31</f>
        <v>0</v>
      </c>
      <c r="I154" s="160">
        <f>ОИ4!I31</f>
        <v>0</v>
      </c>
      <c r="J154" s="160">
        <f>ОИ4!J31</f>
        <v>0</v>
      </c>
      <c r="K154" s="160">
        <f>ОИ4!K31</f>
        <v>0</v>
      </c>
      <c r="L154" s="160">
        <f>ОИ4!L31</f>
        <v>0</v>
      </c>
      <c r="M154" s="160">
        <f>ОИ4!M31</f>
        <v>0</v>
      </c>
      <c r="N154" s="160">
        <f>ОИ4!N31</f>
        <v>0</v>
      </c>
      <c r="O154" s="160">
        <f>ОИ4!O31</f>
        <v>0</v>
      </c>
      <c r="P154" s="160">
        <f>ОИ4!P31</f>
        <v>0</v>
      </c>
      <c r="Q154" s="160">
        <f>ОИ4!Q31</f>
        <v>0</v>
      </c>
      <c r="R154" s="160">
        <f>ОИ4!R31</f>
        <v>0.35116554836291641</v>
      </c>
    </row>
    <row r="155" spans="1:18" ht="15.75" x14ac:dyDescent="0.25">
      <c r="A155" s="84">
        <v>31</v>
      </c>
      <c r="B155" s="84" t="s">
        <v>31</v>
      </c>
      <c r="C155" s="160"/>
      <c r="D155" s="160"/>
      <c r="E155" s="160"/>
      <c r="F155" s="160"/>
      <c r="G155" s="160"/>
      <c r="H155" s="160"/>
      <c r="I155" s="160"/>
      <c r="J155" s="160"/>
      <c r="K155" s="160"/>
      <c r="L155" s="160">
        <f>ОИ4!L32</f>
        <v>0</v>
      </c>
      <c r="M155" s="160">
        <f>ОИ4!M32</f>
        <v>0</v>
      </c>
      <c r="N155" s="160">
        <f>ОИ4!N32</f>
        <v>0</v>
      </c>
      <c r="O155" s="160">
        <f>ОИ4!O32</f>
        <v>0</v>
      </c>
      <c r="P155" s="160">
        <f>ОИ4!P32</f>
        <v>0</v>
      </c>
      <c r="Q155" s="160">
        <f>ОИ4!Q32</f>
        <v>0</v>
      </c>
      <c r="R155" s="160">
        <f>ОИ4!R32</f>
        <v>0.41300173888542896</v>
      </c>
    </row>
    <row r="156" spans="1:18" ht="15.75" x14ac:dyDescent="0.25">
      <c r="A156" s="84">
        <v>32</v>
      </c>
      <c r="B156" s="84" t="s">
        <v>32</v>
      </c>
      <c r="C156" s="160" t="e">
        <f>ОИ4!C33</f>
        <v>#REF!</v>
      </c>
      <c r="D156" s="160" t="e">
        <f>ОИ4!D33</f>
        <v>#REF!</v>
      </c>
      <c r="E156" s="160">
        <f>ОИ4!E33</f>
        <v>0</v>
      </c>
      <c r="F156" s="160">
        <f>ОИ4!F33</f>
        <v>0</v>
      </c>
      <c r="G156" s="160">
        <f>ОИ4!G33</f>
        <v>0</v>
      </c>
      <c r="H156" s="160">
        <f>ОИ4!H33</f>
        <v>0</v>
      </c>
      <c r="I156" s="160">
        <f>ОИ4!I33</f>
        <v>0</v>
      </c>
      <c r="J156" s="160">
        <f>ОИ4!J33</f>
        <v>0</v>
      </c>
      <c r="K156" s="160">
        <f>ОИ4!K33</f>
        <v>0</v>
      </c>
      <c r="L156" s="160">
        <f>ОИ4!L33</f>
        <v>0</v>
      </c>
      <c r="M156" s="160">
        <f>ОИ4!M33</f>
        <v>0</v>
      </c>
      <c r="N156" s="160">
        <f>ОИ4!N33</f>
        <v>0</v>
      </c>
      <c r="O156" s="160">
        <f>ОИ4!O33</f>
        <v>0</v>
      </c>
      <c r="P156" s="160">
        <f>ОИ4!P33</f>
        <v>0</v>
      </c>
      <c r="Q156" s="160">
        <f>ОИ4!Q33</f>
        <v>0</v>
      </c>
      <c r="R156" s="160">
        <f>ОИ4!R33</f>
        <v>0.52932418426078154</v>
      </c>
    </row>
    <row r="157" spans="1:18" ht="15.75" x14ac:dyDescent="0.25">
      <c r="A157" s="84">
        <v>33</v>
      </c>
      <c r="B157" s="84" t="s">
        <v>33</v>
      </c>
      <c r="C157" s="160" t="e">
        <f>ОИ4!C34</f>
        <v>#REF!</v>
      </c>
      <c r="D157" s="160" t="e">
        <f>ОИ4!D34</f>
        <v>#REF!</v>
      </c>
      <c r="E157" s="160">
        <f>ОИ4!E34</f>
        <v>0</v>
      </c>
      <c r="F157" s="160">
        <f>ОИ4!F34</f>
        <v>0</v>
      </c>
      <c r="G157" s="160">
        <f>ОИ4!G34</f>
        <v>0</v>
      </c>
      <c r="H157" s="160">
        <f>ОИ4!H34</f>
        <v>0</v>
      </c>
      <c r="I157" s="160">
        <f>ОИ4!I34</f>
        <v>0</v>
      </c>
      <c r="J157" s="160">
        <f>ОИ4!J34</f>
        <v>0</v>
      </c>
      <c r="K157" s="160">
        <f>ОИ4!K34</f>
        <v>0</v>
      </c>
      <c r="L157" s="160">
        <f>ОИ4!L34</f>
        <v>0</v>
      </c>
      <c r="M157" s="160">
        <f>ОИ4!M34</f>
        <v>0</v>
      </c>
      <c r="N157" s="160">
        <f>ОИ4!N34</f>
        <v>0</v>
      </c>
      <c r="O157" s="160">
        <f>ОИ4!O34</f>
        <v>0</v>
      </c>
      <c r="P157" s="160">
        <f>ОИ4!P34</f>
        <v>0</v>
      </c>
      <c r="Q157" s="160">
        <f>ОИ4!Q34</f>
        <v>0</v>
      </c>
      <c r="R157" s="160">
        <f>ОИ4!R34</f>
        <v>0.38592372854762358</v>
      </c>
    </row>
    <row r="158" spans="1:18" ht="15.75" x14ac:dyDescent="0.25">
      <c r="A158" s="84">
        <v>34</v>
      </c>
      <c r="B158" s="84" t="s">
        <v>34</v>
      </c>
      <c r="C158" s="160" t="e">
        <f>ОИ4!C35</f>
        <v>#REF!</v>
      </c>
      <c r="D158" s="160" t="e">
        <f>ОИ4!D35</f>
        <v>#REF!</v>
      </c>
      <c r="E158" s="160">
        <f>ОИ4!E35</f>
        <v>0</v>
      </c>
      <c r="F158" s="160">
        <f>ОИ4!F35</f>
        <v>0</v>
      </c>
      <c r="G158" s="160">
        <f>ОИ4!G35</f>
        <v>0</v>
      </c>
      <c r="H158" s="160">
        <f>ОИ4!H35</f>
        <v>0</v>
      </c>
      <c r="I158" s="160">
        <f>ОИ4!I35</f>
        <v>0</v>
      </c>
      <c r="J158" s="160">
        <f>ОИ4!J35</f>
        <v>0</v>
      </c>
      <c r="K158" s="160">
        <f>ОИ4!K35</f>
        <v>0</v>
      </c>
      <c r="L158" s="160">
        <f>ОИ4!L35</f>
        <v>0</v>
      </c>
      <c r="M158" s="160">
        <f>ОИ4!M35</f>
        <v>0</v>
      </c>
      <c r="N158" s="160">
        <f>ОИ4!N35</f>
        <v>0</v>
      </c>
      <c r="O158" s="160">
        <f>ОИ4!O35</f>
        <v>0</v>
      </c>
      <c r="P158" s="160">
        <f>ОИ4!P35</f>
        <v>0</v>
      </c>
      <c r="Q158" s="160">
        <f>ОИ4!Q35</f>
        <v>0</v>
      </c>
      <c r="R158" s="160">
        <f>ОИ4!R35</f>
        <v>0.39912967290993512</v>
      </c>
    </row>
    <row r="159" spans="1:18" ht="15.75" x14ac:dyDescent="0.25">
      <c r="A159" s="84">
        <v>35</v>
      </c>
      <c r="B159" s="84" t="s">
        <v>35</v>
      </c>
      <c r="C159" s="160" t="e">
        <f>ОИ4!C36</f>
        <v>#REF!</v>
      </c>
      <c r="D159" s="160" t="e">
        <f>ОИ4!D36</f>
        <v>#REF!</v>
      </c>
      <c r="E159" s="160">
        <f>ОИ4!E36</f>
        <v>0</v>
      </c>
      <c r="F159" s="160">
        <f>ОИ4!F36</f>
        <v>0</v>
      </c>
      <c r="G159" s="160">
        <f>ОИ4!G36</f>
        <v>0</v>
      </c>
      <c r="H159" s="160">
        <f>ОИ4!H36</f>
        <v>0</v>
      </c>
      <c r="I159" s="160">
        <f>ОИ4!I36</f>
        <v>0</v>
      </c>
      <c r="J159" s="160">
        <f>ОИ4!J36</f>
        <v>0</v>
      </c>
      <c r="K159" s="160">
        <f>ОИ4!K36</f>
        <v>0</v>
      </c>
      <c r="L159" s="160">
        <f>ОИ4!L36</f>
        <v>0</v>
      </c>
      <c r="M159" s="160">
        <f>ОИ4!M36</f>
        <v>0</v>
      </c>
      <c r="N159" s="160">
        <f>ОИ4!N36</f>
        <v>0</v>
      </c>
      <c r="O159" s="160">
        <f>ОИ4!O36</f>
        <v>0</v>
      </c>
      <c r="P159" s="160">
        <f>ОИ4!P36</f>
        <v>0</v>
      </c>
      <c r="Q159" s="160">
        <f>ОИ4!Q36</f>
        <v>0</v>
      </c>
      <c r="R159" s="160">
        <f>ОИ4!R36</f>
        <v>0.51696628722998794</v>
      </c>
    </row>
    <row r="160" spans="1:18" ht="15.75" x14ac:dyDescent="0.25">
      <c r="A160" s="84">
        <v>36</v>
      </c>
      <c r="B160" s="84" t="s">
        <v>36</v>
      </c>
      <c r="C160" s="160"/>
      <c r="D160" s="160"/>
      <c r="E160" s="160"/>
      <c r="F160" s="160"/>
      <c r="G160" s="160"/>
      <c r="H160" s="160"/>
      <c r="I160" s="160"/>
      <c r="J160" s="160"/>
      <c r="K160" s="160"/>
      <c r="L160" s="160">
        <f>ОИ4!L37</f>
        <v>0</v>
      </c>
      <c r="M160" s="160">
        <f>ОИ4!M37</f>
        <v>0</v>
      </c>
      <c r="N160" s="160">
        <f>ОИ4!N37</f>
        <v>0</v>
      </c>
      <c r="O160" s="160">
        <f>ОИ4!O37</f>
        <v>0</v>
      </c>
      <c r="P160" s="160">
        <f>ОИ4!P37</f>
        <v>0</v>
      </c>
      <c r="Q160" s="160">
        <f>ОИ4!Q37</f>
        <v>0</v>
      </c>
      <c r="R160" s="160">
        <f>ОИ4!R37</f>
        <v>0.49942823761296035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43"/>
  <sheetViews>
    <sheetView topLeftCell="A130" zoomScale="70" zoomScaleNormal="70" workbookViewId="0">
      <selection activeCell="H174" sqref="H174"/>
    </sheetView>
  </sheetViews>
  <sheetFormatPr defaultRowHeight="15" x14ac:dyDescent="0.25"/>
  <cols>
    <col min="2" max="2" width="38" customWidth="1"/>
    <col min="3" max="3" width="16.42578125" customWidth="1"/>
    <col min="4" max="4" width="14.85546875" customWidth="1"/>
    <col min="5" max="5" width="15.42578125" customWidth="1"/>
    <col min="6" max="18" width="11.85546875" bestFit="1" customWidth="1"/>
  </cols>
  <sheetData>
    <row r="1" spans="1:5" ht="63" x14ac:dyDescent="0.25">
      <c r="A1" s="85" t="s">
        <v>0</v>
      </c>
      <c r="B1" s="84" t="s">
        <v>83</v>
      </c>
      <c r="C1" s="159" t="s">
        <v>202</v>
      </c>
      <c r="D1" s="159" t="s">
        <v>203</v>
      </c>
      <c r="E1" s="159" t="s">
        <v>204</v>
      </c>
    </row>
    <row r="2" spans="1:5" ht="17.25" customHeight="1" x14ac:dyDescent="0.25">
      <c r="A2" s="85">
        <v>37</v>
      </c>
      <c r="B2" s="84" t="s">
        <v>37</v>
      </c>
      <c r="C2" s="151">
        <f>'13.1н'!B38</f>
        <v>0.26415367798854433</v>
      </c>
      <c r="D2" s="151">
        <f>'13.2н'!B38</f>
        <v>0.23693685855447963</v>
      </c>
      <c r="E2" s="151">
        <f>'13.3н'!B38</f>
        <v>9.8432235575959589E-3</v>
      </c>
    </row>
    <row r="3" spans="1:5" ht="15.75" x14ac:dyDescent="0.25">
      <c r="A3" s="85">
        <v>38</v>
      </c>
      <c r="B3" s="84" t="s">
        <v>38</v>
      </c>
      <c r="C3" s="151">
        <f>'13.1н'!B39</f>
        <v>0.29645471449246308</v>
      </c>
      <c r="D3" s="151">
        <f>'13.2н'!B39</f>
        <v>2.3169827879275719E-2</v>
      </c>
      <c r="E3" s="151">
        <f>'13.3н'!B39</f>
        <v>4.954102688027116E-5</v>
      </c>
    </row>
    <row r="4" spans="1:5" ht="15.75" x14ac:dyDescent="0.25">
      <c r="A4" s="85">
        <v>39</v>
      </c>
      <c r="B4" s="84" t="s">
        <v>42</v>
      </c>
      <c r="C4" s="151">
        <f>'13.1н'!B40</f>
        <v>0.36987574141201368</v>
      </c>
      <c r="D4" s="151">
        <f>'13.2н'!B40</f>
        <v>0.46562548287568983</v>
      </c>
      <c r="E4" s="151">
        <f>'13.3н'!B40</f>
        <v>9.0196387441356968E-2</v>
      </c>
    </row>
    <row r="5" spans="1:5" ht="15.75" x14ac:dyDescent="0.25">
      <c r="A5" s="85">
        <v>40</v>
      </c>
      <c r="B5" s="84" t="s">
        <v>39</v>
      </c>
      <c r="C5" s="151">
        <f>'13.1н'!B41</f>
        <v>0.44325693314317793</v>
      </c>
      <c r="D5" s="151">
        <f>'13.2н'!B41</f>
        <v>0.48634965667245489</v>
      </c>
      <c r="E5" s="151">
        <f>'13.3н'!B41</f>
        <v>4.6419106077915349E-2</v>
      </c>
    </row>
    <row r="6" spans="1:5" ht="15.75" x14ac:dyDescent="0.25">
      <c r="A6" s="85">
        <v>41</v>
      </c>
      <c r="B6" s="84" t="s">
        <v>43</v>
      </c>
      <c r="C6" s="151">
        <f>'13.1н'!B42</f>
        <v>0.40399122526891901</v>
      </c>
      <c r="D6" s="151">
        <f>'13.2н'!B42</f>
        <v>0.54185606415587373</v>
      </c>
      <c r="E6" s="151">
        <f>'13.3н'!B42</f>
        <v>0.17535989340349503</v>
      </c>
    </row>
    <row r="7" spans="1:5" ht="15.75" x14ac:dyDescent="0.25">
      <c r="A7" s="85">
        <v>42</v>
      </c>
      <c r="B7" s="84" t="s">
        <v>40</v>
      </c>
      <c r="C7" s="151">
        <f>'13.1н'!B43</f>
        <v>0.30479742933960191</v>
      </c>
      <c r="D7" s="151">
        <f>'13.2н'!B43</f>
        <v>0.11155512778087323</v>
      </c>
      <c r="E7" s="151">
        <f>'13.3н'!B43</f>
        <v>1.364967551697172E-3</v>
      </c>
    </row>
    <row r="8" spans="1:5" ht="15.75" x14ac:dyDescent="0.25">
      <c r="A8" s="85">
        <v>43</v>
      </c>
      <c r="B8" s="84" t="s">
        <v>41</v>
      </c>
      <c r="C8" s="151">
        <f>'13.1н'!B44</f>
        <v>0.50955050215664954</v>
      </c>
      <c r="D8" s="151">
        <f>'13.2н'!B44</f>
        <v>0.62107453465147877</v>
      </c>
      <c r="E8" s="151">
        <f>'13.3н'!B44</f>
        <v>0.33701604313853978</v>
      </c>
    </row>
    <row r="17" spans="1:5" ht="15.75" thickBot="1" x14ac:dyDescent="0.3"/>
    <row r="18" spans="1:5" ht="60.75" thickBot="1" x14ac:dyDescent="0.3">
      <c r="A18" s="85" t="s">
        <v>0</v>
      </c>
      <c r="B18" s="84" t="s">
        <v>83</v>
      </c>
      <c r="C18" s="54" t="s">
        <v>206</v>
      </c>
      <c r="D18" s="54" t="s">
        <v>104</v>
      </c>
      <c r="E18" s="54" t="s">
        <v>106</v>
      </c>
    </row>
    <row r="19" spans="1:5" ht="15.75" x14ac:dyDescent="0.25">
      <c r="A19" s="85">
        <v>37</v>
      </c>
      <c r="B19" s="84" t="s">
        <v>37</v>
      </c>
      <c r="C19" s="151">
        <f>'14.1н'!B38</f>
        <v>1.835484701657164E-2</v>
      </c>
      <c r="D19" s="151">
        <f>'14.2н'!B38</f>
        <v>4.2304616840200511E-3</v>
      </c>
      <c r="E19" s="151">
        <f>'14.3н'!B38</f>
        <v>2.644467410832597E-6</v>
      </c>
    </row>
    <row r="20" spans="1:5" ht="15.75" x14ac:dyDescent="0.25">
      <c r="A20" s="85">
        <v>38</v>
      </c>
      <c r="B20" s="84" t="s">
        <v>38</v>
      </c>
      <c r="C20" s="151">
        <f>'14.1н'!B39</f>
        <v>2.8566283742600425E-4</v>
      </c>
      <c r="D20" s="151">
        <f>'14.2н'!B39</f>
        <v>5.1426997680037508E-2</v>
      </c>
      <c r="E20" s="151">
        <f>'14.3н'!B39</f>
        <v>2.1756023267540905E-2</v>
      </c>
    </row>
    <row r="21" spans="1:5" ht="15.75" x14ac:dyDescent="0.25">
      <c r="A21" s="85">
        <v>39</v>
      </c>
      <c r="B21" s="84" t="s">
        <v>42</v>
      </c>
      <c r="C21" s="151">
        <f>'14.1н'!B40</f>
        <v>0.20139332526104747</v>
      </c>
      <c r="D21" s="151">
        <f>'14.2н'!B40</f>
        <v>2.1443938816278332E-2</v>
      </c>
      <c r="E21" s="151">
        <f>'14.3н'!B40</f>
        <v>2.2469164232303091E-8</v>
      </c>
    </row>
    <row r="22" spans="1:5" ht="15.75" x14ac:dyDescent="0.25">
      <c r="A22" s="85">
        <v>40</v>
      </c>
      <c r="B22" s="84" t="s">
        <v>39</v>
      </c>
      <c r="C22" s="151">
        <f>'14.1н'!B41</f>
        <v>0.12051308158401169</v>
      </c>
      <c r="D22" s="151">
        <f>'14.2н'!B41</f>
        <v>2.2050308689840065E-9</v>
      </c>
      <c r="E22" s="151">
        <f>'14.3н'!B41</f>
        <v>1.1416392889224314E-10</v>
      </c>
    </row>
    <row r="23" spans="1:5" ht="15.75" x14ac:dyDescent="0.25">
      <c r="A23" s="85">
        <v>41</v>
      </c>
      <c r="B23" s="84" t="s">
        <v>43</v>
      </c>
      <c r="C23" s="151">
        <f>'14.1н'!B42</f>
        <v>1.5718645235688621E-2</v>
      </c>
      <c r="D23" s="151">
        <f>'14.2н'!B42</f>
        <v>2.4143504112432244E-3</v>
      </c>
      <c r="E23" s="151">
        <f>'14.3н'!B42</f>
        <v>1.7233883047879401E-6</v>
      </c>
    </row>
    <row r="24" spans="1:5" ht="15.75" x14ac:dyDescent="0.25">
      <c r="A24" s="85">
        <v>42</v>
      </c>
      <c r="B24" s="84" t="s">
        <v>40</v>
      </c>
      <c r="C24" s="151">
        <f>'14.1н'!B43</f>
        <v>1.1452553815848063E-3</v>
      </c>
      <c r="D24" s="151">
        <f>'14.2н'!B43</f>
        <v>1.1111755779498851E-5</v>
      </c>
      <c r="E24" s="151">
        <f>'14.3н'!B43</f>
        <v>9.4987909191664637E-196</v>
      </c>
    </row>
    <row r="25" spans="1:5" ht="15.75" x14ac:dyDescent="0.25">
      <c r="A25" s="85">
        <v>43</v>
      </c>
      <c r="B25" s="84" t="s">
        <v>41</v>
      </c>
      <c r="C25" s="151">
        <f>'14.1н'!B44</f>
        <v>0.10343169584158239</v>
      </c>
      <c r="D25" s="151">
        <f>'14.2н'!B44</f>
        <v>5.5116779055655776E-2</v>
      </c>
      <c r="E25" s="151">
        <f>'14.3н'!B44</f>
        <v>0.10574971716522304</v>
      </c>
    </row>
    <row r="32" spans="1:5" ht="15.75" thickBot="1" x14ac:dyDescent="0.3"/>
    <row r="33" spans="1:5" ht="45.75" thickBot="1" x14ac:dyDescent="0.3">
      <c r="A33" s="85" t="s">
        <v>0</v>
      </c>
      <c r="B33" s="84" t="s">
        <v>83</v>
      </c>
      <c r="C33" s="54" t="s">
        <v>208</v>
      </c>
      <c r="D33" s="54" t="s">
        <v>209</v>
      </c>
      <c r="E33" s="54" t="s">
        <v>210</v>
      </c>
    </row>
    <row r="34" spans="1:5" ht="15.75" x14ac:dyDescent="0.25">
      <c r="A34" s="85">
        <v>37</v>
      </c>
      <c r="B34" s="84" t="s">
        <v>37</v>
      </c>
      <c r="C34" s="151">
        <f>'15.1н'!B38</f>
        <v>0.4242674697936506</v>
      </c>
      <c r="D34" s="151">
        <f>'15.2н'!B38</f>
        <v>0.64482079483376187</v>
      </c>
      <c r="E34" s="151">
        <f>'15.3н'!B38</f>
        <v>0.31653477915330713</v>
      </c>
    </row>
    <row r="35" spans="1:5" ht="15.75" x14ac:dyDescent="0.25">
      <c r="A35" s="85">
        <v>38</v>
      </c>
      <c r="B35" s="84" t="s">
        <v>38</v>
      </c>
      <c r="C35" s="151">
        <f>'15.1н'!B39</f>
        <v>4.1421273940117805E-2</v>
      </c>
      <c r="D35" s="151">
        <f>'15.2н'!B39</f>
        <v>1.8843498902195856E-4</v>
      </c>
      <c r="E35" s="151">
        <f>'15.3н'!B39</f>
        <v>8.3279741670627919E-2</v>
      </c>
    </row>
    <row r="36" spans="1:5" ht="15.75" x14ac:dyDescent="0.25">
      <c r="A36" s="85">
        <v>39</v>
      </c>
      <c r="B36" s="84" t="s">
        <v>42</v>
      </c>
      <c r="C36" s="151">
        <f>'15.1н'!B40</f>
        <v>0.35159899493037172</v>
      </c>
      <c r="D36" s="151">
        <f>'15.2н'!B40</f>
        <v>0.25859396624714576</v>
      </c>
      <c r="E36" s="151">
        <f>'15.3н'!B40</f>
        <v>0.28865644259581819</v>
      </c>
    </row>
    <row r="37" spans="1:5" ht="15.75" x14ac:dyDescent="0.25">
      <c r="A37" s="85">
        <v>40</v>
      </c>
      <c r="B37" s="84" t="s">
        <v>39</v>
      </c>
      <c r="C37" s="151">
        <f>'15.1н'!B41</f>
        <v>0.14465501940179107</v>
      </c>
      <c r="D37" s="151">
        <f>'15.2н'!B41</f>
        <v>2.1591171739623136E-2</v>
      </c>
      <c r="E37" s="151">
        <f>'15.3н'!B41</f>
        <v>0.24678440129153037</v>
      </c>
    </row>
    <row r="38" spans="1:5" ht="15.75" x14ac:dyDescent="0.25">
      <c r="A38" s="85">
        <v>41</v>
      </c>
      <c r="B38" s="84" t="s">
        <v>43</v>
      </c>
      <c r="C38" s="151">
        <f>'15.1н'!B42</f>
        <v>0.37240757361744659</v>
      </c>
      <c r="D38" s="151">
        <f>'15.2н'!B42</f>
        <v>0.23186544166577838</v>
      </c>
      <c r="E38" s="151">
        <f>'15.3н'!B42</f>
        <v>0.26174338684558179</v>
      </c>
    </row>
    <row r="39" spans="1:5" ht="15.75" x14ac:dyDescent="0.25">
      <c r="A39" s="85">
        <v>42</v>
      </c>
      <c r="B39" s="84" t="s">
        <v>40</v>
      </c>
      <c r="C39" s="151">
        <f>'15.1н'!B43</f>
        <v>0.27181445067626492</v>
      </c>
      <c r="D39" s="151">
        <f>'15.2н'!B43</f>
        <v>0.40167913499157432</v>
      </c>
      <c r="E39" s="151">
        <f>'15.3н'!B43</f>
        <v>0.29611208647168169</v>
      </c>
    </row>
    <row r="40" spans="1:5" ht="15.75" x14ac:dyDescent="0.25">
      <c r="A40" s="85">
        <v>43</v>
      </c>
      <c r="B40" s="84" t="s">
        <v>41</v>
      </c>
      <c r="C40" s="151">
        <f>'15.1н'!B44</f>
        <v>0.41973295471669025</v>
      </c>
      <c r="D40" s="151">
        <f>'15.2н'!B44</f>
        <v>0.47073523848948207</v>
      </c>
      <c r="E40" s="151">
        <f>'15.3н'!B44</f>
        <v>0.41613460678949105</v>
      </c>
    </row>
    <row r="49" spans="1:5" ht="15.75" thickBot="1" x14ac:dyDescent="0.3"/>
    <row r="50" spans="1:5" ht="63.75" thickBot="1" x14ac:dyDescent="0.3">
      <c r="A50" s="85" t="s">
        <v>0</v>
      </c>
      <c r="B50" s="84" t="s">
        <v>83</v>
      </c>
      <c r="C50" s="54" t="s">
        <v>212</v>
      </c>
      <c r="D50" s="159" t="s">
        <v>136</v>
      </c>
      <c r="E50" s="54" t="s">
        <v>213</v>
      </c>
    </row>
    <row r="51" spans="1:5" ht="15.75" x14ac:dyDescent="0.25">
      <c r="A51" s="85">
        <v>37</v>
      </c>
      <c r="B51" s="84" t="s">
        <v>37</v>
      </c>
      <c r="C51" s="151">
        <f>'16.1н'!B38</f>
        <v>0.24678291653767817</v>
      </c>
      <c r="D51" s="151">
        <f>'16.2н'!B38</f>
        <v>0.42044820762685731</v>
      </c>
      <c r="E51" s="151">
        <f>'16.3н'!B38</f>
        <v>0.30381183999511724</v>
      </c>
    </row>
    <row r="52" spans="1:5" ht="15.75" x14ac:dyDescent="0.25">
      <c r="A52" s="85">
        <v>38</v>
      </c>
      <c r="B52" s="84" t="s">
        <v>38</v>
      </c>
      <c r="C52" s="151">
        <f>'16.1н'!B39</f>
        <v>0.28883817421806829</v>
      </c>
      <c r="D52" s="151">
        <f>'16.2н'!B39</f>
        <v>0.33162928391362206</v>
      </c>
      <c r="E52" s="151">
        <f>'16.3н'!B39</f>
        <v>0.36181730936009454</v>
      </c>
    </row>
    <row r="53" spans="1:5" ht="15.75" x14ac:dyDescent="0.25">
      <c r="A53" s="85">
        <v>39</v>
      </c>
      <c r="B53" s="84" t="s">
        <v>42</v>
      </c>
      <c r="C53" s="151">
        <f>'16.1н'!B40</f>
        <v>0.47098401457012112</v>
      </c>
      <c r="D53" s="151">
        <f>'16.2н'!B40</f>
        <v>0.44328027731464326</v>
      </c>
      <c r="E53" s="151">
        <f>'16.3н'!B40</f>
        <v>0.32045839182271907</v>
      </c>
    </row>
    <row r="54" spans="1:5" ht="15.75" x14ac:dyDescent="0.25">
      <c r="A54" s="85">
        <v>40</v>
      </c>
      <c r="B54" s="84" t="s">
        <v>39</v>
      </c>
      <c r="C54" s="151">
        <f>'16.1н'!B41</f>
        <v>0.20725692149730573</v>
      </c>
      <c r="D54" s="151">
        <f>'16.2н'!B41</f>
        <v>0.45162930573483778</v>
      </c>
      <c r="E54" s="151">
        <f>'16.3н'!B41</f>
        <v>0.44435580299072147</v>
      </c>
    </row>
    <row r="55" spans="1:5" ht="15.75" x14ac:dyDescent="0.25">
      <c r="A55" s="85">
        <v>41</v>
      </c>
      <c r="B55" s="84" t="s">
        <v>43</v>
      </c>
      <c r="C55" s="151">
        <f>'16.1н'!B42</f>
        <v>0.28474876823907497</v>
      </c>
      <c r="D55" s="151">
        <f>'16.2н'!B42</f>
        <v>0.55686726995909264</v>
      </c>
      <c r="E55" s="151">
        <f>'16.3н'!B42</f>
        <v>0.3416768068097345</v>
      </c>
    </row>
    <row r="56" spans="1:5" ht="15.75" x14ac:dyDescent="0.25">
      <c r="A56" s="85">
        <v>42</v>
      </c>
      <c r="B56" s="84" t="s">
        <v>40</v>
      </c>
      <c r="C56" s="151">
        <f>'16.1н'!B43</f>
        <v>0.42383483535901995</v>
      </c>
      <c r="D56" s="151">
        <f>'16.2н'!B43</f>
        <v>0.42586642734676661</v>
      </c>
      <c r="E56" s="151">
        <f>'16.3н'!B43</f>
        <v>0.42044820762685731</v>
      </c>
    </row>
    <row r="57" spans="1:5" ht="15.75" x14ac:dyDescent="0.25">
      <c r="A57" s="85">
        <v>43</v>
      </c>
      <c r="B57" s="84" t="s">
        <v>41</v>
      </c>
      <c r="C57" s="151">
        <f>'16.1н'!B44</f>
        <v>0.37151738729100958</v>
      </c>
      <c r="D57" s="151">
        <f>'16.2н'!B44</f>
        <v>0.50548774864448942</v>
      </c>
      <c r="E57" s="151">
        <f>'16.3н'!B44</f>
        <v>0.44816604806892785</v>
      </c>
    </row>
    <row r="67" spans="1:18" ht="15.75" x14ac:dyDescent="0.25">
      <c r="A67" s="84" t="s">
        <v>0</v>
      </c>
      <c r="B67" s="84"/>
      <c r="C67" s="84">
        <v>2005</v>
      </c>
      <c r="D67" s="84">
        <v>2006</v>
      </c>
      <c r="E67" s="84">
        <v>2007</v>
      </c>
      <c r="F67" s="84">
        <v>2008</v>
      </c>
      <c r="G67" s="84">
        <v>2009</v>
      </c>
      <c r="H67" s="84">
        <v>2010</v>
      </c>
      <c r="I67" s="84">
        <v>2011</v>
      </c>
      <c r="J67" s="84">
        <v>2012</v>
      </c>
      <c r="K67" s="84">
        <v>2013</v>
      </c>
      <c r="L67" s="84">
        <v>2014</v>
      </c>
      <c r="M67" s="84">
        <v>2015</v>
      </c>
      <c r="N67" s="84">
        <v>2016</v>
      </c>
      <c r="O67" s="84">
        <v>2017</v>
      </c>
      <c r="P67" s="84">
        <v>2018</v>
      </c>
      <c r="Q67" s="84">
        <v>2019</v>
      </c>
      <c r="R67" s="84">
        <v>2020</v>
      </c>
    </row>
    <row r="68" spans="1:18" ht="15.75" x14ac:dyDescent="0.25">
      <c r="A68" s="84">
        <v>37</v>
      </c>
      <c r="B68" s="84" t="s">
        <v>37</v>
      </c>
      <c r="C68" s="160" t="e">
        <f>ОИ1!C38</f>
        <v>#REF!</v>
      </c>
      <c r="D68" s="160" t="e">
        <f>ОИ1!D38</f>
        <v>#REF!</v>
      </c>
      <c r="E68" s="160">
        <f>ОИ1!E38</f>
        <v>0</v>
      </c>
      <c r="F68" s="160">
        <f>ОИ1!F38</f>
        <v>0</v>
      </c>
      <c r="G68" s="160">
        <f>ОИ1!G38</f>
        <v>0</v>
      </c>
      <c r="H68" s="160">
        <f>ОИ1!H38</f>
        <v>0</v>
      </c>
      <c r="I68" s="160">
        <f>ОИ1!I38</f>
        <v>0</v>
      </c>
      <c r="J68" s="160">
        <f>ОИ1!J38</f>
        <v>0</v>
      </c>
      <c r="K68" s="160">
        <f>ОИ1!K38</f>
        <v>0</v>
      </c>
      <c r="L68" s="160">
        <f>ОИ1!L38</f>
        <v>0</v>
      </c>
      <c r="M68" s="160">
        <f>ОИ1!M38</f>
        <v>0</v>
      </c>
      <c r="N68" s="160">
        <f>ОИ1!N38</f>
        <v>0</v>
      </c>
      <c r="O68" s="160">
        <f>ОИ1!O38</f>
        <v>0</v>
      </c>
      <c r="P68" s="160">
        <f>ОИ1!P38</f>
        <v>0</v>
      </c>
      <c r="Q68" s="160">
        <f>ОИ1!Q38</f>
        <v>0</v>
      </c>
      <c r="R68" s="160">
        <f>ОИ1!R38</f>
        <v>0.17031125336687328</v>
      </c>
    </row>
    <row r="69" spans="1:18" ht="15.75" x14ac:dyDescent="0.25">
      <c r="A69" s="84">
        <v>38</v>
      </c>
      <c r="B69" s="84" t="s">
        <v>38</v>
      </c>
      <c r="C69" s="160" t="e">
        <f>ОИ1!C39</f>
        <v>#REF!</v>
      </c>
      <c r="D69" s="160" t="e">
        <f>ОИ1!D39</f>
        <v>#REF!</v>
      </c>
      <c r="E69" s="160">
        <f>ОИ1!E39</f>
        <v>0</v>
      </c>
      <c r="F69" s="160">
        <f>ОИ1!F39</f>
        <v>0</v>
      </c>
      <c r="G69" s="160">
        <f>ОИ1!G39</f>
        <v>0</v>
      </c>
      <c r="H69" s="160">
        <f>ОИ1!H39</f>
        <v>0</v>
      </c>
      <c r="I69" s="160">
        <f>ОИ1!I39</f>
        <v>0</v>
      </c>
      <c r="J69" s="160">
        <f>ОИ1!J39</f>
        <v>0</v>
      </c>
      <c r="K69" s="160">
        <f>ОИ1!K39</f>
        <v>0</v>
      </c>
      <c r="L69" s="160">
        <f>ОИ1!L39</f>
        <v>0</v>
      </c>
      <c r="M69" s="160">
        <f>ОИ1!M39</f>
        <v>0</v>
      </c>
      <c r="N69" s="160">
        <f>ОИ1!N39</f>
        <v>0</v>
      </c>
      <c r="O69" s="160">
        <f>ОИ1!O39</f>
        <v>0</v>
      </c>
      <c r="P69" s="160">
        <f>ОИ1!P39</f>
        <v>0</v>
      </c>
      <c r="Q69" s="160">
        <f>ОИ1!Q39</f>
        <v>0</v>
      </c>
      <c r="R69" s="160">
        <f>ОИ1!R39</f>
        <v>0.1065580277995397</v>
      </c>
    </row>
    <row r="70" spans="1:18" ht="15.75" x14ac:dyDescent="0.25">
      <c r="A70" s="84">
        <v>39</v>
      </c>
      <c r="B70" s="84" t="s">
        <v>42</v>
      </c>
      <c r="C70" s="160" t="e">
        <f>ОИ1!C40</f>
        <v>#REF!</v>
      </c>
      <c r="D70" s="160" t="e">
        <f>ОИ1!D40</f>
        <v>#REF!</v>
      </c>
      <c r="E70" s="160">
        <f>ОИ1!E40</f>
        <v>0</v>
      </c>
      <c r="F70" s="160">
        <f>ОИ1!F40</f>
        <v>0</v>
      </c>
      <c r="G70" s="160">
        <f>ОИ1!G40</f>
        <v>0</v>
      </c>
      <c r="H70" s="160">
        <f>ОИ1!H40</f>
        <v>0</v>
      </c>
      <c r="I70" s="160">
        <f>ОИ1!I40</f>
        <v>0</v>
      </c>
      <c r="J70" s="160">
        <f>ОИ1!J40</f>
        <v>0</v>
      </c>
      <c r="K70" s="160">
        <f>ОИ1!K40</f>
        <v>0</v>
      </c>
      <c r="L70" s="160">
        <f>ОИ1!L40</f>
        <v>0</v>
      </c>
      <c r="M70" s="160">
        <f>ОИ1!M40</f>
        <v>0</v>
      </c>
      <c r="N70" s="160">
        <f>ОИ1!N40</f>
        <v>0</v>
      </c>
      <c r="O70" s="160">
        <f>ОИ1!O40</f>
        <v>0</v>
      </c>
      <c r="P70" s="160">
        <f>ОИ1!P40</f>
        <v>0</v>
      </c>
      <c r="Q70" s="160">
        <f>ОИ1!Q40</f>
        <v>0</v>
      </c>
      <c r="R70" s="160">
        <f>ОИ1!R40</f>
        <v>0.30856587057635348</v>
      </c>
    </row>
    <row r="71" spans="1:18" ht="15.75" x14ac:dyDescent="0.25">
      <c r="A71" s="84">
        <v>40</v>
      </c>
      <c r="B71" s="84" t="s">
        <v>39</v>
      </c>
      <c r="C71" s="160" t="e">
        <f>ОИ1!C41</f>
        <v>#REF!</v>
      </c>
      <c r="D71" s="160" t="e">
        <f>ОИ1!D41</f>
        <v>#REF!</v>
      </c>
      <c r="E71" s="160">
        <f>ОИ1!E41</f>
        <v>0</v>
      </c>
      <c r="F71" s="160">
        <f>ОИ1!F41</f>
        <v>0</v>
      </c>
      <c r="G71" s="160">
        <f>ОИ1!G41</f>
        <v>0</v>
      </c>
      <c r="H71" s="160">
        <f>ОИ1!H41</f>
        <v>0</v>
      </c>
      <c r="I71" s="160">
        <f>ОИ1!I41</f>
        <v>0</v>
      </c>
      <c r="J71" s="160">
        <f>ОИ1!J41</f>
        <v>0</v>
      </c>
      <c r="K71" s="160">
        <f>ОИ1!K41</f>
        <v>0</v>
      </c>
      <c r="L71" s="160">
        <f>ОИ1!L41</f>
        <v>0</v>
      </c>
      <c r="M71" s="160">
        <f>ОИ1!M41</f>
        <v>0</v>
      </c>
      <c r="N71" s="160">
        <f>ОИ1!N41</f>
        <v>0</v>
      </c>
      <c r="O71" s="160">
        <f>ОИ1!O41</f>
        <v>0</v>
      </c>
      <c r="P71" s="160">
        <f>ОИ1!P41</f>
        <v>0</v>
      </c>
      <c r="Q71" s="160">
        <f>ОИ1!Q41</f>
        <v>0</v>
      </c>
      <c r="R71" s="160">
        <f>ОИ1!R41</f>
        <v>0.32534189863118274</v>
      </c>
    </row>
    <row r="72" spans="1:18" ht="15.75" x14ac:dyDescent="0.25">
      <c r="A72" s="84">
        <v>41</v>
      </c>
      <c r="B72" s="84" t="s">
        <v>43</v>
      </c>
      <c r="C72" s="160" t="e">
        <f>ОИ1!C42</f>
        <v>#REF!</v>
      </c>
      <c r="D72" s="160" t="e">
        <f>ОИ1!D42</f>
        <v>#REF!</v>
      </c>
      <c r="E72" s="160">
        <f>ОИ1!E42</f>
        <v>0</v>
      </c>
      <c r="F72" s="160">
        <f>ОИ1!F42</f>
        <v>0</v>
      </c>
      <c r="G72" s="160">
        <f>ОИ1!G42</f>
        <v>0</v>
      </c>
      <c r="H72" s="160">
        <f>ОИ1!H42</f>
        <v>0</v>
      </c>
      <c r="I72" s="160">
        <f>ОИ1!I42</f>
        <v>0</v>
      </c>
      <c r="J72" s="160">
        <f>ОИ1!J42</f>
        <v>0</v>
      </c>
      <c r="K72" s="160">
        <f>ОИ1!K42</f>
        <v>0</v>
      </c>
      <c r="L72" s="160">
        <f>ОИ1!L42</f>
        <v>0</v>
      </c>
      <c r="M72" s="160">
        <f>ОИ1!M42</f>
        <v>0</v>
      </c>
      <c r="N72" s="160">
        <f>ОИ1!N42</f>
        <v>0</v>
      </c>
      <c r="O72" s="160">
        <f>ОИ1!O42</f>
        <v>0</v>
      </c>
      <c r="P72" s="160">
        <f>ОИ1!P42</f>
        <v>0</v>
      </c>
      <c r="Q72" s="160">
        <f>ОИ1!Q42</f>
        <v>0</v>
      </c>
      <c r="R72" s="160">
        <f>ОИ1!R42</f>
        <v>0.37373572760942925</v>
      </c>
    </row>
    <row r="73" spans="1:18" ht="15.75" x14ac:dyDescent="0.25">
      <c r="A73" s="84">
        <v>42</v>
      </c>
      <c r="B73" s="84" t="s">
        <v>40</v>
      </c>
      <c r="C73" s="160" t="e">
        <f>ОИ1!C43</f>
        <v>#REF!</v>
      </c>
      <c r="D73" s="160" t="e">
        <f>ОИ1!D43</f>
        <v>#REF!</v>
      </c>
      <c r="E73" s="160">
        <f>ОИ1!E43</f>
        <v>0</v>
      </c>
      <c r="F73" s="160">
        <f>ОИ1!F43</f>
        <v>0</v>
      </c>
      <c r="G73" s="160">
        <f>ОИ1!G43</f>
        <v>0</v>
      </c>
      <c r="H73" s="160">
        <f>ОИ1!H43</f>
        <v>0</v>
      </c>
      <c r="I73" s="160">
        <f>ОИ1!I43</f>
        <v>0</v>
      </c>
      <c r="J73" s="160">
        <f>ОИ1!J43</f>
        <v>0</v>
      </c>
      <c r="K73" s="160">
        <f>ОИ1!K43</f>
        <v>0</v>
      </c>
      <c r="L73" s="160">
        <f>ОИ1!L43</f>
        <v>0</v>
      </c>
      <c r="M73" s="160">
        <f>ОИ1!M43</f>
        <v>0</v>
      </c>
      <c r="N73" s="160">
        <f>ОИ1!N43</f>
        <v>0</v>
      </c>
      <c r="O73" s="160">
        <f>ОИ1!O43</f>
        <v>0</v>
      </c>
      <c r="P73" s="160">
        <f>ОИ1!P43</f>
        <v>0</v>
      </c>
      <c r="Q73" s="160">
        <f>ОИ1!Q43</f>
        <v>0</v>
      </c>
      <c r="R73" s="160">
        <f>ОИ1!R43</f>
        <v>0.1392391748907241</v>
      </c>
    </row>
    <row r="74" spans="1:18" ht="15.75" x14ac:dyDescent="0.25">
      <c r="A74" s="84">
        <v>43</v>
      </c>
      <c r="B74" s="84" t="s">
        <v>41</v>
      </c>
      <c r="C74" s="160" t="e">
        <f>ОИ1!C44</f>
        <v>#REF!</v>
      </c>
      <c r="D74" s="160" t="e">
        <f>ОИ1!D44</f>
        <v>#REF!</v>
      </c>
      <c r="E74" s="160">
        <f>ОИ1!E44</f>
        <v>0</v>
      </c>
      <c r="F74" s="160">
        <f>ОИ1!F44</f>
        <v>0</v>
      </c>
      <c r="G74" s="160">
        <f>ОИ1!G44</f>
        <v>0</v>
      </c>
      <c r="H74" s="160">
        <f>ОИ1!H44</f>
        <v>0</v>
      </c>
      <c r="I74" s="160">
        <f>ОИ1!I44</f>
        <v>0</v>
      </c>
      <c r="J74" s="160">
        <f>ОИ1!J44</f>
        <v>0</v>
      </c>
      <c r="K74" s="160">
        <f>ОИ1!K44</f>
        <v>0</v>
      </c>
      <c r="L74" s="160">
        <f>ОИ1!L44</f>
        <v>0</v>
      </c>
      <c r="M74" s="160">
        <f>ОИ1!M44</f>
        <v>0</v>
      </c>
      <c r="N74" s="160">
        <f>ОИ1!N44</f>
        <v>0</v>
      </c>
      <c r="O74" s="160">
        <f>ОИ1!O44</f>
        <v>0</v>
      </c>
      <c r="P74" s="160">
        <f>ОИ1!P44</f>
        <v>0</v>
      </c>
      <c r="Q74" s="160">
        <f>ОИ1!Q44</f>
        <v>0</v>
      </c>
      <c r="R74" s="160">
        <f>ОИ1!R44</f>
        <v>0.48921369331555603</v>
      </c>
    </row>
    <row r="78" spans="1:18" ht="30" customHeight="1" x14ac:dyDescent="0.25"/>
    <row r="79" spans="1:18" ht="39.75" customHeight="1" x14ac:dyDescent="0.25"/>
    <row r="80" spans="1:18" ht="34.5" customHeight="1" x14ac:dyDescent="0.25"/>
    <row r="81" spans="1:18" ht="30" customHeight="1" x14ac:dyDescent="0.25"/>
    <row r="82" spans="1:18" ht="36.75" customHeight="1" x14ac:dyDescent="0.25"/>
    <row r="83" spans="1:18" ht="35.25" customHeight="1" x14ac:dyDescent="0.25"/>
    <row r="84" spans="1:18" ht="54.75" customHeight="1" x14ac:dyDescent="0.25"/>
    <row r="88" spans="1:18" ht="15.75" x14ac:dyDescent="0.25">
      <c r="A88" s="84" t="s">
        <v>0</v>
      </c>
      <c r="B88" s="84"/>
      <c r="C88" s="84">
        <v>2005</v>
      </c>
      <c r="D88" s="84">
        <v>2006</v>
      </c>
      <c r="E88" s="84">
        <v>2007</v>
      </c>
      <c r="F88" s="84">
        <v>2008</v>
      </c>
      <c r="G88" s="84">
        <v>2009</v>
      </c>
      <c r="H88" s="84">
        <v>2010</v>
      </c>
      <c r="I88" s="84">
        <v>2011</v>
      </c>
      <c r="J88" s="84">
        <v>2012</v>
      </c>
      <c r="K88" s="84">
        <v>2013</v>
      </c>
      <c r="L88" s="84">
        <v>2014</v>
      </c>
      <c r="M88" s="84">
        <v>2015</v>
      </c>
      <c r="N88" s="84">
        <v>2016</v>
      </c>
      <c r="O88" s="84">
        <v>2017</v>
      </c>
      <c r="P88" s="84">
        <v>2018</v>
      </c>
      <c r="Q88" s="84">
        <v>2019</v>
      </c>
      <c r="R88" s="84">
        <v>2020</v>
      </c>
    </row>
    <row r="89" spans="1:18" ht="15.75" x14ac:dyDescent="0.25">
      <c r="A89" s="84">
        <v>37</v>
      </c>
      <c r="B89" s="84" t="s">
        <v>37</v>
      </c>
      <c r="C89" s="160" t="e">
        <f>ОИ2!C38</f>
        <v>#REF!</v>
      </c>
      <c r="D89" s="160" t="e">
        <f>ОИ2!D38</f>
        <v>#REF!</v>
      </c>
      <c r="E89" s="160">
        <f>ОИ2!E38</f>
        <v>0</v>
      </c>
      <c r="F89" s="160">
        <f>ОИ2!F38</f>
        <v>0</v>
      </c>
      <c r="G89" s="160">
        <f>ОИ2!G38</f>
        <v>0</v>
      </c>
      <c r="H89" s="160">
        <f>ОИ2!H38</f>
        <v>0</v>
      </c>
      <c r="I89" s="160">
        <f>ОИ2!I38</f>
        <v>0</v>
      </c>
      <c r="J89" s="160">
        <f>ОИ2!J38</f>
        <v>0</v>
      </c>
      <c r="K89" s="160">
        <f>ОИ2!K38</f>
        <v>0</v>
      </c>
      <c r="L89" s="160">
        <f>ОИ2!L38</f>
        <v>0</v>
      </c>
      <c r="M89" s="160">
        <f>ОИ2!M38</f>
        <v>0</v>
      </c>
      <c r="N89" s="160">
        <f>ОИ2!N38</f>
        <v>0</v>
      </c>
      <c r="O89" s="160">
        <f>ОИ2!O38</f>
        <v>0</v>
      </c>
      <c r="P89" s="160">
        <f>ОИ2!P38</f>
        <v>0</v>
      </c>
      <c r="Q89" s="160">
        <f>ОИ2!Q38</f>
        <v>0</v>
      </c>
      <c r="R89" s="160">
        <f>ОИ2!R38</f>
        <v>7.5293177226675072E-3</v>
      </c>
    </row>
    <row r="90" spans="1:18" ht="15.75" x14ac:dyDescent="0.25">
      <c r="A90" s="84">
        <v>38</v>
      </c>
      <c r="B90" s="84" t="s">
        <v>38</v>
      </c>
      <c r="C90" s="160">
        <f>ОИ2!C39</f>
        <v>0</v>
      </c>
      <c r="D90" s="160">
        <f>ОИ2!D39</f>
        <v>0</v>
      </c>
      <c r="E90" s="160">
        <f>ОИ2!E39</f>
        <v>0</v>
      </c>
      <c r="F90" s="160">
        <f>ОИ2!F39</f>
        <v>0</v>
      </c>
      <c r="G90" s="160">
        <f>ОИ2!G39</f>
        <v>0</v>
      </c>
      <c r="H90" s="160">
        <f>ОИ2!H39</f>
        <v>0</v>
      </c>
      <c r="I90" s="160">
        <f>ОИ2!I39</f>
        <v>0</v>
      </c>
      <c r="J90" s="160">
        <f>ОИ2!J39</f>
        <v>0</v>
      </c>
      <c r="K90" s="160">
        <f>ОИ2!K39</f>
        <v>0</v>
      </c>
      <c r="L90" s="160">
        <f>ОИ2!L39</f>
        <v>0</v>
      </c>
      <c r="M90" s="160">
        <f>ОИ2!M39</f>
        <v>0</v>
      </c>
      <c r="N90" s="160">
        <f>ОИ2!N39</f>
        <v>0</v>
      </c>
      <c r="O90" s="160">
        <f>ОИ2!O39</f>
        <v>0</v>
      </c>
      <c r="P90" s="160">
        <f>ОИ2!P39</f>
        <v>0</v>
      </c>
      <c r="Q90" s="160">
        <f>ОИ2!Q39</f>
        <v>0</v>
      </c>
      <c r="R90" s="160">
        <f>ОИ2!R39</f>
        <v>2.4489561261668139E-2</v>
      </c>
    </row>
    <row r="91" spans="1:18" ht="15.75" x14ac:dyDescent="0.25">
      <c r="A91" s="84">
        <v>39</v>
      </c>
      <c r="B91" s="84" t="s">
        <v>42</v>
      </c>
      <c r="C91" s="160" t="e">
        <f>ОИ2!C40</f>
        <v>#REF!</v>
      </c>
      <c r="D91" s="160" t="e">
        <f>ОИ2!D40</f>
        <v>#REF!</v>
      </c>
      <c r="E91" s="160">
        <f>ОИ2!E40</f>
        <v>0</v>
      </c>
      <c r="F91" s="160">
        <f>ОИ2!F40</f>
        <v>0</v>
      </c>
      <c r="G91" s="160">
        <f>ОИ2!G40</f>
        <v>0</v>
      </c>
      <c r="H91" s="160">
        <f>ОИ2!H40</f>
        <v>0</v>
      </c>
      <c r="I91" s="160">
        <f>ОИ2!I40</f>
        <v>0</v>
      </c>
      <c r="J91" s="160">
        <f>ОИ2!J40</f>
        <v>0</v>
      </c>
      <c r="K91" s="160">
        <f>ОИ2!K40</f>
        <v>0</v>
      </c>
      <c r="L91" s="160">
        <f>ОИ2!L40</f>
        <v>0</v>
      </c>
      <c r="M91" s="160">
        <f>ОИ2!M40</f>
        <v>0</v>
      </c>
      <c r="N91" s="160">
        <f>ОИ2!N40</f>
        <v>0</v>
      </c>
      <c r="O91" s="160">
        <f>ОИ2!O40</f>
        <v>0</v>
      </c>
      <c r="P91" s="160">
        <f>ОИ2!P40</f>
        <v>0</v>
      </c>
      <c r="Q91" s="160">
        <f>ОИ2!Q40</f>
        <v>0</v>
      </c>
      <c r="R91" s="160">
        <f>ОИ2!R40</f>
        <v>7.4279095515496676E-2</v>
      </c>
    </row>
    <row r="92" spans="1:18" ht="15.75" x14ac:dyDescent="0.25">
      <c r="A92" s="84">
        <v>40</v>
      </c>
      <c r="B92" s="84" t="s">
        <v>39</v>
      </c>
      <c r="C92" s="160" t="e">
        <f>ОИ2!C41</f>
        <v>#REF!</v>
      </c>
      <c r="D92" s="160" t="e">
        <f>ОИ2!D41</f>
        <v>#REF!</v>
      </c>
      <c r="E92" s="160">
        <f>ОИ2!E41</f>
        <v>0</v>
      </c>
      <c r="F92" s="160">
        <f>ОИ2!F41</f>
        <v>0</v>
      </c>
      <c r="G92" s="160">
        <f>ОИ2!G41</f>
        <v>0</v>
      </c>
      <c r="H92" s="160">
        <f>ОИ2!H41</f>
        <v>0</v>
      </c>
      <c r="I92" s="160">
        <f>ОИ2!I41</f>
        <v>0</v>
      </c>
      <c r="J92" s="160">
        <f>ОИ2!J41</f>
        <v>0</v>
      </c>
      <c r="K92" s="160">
        <f>ОИ2!K41</f>
        <v>0</v>
      </c>
      <c r="L92" s="160">
        <f>ОИ2!L41</f>
        <v>0</v>
      </c>
      <c r="M92" s="160">
        <f>ОИ2!M41</f>
        <v>0</v>
      </c>
      <c r="N92" s="160">
        <f>ОИ2!N41</f>
        <v>0</v>
      </c>
      <c r="O92" s="160">
        <f>ОИ2!O41</f>
        <v>0</v>
      </c>
      <c r="P92" s="160">
        <f>ОИ2!P41</f>
        <v>0</v>
      </c>
      <c r="Q92" s="160">
        <f>ОИ2!Q41</f>
        <v>0</v>
      </c>
      <c r="R92" s="160">
        <f>ОИ2!R41</f>
        <v>4.0171027967735494E-2</v>
      </c>
    </row>
    <row r="93" spans="1:18" ht="15.75" x14ac:dyDescent="0.25">
      <c r="A93" s="84">
        <v>41</v>
      </c>
      <c r="B93" s="84" t="s">
        <v>43</v>
      </c>
      <c r="C93" s="160" t="e">
        <f>ОИ2!C42</f>
        <v>#REF!</v>
      </c>
      <c r="D93" s="160" t="e">
        <f>ОИ2!D42</f>
        <v>#REF!</v>
      </c>
      <c r="E93" s="160">
        <f>ОИ2!E42</f>
        <v>0</v>
      </c>
      <c r="F93" s="160">
        <f>ОИ2!F42</f>
        <v>0</v>
      </c>
      <c r="G93" s="160">
        <f>ОИ2!G42</f>
        <v>0</v>
      </c>
      <c r="H93" s="160">
        <f>ОИ2!H42</f>
        <v>0</v>
      </c>
      <c r="I93" s="160">
        <f>ОИ2!I42</f>
        <v>0</v>
      </c>
      <c r="J93" s="160">
        <f>ОИ2!J42</f>
        <v>0</v>
      </c>
      <c r="K93" s="160">
        <f>ОИ2!K42</f>
        <v>0</v>
      </c>
      <c r="L93" s="160">
        <f>ОИ2!L42</f>
        <v>0</v>
      </c>
      <c r="M93" s="160">
        <f>ОИ2!M42</f>
        <v>0</v>
      </c>
      <c r="N93" s="160">
        <f>ОИ2!N42</f>
        <v>0</v>
      </c>
      <c r="O93" s="160">
        <f>ОИ2!O42</f>
        <v>0</v>
      </c>
      <c r="P93" s="160">
        <f>ОИ2!P42</f>
        <v>0</v>
      </c>
      <c r="Q93" s="160">
        <f>ОИ2!Q42</f>
        <v>0</v>
      </c>
      <c r="R93" s="160">
        <f>ОИ2!R42</f>
        <v>6.0449063450788779E-3</v>
      </c>
    </row>
    <row r="94" spans="1:18" ht="15.75" x14ac:dyDescent="0.25">
      <c r="A94" s="84">
        <v>42</v>
      </c>
      <c r="B94" s="84" t="s">
        <v>40</v>
      </c>
      <c r="C94" s="160">
        <f>ОИ2!C43</f>
        <v>0</v>
      </c>
      <c r="D94" s="160">
        <f>ОИ2!D43</f>
        <v>0</v>
      </c>
      <c r="E94" s="160">
        <f>ОИ2!E43</f>
        <v>0</v>
      </c>
      <c r="F94" s="160">
        <f>ОИ2!F43</f>
        <v>0</v>
      </c>
      <c r="G94" s="160">
        <f>ОИ2!G43</f>
        <v>0</v>
      </c>
      <c r="H94" s="160">
        <f>ОИ2!H43</f>
        <v>0</v>
      </c>
      <c r="I94" s="160">
        <f>ОИ2!I43</f>
        <v>0</v>
      </c>
      <c r="J94" s="160">
        <f>ОИ2!J43</f>
        <v>0</v>
      </c>
      <c r="K94" s="160">
        <f>ОИ2!K43</f>
        <v>0</v>
      </c>
      <c r="L94" s="160">
        <f>ОИ2!L43</f>
        <v>0</v>
      </c>
      <c r="M94" s="160">
        <f>ОИ2!M43</f>
        <v>0</v>
      </c>
      <c r="N94" s="160">
        <f>ОИ2!N43</f>
        <v>0</v>
      </c>
      <c r="O94" s="160">
        <f>ОИ2!O43</f>
        <v>0</v>
      </c>
      <c r="P94" s="160">
        <f>ОИ2!P43</f>
        <v>0</v>
      </c>
      <c r="Q94" s="160">
        <f>ОИ2!Q43</f>
        <v>0</v>
      </c>
      <c r="R94" s="160">
        <f>ОИ2!R43</f>
        <v>3.854557124547684E-4</v>
      </c>
    </row>
    <row r="95" spans="1:18" ht="15.75" x14ac:dyDescent="0.25">
      <c r="A95" s="84">
        <v>43</v>
      </c>
      <c r="B95" s="84" t="s">
        <v>41</v>
      </c>
      <c r="C95" s="160" t="e">
        <f>ОИ2!C44</f>
        <v>#REF!</v>
      </c>
      <c r="D95" s="160" t="e">
        <f>ОИ2!D44</f>
        <v>#REF!</v>
      </c>
      <c r="E95" s="160">
        <f>ОИ2!E44</f>
        <v>0</v>
      </c>
      <c r="F95" s="160">
        <f>ОИ2!F44</f>
        <v>0</v>
      </c>
      <c r="G95" s="160">
        <f>ОИ2!G44</f>
        <v>0</v>
      </c>
      <c r="H95" s="160">
        <f>ОИ2!H44</f>
        <v>0</v>
      </c>
      <c r="I95" s="160">
        <f>ОИ2!I44</f>
        <v>0</v>
      </c>
      <c r="J95" s="160">
        <f>ОИ2!J44</f>
        <v>0</v>
      </c>
      <c r="K95" s="160">
        <f>ОИ2!K44</f>
        <v>0</v>
      </c>
      <c r="L95" s="160">
        <f>ОИ2!L44</f>
        <v>0</v>
      </c>
      <c r="M95" s="160">
        <f>ОИ2!M44</f>
        <v>0</v>
      </c>
      <c r="N95" s="160">
        <f>ОИ2!N44</f>
        <v>0</v>
      </c>
      <c r="O95" s="160">
        <f>ОИ2!O44</f>
        <v>0</v>
      </c>
      <c r="P95" s="160">
        <f>ОИ2!P44</f>
        <v>0</v>
      </c>
      <c r="Q95" s="160">
        <f>ОИ2!Q44</f>
        <v>0</v>
      </c>
      <c r="R95" s="160">
        <f>ОИ2!R44</f>
        <v>8.809939735415373E-2</v>
      </c>
    </row>
    <row r="101" spans="1:18" ht="27" customHeight="1" x14ac:dyDescent="0.25"/>
    <row r="102" spans="1:18" ht="32.25" customHeight="1" x14ac:dyDescent="0.25"/>
    <row r="103" spans="1:18" ht="36.75" customHeight="1" x14ac:dyDescent="0.25"/>
    <row r="104" spans="1:18" ht="35.25" customHeight="1" x14ac:dyDescent="0.25"/>
    <row r="105" spans="1:18" ht="42" customHeight="1" x14ac:dyDescent="0.25"/>
    <row r="106" spans="1:18" ht="24.75" customHeight="1" x14ac:dyDescent="0.25"/>
    <row r="107" spans="1:18" ht="30" customHeight="1" x14ac:dyDescent="0.25"/>
    <row r="108" spans="1:18" ht="18" customHeight="1" x14ac:dyDescent="0.25"/>
    <row r="111" spans="1:18" ht="15.75" x14ac:dyDescent="0.25">
      <c r="A111" s="84" t="s">
        <v>0</v>
      </c>
      <c r="B111" s="84"/>
      <c r="C111" s="84">
        <v>2005</v>
      </c>
      <c r="D111" s="84">
        <v>2006</v>
      </c>
      <c r="E111" s="84">
        <v>2007</v>
      </c>
      <c r="F111" s="84">
        <v>2008</v>
      </c>
      <c r="G111" s="84">
        <v>2009</v>
      </c>
      <c r="H111" s="84">
        <v>2010</v>
      </c>
      <c r="I111" s="84">
        <v>2011</v>
      </c>
      <c r="J111" s="84">
        <v>2012</v>
      </c>
      <c r="K111" s="84">
        <v>2013</v>
      </c>
      <c r="L111" s="84">
        <v>2014</v>
      </c>
      <c r="M111" s="84">
        <v>2015</v>
      </c>
      <c r="N111" s="84">
        <v>2016</v>
      </c>
      <c r="O111" s="84">
        <v>2017</v>
      </c>
      <c r="P111" s="84">
        <v>2018</v>
      </c>
      <c r="Q111" s="84">
        <v>2019</v>
      </c>
      <c r="R111" s="84">
        <v>2020</v>
      </c>
    </row>
    <row r="112" spans="1:18" ht="15.75" x14ac:dyDescent="0.25">
      <c r="A112" s="84">
        <v>37</v>
      </c>
      <c r="B112" s="84" t="s">
        <v>37</v>
      </c>
      <c r="C112" s="160" t="e">
        <f>ОИ3!C38</f>
        <v>#REF!</v>
      </c>
      <c r="D112" s="160" t="e">
        <f>ОИ3!D38</f>
        <v>#REF!</v>
      </c>
      <c r="E112" s="160">
        <f>ОИ3!E38</f>
        <v>0</v>
      </c>
      <c r="F112" s="160">
        <f>ОИ3!F38</f>
        <v>0</v>
      </c>
      <c r="G112" s="160">
        <f>ОИ3!G38</f>
        <v>0</v>
      </c>
      <c r="H112" s="160">
        <f>ОИ3!H38</f>
        <v>0</v>
      </c>
      <c r="I112" s="160">
        <f>ОИ3!I38</f>
        <v>0</v>
      </c>
      <c r="J112" s="160">
        <f>ОИ3!J38</f>
        <v>0</v>
      </c>
      <c r="K112" s="160">
        <f>ОИ3!K38</f>
        <v>0</v>
      </c>
      <c r="L112" s="160">
        <f>ОИ3!L38</f>
        <v>0</v>
      </c>
      <c r="M112" s="160">
        <f>ОИ3!M38</f>
        <v>0</v>
      </c>
      <c r="N112" s="160">
        <f>ОИ3!N38</f>
        <v>0</v>
      </c>
      <c r="O112" s="160">
        <f>ОИ3!O38</f>
        <v>0</v>
      </c>
      <c r="P112" s="160">
        <f>ОИ3!P38</f>
        <v>0</v>
      </c>
      <c r="Q112" s="160">
        <f>ОИ3!Q38</f>
        <v>0</v>
      </c>
      <c r="R112" s="160">
        <f>ОИ3!R38</f>
        <v>0.46187434792690651</v>
      </c>
    </row>
    <row r="113" spans="1:18" ht="15.75" x14ac:dyDescent="0.25">
      <c r="A113" s="84">
        <v>38</v>
      </c>
      <c r="B113" s="84" t="s">
        <v>38</v>
      </c>
      <c r="C113" s="160"/>
      <c r="D113" s="160"/>
      <c r="E113" s="160"/>
      <c r="F113" s="160"/>
      <c r="G113" s="160"/>
      <c r="H113" s="160"/>
      <c r="I113" s="160"/>
      <c r="J113" s="160"/>
      <c r="K113" s="160">
        <f>ОИ3!K39</f>
        <v>0</v>
      </c>
      <c r="L113" s="160">
        <f>ОИ3!L39</f>
        <v>0</v>
      </c>
      <c r="M113" s="160">
        <f>ОИ3!M39</f>
        <v>0</v>
      </c>
      <c r="N113" s="160">
        <f>ОИ3!N39</f>
        <v>0</v>
      </c>
      <c r="O113" s="160">
        <f>ОИ3!O39</f>
        <v>0</v>
      </c>
      <c r="P113" s="160">
        <f>ОИ3!P39</f>
        <v>0</v>
      </c>
      <c r="Q113" s="160">
        <f>ОИ3!Q39</f>
        <v>0</v>
      </c>
      <c r="R113" s="160">
        <f>ОИ3!R39</f>
        <v>4.1629816866589224E-2</v>
      </c>
    </row>
    <row r="114" spans="1:18" ht="15.75" x14ac:dyDescent="0.25">
      <c r="A114" s="84">
        <v>39</v>
      </c>
      <c r="B114" s="84" t="s">
        <v>42</v>
      </c>
      <c r="C114" s="160" t="e">
        <f>ОИ3!C40</f>
        <v>#REF!</v>
      </c>
      <c r="D114" s="160" t="e">
        <f>ОИ3!D40</f>
        <v>#REF!</v>
      </c>
      <c r="E114" s="160">
        <f>ОИ3!E40</f>
        <v>0</v>
      </c>
      <c r="F114" s="160">
        <f>ОИ3!F40</f>
        <v>0</v>
      </c>
      <c r="G114" s="160">
        <f>ОИ3!G40</f>
        <v>0</v>
      </c>
      <c r="H114" s="160">
        <f>ОИ3!H40</f>
        <v>0</v>
      </c>
      <c r="I114" s="160">
        <f>ОИ3!I40</f>
        <v>0</v>
      </c>
      <c r="J114" s="160">
        <f>ОИ3!J40</f>
        <v>0</v>
      </c>
      <c r="K114" s="160">
        <f>ОИ3!K40</f>
        <v>0</v>
      </c>
      <c r="L114" s="160">
        <f>ОИ3!L40</f>
        <v>0</v>
      </c>
      <c r="M114" s="160">
        <f>ОИ3!M40</f>
        <v>0</v>
      </c>
      <c r="N114" s="160">
        <f>ОИ3!N40</f>
        <v>0</v>
      </c>
      <c r="O114" s="160">
        <f>ОИ3!O40</f>
        <v>0</v>
      </c>
      <c r="P114" s="160">
        <f>ОИ3!P40</f>
        <v>0</v>
      </c>
      <c r="Q114" s="160">
        <f>ОИ3!Q40</f>
        <v>0</v>
      </c>
      <c r="R114" s="160">
        <f>ОИ3!R40</f>
        <v>0.29961646792444524</v>
      </c>
    </row>
    <row r="115" spans="1:18" ht="15.75" x14ac:dyDescent="0.25">
      <c r="A115" s="84">
        <v>40</v>
      </c>
      <c r="B115" s="84" t="s">
        <v>39</v>
      </c>
      <c r="C115" s="160" t="e">
        <f>ОИ3!C41</f>
        <v>#REF!</v>
      </c>
      <c r="D115" s="160" t="e">
        <f>ОИ3!D41</f>
        <v>#REF!</v>
      </c>
      <c r="E115" s="160">
        <f>ОИ3!E41</f>
        <v>0</v>
      </c>
      <c r="F115" s="160">
        <f>ОИ3!F41</f>
        <v>0</v>
      </c>
      <c r="G115" s="160">
        <f>ОИ3!G41</f>
        <v>0</v>
      </c>
      <c r="H115" s="160">
        <f>ОИ3!H41</f>
        <v>0</v>
      </c>
      <c r="I115" s="160">
        <f>ОИ3!I41</f>
        <v>0</v>
      </c>
      <c r="J115" s="160">
        <f>ОИ3!J41</f>
        <v>0</v>
      </c>
      <c r="K115" s="160">
        <f>ОИ3!K41</f>
        <v>0</v>
      </c>
      <c r="L115" s="160">
        <f>ОИ3!L41</f>
        <v>0</v>
      </c>
      <c r="M115" s="160">
        <f>ОИ3!M41</f>
        <v>0</v>
      </c>
      <c r="N115" s="160">
        <f>ОИ3!N41</f>
        <v>0</v>
      </c>
      <c r="O115" s="160">
        <f>ОИ3!O41</f>
        <v>0</v>
      </c>
      <c r="P115" s="160">
        <f>ОИ3!P41</f>
        <v>0</v>
      </c>
      <c r="Q115" s="160">
        <f>ОИ3!Q41</f>
        <v>0</v>
      </c>
      <c r="R115" s="160">
        <f>ОИ3!R41</f>
        <v>0.13767686414431488</v>
      </c>
    </row>
    <row r="116" spans="1:18" ht="15.75" x14ac:dyDescent="0.25">
      <c r="A116" s="84">
        <v>41</v>
      </c>
      <c r="B116" s="84" t="s">
        <v>43</v>
      </c>
      <c r="C116" s="160" t="e">
        <f>ОИ3!C42</f>
        <v>#REF!</v>
      </c>
      <c r="D116" s="160" t="e">
        <f>ОИ3!D42</f>
        <v>#REF!</v>
      </c>
      <c r="E116" s="160">
        <f>ОИ3!E42</f>
        <v>0</v>
      </c>
      <c r="F116" s="160">
        <f>ОИ3!F42</f>
        <v>0</v>
      </c>
      <c r="G116" s="160">
        <f>ОИ3!G42</f>
        <v>0</v>
      </c>
      <c r="H116" s="160">
        <f>ОИ3!H42</f>
        <v>0</v>
      </c>
      <c r="I116" s="160">
        <f>ОИ3!I42</f>
        <v>0</v>
      </c>
      <c r="J116" s="160">
        <f>ОИ3!J42</f>
        <v>0</v>
      </c>
      <c r="K116" s="160">
        <f>ОИ3!K42</f>
        <v>0</v>
      </c>
      <c r="L116" s="160">
        <f>ОИ3!L42</f>
        <v>0</v>
      </c>
      <c r="M116" s="160">
        <f>ОИ3!M42</f>
        <v>0</v>
      </c>
      <c r="N116" s="160">
        <f>ОИ3!N42</f>
        <v>0</v>
      </c>
      <c r="O116" s="160">
        <f>ОИ3!O42</f>
        <v>0</v>
      </c>
      <c r="P116" s="160">
        <f>ОИ3!P42</f>
        <v>0</v>
      </c>
      <c r="Q116" s="160">
        <f>ОИ3!Q42</f>
        <v>0</v>
      </c>
      <c r="R116" s="160">
        <f>ОИ3!R42</f>
        <v>0.28867213404293562</v>
      </c>
    </row>
    <row r="117" spans="1:18" ht="15.75" x14ac:dyDescent="0.25">
      <c r="A117" s="84">
        <v>42</v>
      </c>
      <c r="B117" s="84" t="s">
        <v>40</v>
      </c>
      <c r="C117" s="160"/>
      <c r="D117" s="160"/>
      <c r="E117" s="160"/>
      <c r="F117" s="160"/>
      <c r="G117" s="160"/>
      <c r="H117" s="160">
        <f>ОИ3!H43</f>
        <v>0</v>
      </c>
      <c r="I117" s="160">
        <f>ОИ3!I43</f>
        <v>0</v>
      </c>
      <c r="J117" s="160">
        <f>ОИ3!J43</f>
        <v>0</v>
      </c>
      <c r="K117" s="160">
        <f>ОИ3!K43</f>
        <v>0</v>
      </c>
      <c r="L117" s="160">
        <f>ОИ3!L43</f>
        <v>0</v>
      </c>
      <c r="M117" s="160">
        <f>ОИ3!M43</f>
        <v>0</v>
      </c>
      <c r="N117" s="160">
        <f>ОИ3!N43</f>
        <v>0</v>
      </c>
      <c r="O117" s="160">
        <f>ОИ3!O43</f>
        <v>0</v>
      </c>
      <c r="P117" s="160">
        <f>ОИ3!P43</f>
        <v>0</v>
      </c>
      <c r="Q117" s="160">
        <f>ОИ3!Q43</f>
        <v>0</v>
      </c>
      <c r="R117" s="160">
        <f>ОИ3!R43</f>
        <v>0.32320189071317368</v>
      </c>
    </row>
    <row r="118" spans="1:18" ht="15.75" x14ac:dyDescent="0.25">
      <c r="A118" s="84">
        <v>43</v>
      </c>
      <c r="B118" s="84" t="s">
        <v>41</v>
      </c>
      <c r="C118" s="160" t="e">
        <f>ОИ3!C44</f>
        <v>#REF!</v>
      </c>
      <c r="D118" s="160" t="e">
        <f>ОИ3!D44</f>
        <v>#REF!</v>
      </c>
      <c r="E118" s="160">
        <f>ОИ3!E44</f>
        <v>0</v>
      </c>
      <c r="F118" s="160">
        <f>ОИ3!F44</f>
        <v>0</v>
      </c>
      <c r="G118" s="160">
        <f>ОИ3!G44</f>
        <v>0</v>
      </c>
      <c r="H118" s="160">
        <f>ОИ3!H44</f>
        <v>0</v>
      </c>
      <c r="I118" s="160">
        <f>ОИ3!I44</f>
        <v>0</v>
      </c>
      <c r="J118" s="160">
        <f>ОИ3!J44</f>
        <v>0</v>
      </c>
      <c r="K118" s="160">
        <f>ОИ3!K44</f>
        <v>0</v>
      </c>
      <c r="L118" s="160">
        <f>ОИ3!L44</f>
        <v>0</v>
      </c>
      <c r="M118" s="160">
        <f>ОИ3!M44</f>
        <v>0</v>
      </c>
      <c r="N118" s="160">
        <f>ОИ3!N44</f>
        <v>0</v>
      </c>
      <c r="O118" s="160">
        <f>ОИ3!O44</f>
        <v>0</v>
      </c>
      <c r="P118" s="160">
        <f>ОИ3!P44</f>
        <v>0</v>
      </c>
      <c r="Q118" s="160">
        <f>ОИ3!Q44</f>
        <v>0</v>
      </c>
      <c r="R118" s="160">
        <f>ОИ3!R44</f>
        <v>0.4355342666652211</v>
      </c>
    </row>
    <row r="124" spans="1:18" ht="30.75" customHeight="1" x14ac:dyDescent="0.25"/>
    <row r="125" spans="1:18" ht="33" customHeight="1" x14ac:dyDescent="0.25"/>
    <row r="126" spans="1:18" ht="27.75" customHeight="1" x14ac:dyDescent="0.25"/>
    <row r="127" spans="1:18" ht="35.25" customHeight="1" x14ac:dyDescent="0.25"/>
    <row r="128" spans="1:18" ht="39.75" customHeight="1" x14ac:dyDescent="0.25"/>
    <row r="136" spans="1:18" ht="15.75" x14ac:dyDescent="0.25">
      <c r="A136" s="84" t="s">
        <v>0</v>
      </c>
      <c r="B136" s="84"/>
      <c r="C136" s="84">
        <v>2005</v>
      </c>
      <c r="D136" s="84">
        <v>2006</v>
      </c>
      <c r="E136" s="84">
        <v>2007</v>
      </c>
      <c r="F136" s="84">
        <v>2008</v>
      </c>
      <c r="G136" s="84">
        <v>2009</v>
      </c>
      <c r="H136" s="84">
        <v>2010</v>
      </c>
      <c r="I136" s="84">
        <v>2011</v>
      </c>
      <c r="J136" s="84">
        <v>2012</v>
      </c>
      <c r="K136" s="84">
        <v>2013</v>
      </c>
      <c r="L136" s="84">
        <v>2014</v>
      </c>
      <c r="M136" s="84">
        <v>2015</v>
      </c>
      <c r="N136" s="84">
        <v>2016</v>
      </c>
      <c r="O136" s="84">
        <v>2017</v>
      </c>
      <c r="P136" s="84">
        <v>2018</v>
      </c>
      <c r="Q136" s="84">
        <v>2019</v>
      </c>
      <c r="R136" s="84">
        <v>2020</v>
      </c>
    </row>
    <row r="137" spans="1:18" ht="15.75" x14ac:dyDescent="0.25">
      <c r="A137" s="161">
        <v>37</v>
      </c>
      <c r="B137" s="161" t="s">
        <v>37</v>
      </c>
      <c r="C137" s="155" t="e">
        <f>ОИ4!C38</f>
        <v>#REF!</v>
      </c>
      <c r="D137" s="155" t="e">
        <f>ОИ4!D38</f>
        <v>#REF!</v>
      </c>
      <c r="E137" s="155">
        <f>ОИ4!E38</f>
        <v>0</v>
      </c>
      <c r="F137" s="155">
        <f>ОИ4!F38</f>
        <v>0</v>
      </c>
      <c r="G137" s="155">
        <f>ОИ4!G38</f>
        <v>0</v>
      </c>
      <c r="H137" s="155">
        <f>ОИ4!H38</f>
        <v>0</v>
      </c>
      <c r="I137" s="155">
        <f>ОИ4!I38</f>
        <v>0</v>
      </c>
      <c r="J137" s="155">
        <f>ОИ4!J38</f>
        <v>0</v>
      </c>
      <c r="K137" s="155">
        <f>ОИ4!K38</f>
        <v>0</v>
      </c>
      <c r="L137" s="155">
        <f>ОИ4!L38</f>
        <v>0</v>
      </c>
      <c r="M137" s="155">
        <f>ОИ4!M38</f>
        <v>0</v>
      </c>
      <c r="N137" s="155">
        <f>ОИ4!N38</f>
        <v>0</v>
      </c>
      <c r="O137" s="155">
        <f>ОИ4!O38</f>
        <v>0</v>
      </c>
      <c r="P137" s="155">
        <f>ОИ4!P38</f>
        <v>0</v>
      </c>
      <c r="Q137" s="155">
        <f>ОИ4!Q38</f>
        <v>0</v>
      </c>
      <c r="R137" s="155">
        <f>ОИ4!R38</f>
        <v>0.3236809880532176</v>
      </c>
    </row>
    <row r="138" spans="1:18" ht="15.75" x14ac:dyDescent="0.25">
      <c r="A138" s="161">
        <v>38</v>
      </c>
      <c r="B138" s="161" t="s">
        <v>38</v>
      </c>
      <c r="C138" s="155" t="e">
        <f>ОИ4!C39</f>
        <v>#REF!</v>
      </c>
      <c r="D138" s="155" t="e">
        <f>ОИ4!D39</f>
        <v>#REF!</v>
      </c>
      <c r="E138" s="155">
        <f>ОИ4!E39</f>
        <v>0</v>
      </c>
      <c r="F138" s="155">
        <f>ОИ4!F39</f>
        <v>0</v>
      </c>
      <c r="G138" s="155">
        <f>ОИ4!G39</f>
        <v>0</v>
      </c>
      <c r="H138" s="155">
        <f>ОИ4!H39</f>
        <v>0</v>
      </c>
      <c r="I138" s="155">
        <f>ОИ4!I39</f>
        <v>0</v>
      </c>
      <c r="J138" s="155">
        <f>ОИ4!J39</f>
        <v>0</v>
      </c>
      <c r="K138" s="155">
        <f>ОИ4!K39</f>
        <v>0</v>
      </c>
      <c r="L138" s="155">
        <f>ОИ4!L39</f>
        <v>0</v>
      </c>
      <c r="M138" s="155">
        <f>ОИ4!M39</f>
        <v>0</v>
      </c>
      <c r="N138" s="155">
        <f>ОИ4!N39</f>
        <v>0</v>
      </c>
      <c r="O138" s="155">
        <f>ОИ4!O39</f>
        <v>0</v>
      </c>
      <c r="P138" s="155">
        <f>ОИ4!P39</f>
        <v>0</v>
      </c>
      <c r="Q138" s="155">
        <f>ОИ4!Q39</f>
        <v>0</v>
      </c>
      <c r="R138" s="155">
        <f>ОИ4!R39</f>
        <v>0.32742825583059498</v>
      </c>
    </row>
    <row r="139" spans="1:18" ht="15.75" x14ac:dyDescent="0.25">
      <c r="A139" s="161">
        <v>39</v>
      </c>
      <c r="B139" s="161" t="s">
        <v>42</v>
      </c>
      <c r="C139" s="155" t="e">
        <f>ОИ4!C40</f>
        <v>#REF!</v>
      </c>
      <c r="D139" s="155" t="e">
        <f>ОИ4!D40</f>
        <v>#REF!</v>
      </c>
      <c r="E139" s="155">
        <f>ОИ4!E40</f>
        <v>0</v>
      </c>
      <c r="F139" s="155">
        <f>ОИ4!F40</f>
        <v>0</v>
      </c>
      <c r="G139" s="155">
        <f>ОИ4!G40</f>
        <v>0</v>
      </c>
      <c r="H139" s="155">
        <f>ОИ4!H40</f>
        <v>0</v>
      </c>
      <c r="I139" s="155">
        <f>ОИ4!I40</f>
        <v>0</v>
      </c>
      <c r="J139" s="155">
        <f>ОИ4!J40</f>
        <v>0</v>
      </c>
      <c r="K139" s="155">
        <f>ОИ4!K40</f>
        <v>0</v>
      </c>
      <c r="L139" s="155">
        <f>ОИ4!L40</f>
        <v>0</v>
      </c>
      <c r="M139" s="155">
        <f>ОИ4!M40</f>
        <v>0</v>
      </c>
      <c r="N139" s="155">
        <f>ОИ4!N40</f>
        <v>0</v>
      </c>
      <c r="O139" s="155">
        <f>ОИ4!O40</f>
        <v>0</v>
      </c>
      <c r="P139" s="155">
        <f>ОИ4!P40</f>
        <v>0</v>
      </c>
      <c r="Q139" s="155">
        <f>ОИ4!Q40</f>
        <v>0</v>
      </c>
      <c r="R139" s="155">
        <f>ОИ4!R40</f>
        <v>0.41157422790249448</v>
      </c>
    </row>
    <row r="140" spans="1:18" ht="15.75" x14ac:dyDescent="0.25">
      <c r="A140" s="161">
        <v>40</v>
      </c>
      <c r="B140" s="161" t="s">
        <v>39</v>
      </c>
      <c r="C140" s="155" t="e">
        <f>ОИ4!C41</f>
        <v>#REF!</v>
      </c>
      <c r="D140" s="155" t="e">
        <f>ОИ4!D41</f>
        <v>#REF!</v>
      </c>
      <c r="E140" s="155">
        <f>ОИ4!E41</f>
        <v>0</v>
      </c>
      <c r="F140" s="155">
        <f>ОИ4!F41</f>
        <v>0</v>
      </c>
      <c r="G140" s="155">
        <f>ОИ4!G41</f>
        <v>0</v>
      </c>
      <c r="H140" s="155">
        <f>ОИ4!H41</f>
        <v>0</v>
      </c>
      <c r="I140" s="155">
        <f>ОИ4!I41</f>
        <v>0</v>
      </c>
      <c r="J140" s="155">
        <f>ОИ4!J41</f>
        <v>0</v>
      </c>
      <c r="K140" s="155">
        <f>ОИ4!K41</f>
        <v>0</v>
      </c>
      <c r="L140" s="155">
        <f>ОИ4!L41</f>
        <v>0</v>
      </c>
      <c r="M140" s="155">
        <f>ОИ4!M41</f>
        <v>0</v>
      </c>
      <c r="N140" s="155">
        <f>ОИ4!N41</f>
        <v>0</v>
      </c>
      <c r="O140" s="155">
        <f>ОИ4!O41</f>
        <v>0</v>
      </c>
      <c r="P140" s="155">
        <f>ОИ4!P41</f>
        <v>0</v>
      </c>
      <c r="Q140" s="155">
        <f>ОИ4!Q41</f>
        <v>0</v>
      </c>
      <c r="R140" s="155">
        <f>ОИ4!R41</f>
        <v>0.36774734340762166</v>
      </c>
    </row>
    <row r="141" spans="1:18" ht="15.75" x14ac:dyDescent="0.25">
      <c r="A141" s="161">
        <v>41</v>
      </c>
      <c r="B141" s="161" t="s">
        <v>43</v>
      </c>
      <c r="C141" s="155" t="e">
        <f>ОИ4!C42</f>
        <v>#REF!</v>
      </c>
      <c r="D141" s="155" t="e">
        <f>ОИ4!D42</f>
        <v>#REF!</v>
      </c>
      <c r="E141" s="155">
        <f>ОИ4!E42</f>
        <v>0</v>
      </c>
      <c r="F141" s="155">
        <f>ОИ4!F42</f>
        <v>0</v>
      </c>
      <c r="G141" s="155">
        <f>ОИ4!G42</f>
        <v>0</v>
      </c>
      <c r="H141" s="155">
        <f>ОИ4!H42</f>
        <v>0</v>
      </c>
      <c r="I141" s="155">
        <f>ОИ4!I42</f>
        <v>0</v>
      </c>
      <c r="J141" s="155">
        <f>ОИ4!J42</f>
        <v>0</v>
      </c>
      <c r="K141" s="155">
        <f>ОИ4!K42</f>
        <v>0</v>
      </c>
      <c r="L141" s="155">
        <f>ОИ4!L42</f>
        <v>0</v>
      </c>
      <c r="M141" s="155">
        <f>ОИ4!M42</f>
        <v>0</v>
      </c>
      <c r="N141" s="155">
        <f>ОИ4!N42</f>
        <v>0</v>
      </c>
      <c r="O141" s="155">
        <f>ОИ4!O42</f>
        <v>0</v>
      </c>
      <c r="P141" s="155">
        <f>ОИ4!P42</f>
        <v>0</v>
      </c>
      <c r="Q141" s="155">
        <f>ОИ4!Q42</f>
        <v>0</v>
      </c>
      <c r="R141" s="155">
        <f>ОИ4!R42</f>
        <v>0.39443094833596737</v>
      </c>
    </row>
    <row r="142" spans="1:18" ht="15.75" x14ac:dyDescent="0.25">
      <c r="A142" s="161">
        <v>42</v>
      </c>
      <c r="B142" s="161" t="s">
        <v>40</v>
      </c>
      <c r="C142" s="155" t="e">
        <f>ОИ4!C43</f>
        <v>#REF!</v>
      </c>
      <c r="D142" s="155" t="e">
        <f>ОИ4!D43</f>
        <v>#REF!</v>
      </c>
      <c r="E142" s="155">
        <f>ОИ4!E43</f>
        <v>0</v>
      </c>
      <c r="F142" s="155">
        <f>ОИ4!F43</f>
        <v>0</v>
      </c>
      <c r="G142" s="155">
        <f>ОИ4!G43</f>
        <v>0</v>
      </c>
      <c r="H142" s="155">
        <f>ОИ4!H43</f>
        <v>0</v>
      </c>
      <c r="I142" s="155">
        <f>ОИ4!I43</f>
        <v>0</v>
      </c>
      <c r="J142" s="155">
        <f>ОИ4!J43</f>
        <v>0</v>
      </c>
      <c r="K142" s="155">
        <f>ОИ4!K43</f>
        <v>0</v>
      </c>
      <c r="L142" s="155">
        <f>ОИ4!L43</f>
        <v>0</v>
      </c>
      <c r="M142" s="155">
        <f>ОИ4!M43</f>
        <v>0</v>
      </c>
      <c r="N142" s="155">
        <f>ОИ4!N43</f>
        <v>0</v>
      </c>
      <c r="O142" s="155">
        <f>ОИ4!O43</f>
        <v>0</v>
      </c>
      <c r="P142" s="155">
        <f>ОИ4!P43</f>
        <v>0</v>
      </c>
      <c r="Q142" s="155">
        <f>ОИ4!Q43</f>
        <v>0</v>
      </c>
      <c r="R142" s="155">
        <f>ОИ4!R43</f>
        <v>0.42338315677754795</v>
      </c>
    </row>
    <row r="143" spans="1:18" ht="15.75" x14ac:dyDescent="0.25">
      <c r="A143" s="161">
        <v>43</v>
      </c>
      <c r="B143" s="161" t="s">
        <v>41</v>
      </c>
      <c r="C143" s="155" t="e">
        <f>ОИ4!C44</f>
        <v>#REF!</v>
      </c>
      <c r="D143" s="155" t="e">
        <f>ОИ4!D44</f>
        <v>#REF!</v>
      </c>
      <c r="E143" s="155">
        <f>ОИ4!E44</f>
        <v>0</v>
      </c>
      <c r="F143" s="155">
        <f>ОИ4!F44</f>
        <v>0</v>
      </c>
      <c r="G143" s="155">
        <f>ОИ4!G44</f>
        <v>0</v>
      </c>
      <c r="H143" s="155">
        <f>ОИ4!H44</f>
        <v>0</v>
      </c>
      <c r="I143" s="155">
        <f>ОИ4!I44</f>
        <v>0</v>
      </c>
      <c r="J143" s="155">
        <f>ОИ4!J44</f>
        <v>0</v>
      </c>
      <c r="K143" s="155">
        <f>ОИ4!K44</f>
        <v>0</v>
      </c>
      <c r="L143" s="155">
        <f>ОИ4!L44</f>
        <v>0</v>
      </c>
      <c r="M143" s="155">
        <f>ОИ4!M44</f>
        <v>0</v>
      </c>
      <c r="N143" s="155">
        <f>ОИ4!N44</f>
        <v>0</v>
      </c>
      <c r="O143" s="155">
        <f>ОИ4!O44</f>
        <v>0</v>
      </c>
      <c r="P143" s="155">
        <f>ОИ4!P44</f>
        <v>0</v>
      </c>
      <c r="Q143" s="155">
        <f>ОИ4!Q44</f>
        <v>0</v>
      </c>
      <c r="R143" s="155">
        <f>ОИ4!R44</f>
        <v>0.44172372800147564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78"/>
  <sheetViews>
    <sheetView topLeftCell="A175" zoomScale="70" zoomScaleNormal="70" workbookViewId="0">
      <selection activeCell="C165" sqref="C165:R178"/>
    </sheetView>
  </sheetViews>
  <sheetFormatPr defaultRowHeight="15" x14ac:dyDescent="0.25"/>
  <cols>
    <col min="2" max="2" width="27.42578125" customWidth="1"/>
    <col min="3" max="3" width="15" customWidth="1"/>
    <col min="4" max="4" width="15.7109375" customWidth="1"/>
    <col min="5" max="5" width="14.140625" customWidth="1"/>
    <col min="6" max="18" width="11.85546875" bestFit="1" customWidth="1"/>
  </cols>
  <sheetData>
    <row r="1" spans="1:5" ht="77.25" customHeight="1" x14ac:dyDescent="0.25">
      <c r="A1" s="85" t="s">
        <v>0</v>
      </c>
      <c r="B1" s="84" t="s">
        <v>83</v>
      </c>
      <c r="C1" s="159" t="s">
        <v>202</v>
      </c>
      <c r="D1" s="159" t="s">
        <v>203</v>
      </c>
      <c r="E1" s="159" t="s">
        <v>204</v>
      </c>
    </row>
    <row r="2" spans="1:5" ht="15.75" x14ac:dyDescent="0.25">
      <c r="A2" s="85">
        <v>44</v>
      </c>
      <c r="B2" s="84" t="s">
        <v>44</v>
      </c>
      <c r="C2" s="151">
        <f>'13.1н'!B45</f>
        <v>0.62842403673948077</v>
      </c>
      <c r="D2" s="151">
        <f>'13.2н'!B45</f>
        <v>0.77797745468826429</v>
      </c>
      <c r="E2" s="151">
        <f>'13.3н'!B45</f>
        <v>0.38222366725243595</v>
      </c>
    </row>
    <row r="3" spans="1:5" ht="15.75" x14ac:dyDescent="0.25">
      <c r="A3" s="85">
        <v>45</v>
      </c>
      <c r="B3" s="84" t="s">
        <v>45</v>
      </c>
      <c r="C3" s="151">
        <f>'13.1н'!B46</f>
        <v>0.47464350555864238</v>
      </c>
      <c r="D3" s="151">
        <f>'13.2н'!B46</f>
        <v>0.7031859370716308</v>
      </c>
      <c r="E3" s="151">
        <f>'13.3н'!B46</f>
        <v>0.32982768057390277</v>
      </c>
    </row>
    <row r="4" spans="1:5" ht="15.75" x14ac:dyDescent="0.25">
      <c r="A4" s="85">
        <v>46</v>
      </c>
      <c r="B4" s="84" t="s">
        <v>46</v>
      </c>
      <c r="C4" s="151">
        <f>'13.1н'!B47</f>
        <v>0.54376526489511467</v>
      </c>
      <c r="D4" s="151">
        <f>'13.2н'!B47</f>
        <v>0.69722500080676664</v>
      </c>
      <c r="E4" s="151">
        <f>'13.3н'!B47</f>
        <v>0.32522592711651011</v>
      </c>
    </row>
    <row r="5" spans="1:5" ht="15.75" x14ac:dyDescent="0.25">
      <c r="A5" s="85">
        <v>47</v>
      </c>
      <c r="B5" s="84" t="s">
        <v>47</v>
      </c>
      <c r="C5" s="151">
        <f>'13.1н'!B48</f>
        <v>0.6726360714704096</v>
      </c>
      <c r="D5" s="151">
        <f>'13.2н'!B48</f>
        <v>0.80397101947693617</v>
      </c>
      <c r="E5" s="151">
        <f>'13.3н'!B48</f>
        <v>0.62568935815827942</v>
      </c>
    </row>
    <row r="6" spans="1:5" ht="15.75" x14ac:dyDescent="0.25">
      <c r="A6" s="85">
        <v>48</v>
      </c>
      <c r="B6" s="84" t="s">
        <v>48</v>
      </c>
      <c r="C6" s="151">
        <f>'13.1н'!B49</f>
        <v>0.67802228332781844</v>
      </c>
      <c r="D6" s="151">
        <f>'13.2н'!B49</f>
        <v>0.77104387760368376</v>
      </c>
      <c r="E6" s="151">
        <f>'13.3н'!B49</f>
        <v>0.37524238628808715</v>
      </c>
    </row>
    <row r="7" spans="1:5" ht="15.75" x14ac:dyDescent="0.25">
      <c r="A7" s="85">
        <v>49</v>
      </c>
      <c r="B7" s="84" t="s">
        <v>49</v>
      </c>
      <c r="C7" s="151">
        <f>'13.1н'!B50</f>
        <v>0.57036938033352558</v>
      </c>
      <c r="D7" s="151">
        <f>'13.2н'!B50</f>
        <v>0.78751421849541525</v>
      </c>
      <c r="E7" s="151">
        <f>'13.3н'!B50</f>
        <v>0.38318042731147112</v>
      </c>
    </row>
    <row r="8" spans="1:5" ht="15.75" x14ac:dyDescent="0.25">
      <c r="A8" s="85">
        <v>50</v>
      </c>
      <c r="B8" s="84" t="s">
        <v>50</v>
      </c>
      <c r="C8" s="151">
        <f>'13.1н'!B51</f>
        <v>0.6762633916310602</v>
      </c>
      <c r="D8" s="151">
        <f>'13.2н'!B51</f>
        <v>0.76761277878612388</v>
      </c>
      <c r="E8" s="151">
        <f>'13.3н'!B51</f>
        <v>0.44413419786913705</v>
      </c>
    </row>
    <row r="9" spans="1:5" ht="15.75" x14ac:dyDescent="0.25">
      <c r="A9" s="85">
        <v>51</v>
      </c>
      <c r="B9" s="84" t="s">
        <v>51</v>
      </c>
      <c r="C9" s="151">
        <f>'13.1н'!B52</f>
        <v>0.50155230935707007</v>
      </c>
      <c r="D9" s="151">
        <f>'13.2н'!B52</f>
        <v>0.7436187912938399</v>
      </c>
      <c r="E9" s="151">
        <f>'13.3н'!B52</f>
        <v>0.39804696969268744</v>
      </c>
    </row>
    <row r="10" spans="1:5" ht="15.75" x14ac:dyDescent="0.25">
      <c r="A10" s="85">
        <v>52</v>
      </c>
      <c r="B10" s="84" t="s">
        <v>52</v>
      </c>
      <c r="C10" s="151">
        <f>'13.1н'!B53</f>
        <v>0.63790126149527382</v>
      </c>
      <c r="D10" s="151">
        <f>'13.2н'!B53</f>
        <v>0.72905339944584258</v>
      </c>
      <c r="E10" s="151">
        <f>'13.3н'!B53</f>
        <v>0.54615230866956832</v>
      </c>
    </row>
    <row r="11" spans="1:5" ht="15.75" x14ac:dyDescent="0.25">
      <c r="A11" s="85">
        <v>53</v>
      </c>
      <c r="B11" s="84" t="s">
        <v>53</v>
      </c>
      <c r="C11" s="151">
        <f>'13.1н'!B54</f>
        <v>0.71074553539395247</v>
      </c>
      <c r="D11" s="151">
        <f>'13.2н'!B54</f>
        <v>0.74255557768234881</v>
      </c>
      <c r="E11" s="151">
        <f>'13.3н'!B54</f>
        <v>0.34363730542499638</v>
      </c>
    </row>
    <row r="12" spans="1:5" ht="15.75" x14ac:dyDescent="0.25">
      <c r="A12" s="85">
        <v>54</v>
      </c>
      <c r="B12" s="84" t="s">
        <v>54</v>
      </c>
      <c r="C12" s="151">
        <f>'13.1н'!B55</f>
        <v>0.52260122547638255</v>
      </c>
      <c r="D12" s="151">
        <f>'13.2н'!B55</f>
        <v>0.71938139033018911</v>
      </c>
      <c r="E12" s="151">
        <f>'13.3н'!B55</f>
        <v>0.37714385055817967</v>
      </c>
    </row>
    <row r="13" spans="1:5" ht="15.75" x14ac:dyDescent="0.25">
      <c r="A13" s="85">
        <v>55</v>
      </c>
      <c r="B13" s="84" t="s">
        <v>55</v>
      </c>
      <c r="C13" s="151">
        <f>'13.1н'!B56</f>
        <v>0.73556504923251609</v>
      </c>
      <c r="D13" s="151">
        <f>'13.2н'!B56</f>
        <v>0.72179344773395493</v>
      </c>
      <c r="E13" s="151">
        <f>'13.3н'!B56</f>
        <v>0.52276758666435386</v>
      </c>
    </row>
    <row r="14" spans="1:5" ht="15.75" x14ac:dyDescent="0.25">
      <c r="A14" s="85">
        <v>56</v>
      </c>
      <c r="B14" s="84" t="s">
        <v>56</v>
      </c>
      <c r="C14" s="151">
        <f>'13.1н'!B57</f>
        <v>0.6170752993444063</v>
      </c>
      <c r="D14" s="151">
        <f>'13.2н'!B57</f>
        <v>0.69023084531842727</v>
      </c>
      <c r="E14" s="151">
        <f>'13.3н'!B57</f>
        <v>0.37851714647903673</v>
      </c>
    </row>
    <row r="15" spans="1:5" ht="15.75" x14ac:dyDescent="0.25">
      <c r="A15" s="85">
        <v>57</v>
      </c>
      <c r="B15" s="84" t="s">
        <v>57</v>
      </c>
      <c r="C15" s="151">
        <f>'13.1н'!B58</f>
        <v>0.64387869582379498</v>
      </c>
      <c r="D15" s="151">
        <f>'13.2н'!B58</f>
        <v>0.70993639899322336</v>
      </c>
      <c r="E15" s="151">
        <f>'13.3н'!B58</f>
        <v>0.37669771007658037</v>
      </c>
    </row>
    <row r="16" spans="1:5" ht="15.75" thickBot="1" x14ac:dyDescent="0.3"/>
    <row r="17" spans="1:5" ht="60.75" thickBot="1" x14ac:dyDescent="0.3">
      <c r="A17" s="85" t="s">
        <v>0</v>
      </c>
      <c r="B17" s="84" t="s">
        <v>83</v>
      </c>
      <c r="C17" s="54" t="s">
        <v>206</v>
      </c>
      <c r="D17" s="54" t="s">
        <v>104</v>
      </c>
      <c r="E17" s="54" t="s">
        <v>106</v>
      </c>
    </row>
    <row r="18" spans="1:5" ht="15.75" x14ac:dyDescent="0.25">
      <c r="A18" s="85">
        <v>44</v>
      </c>
      <c r="B18" s="84" t="s">
        <v>44</v>
      </c>
      <c r="C18" s="151">
        <f>'14.1н'!B45</f>
        <v>0.62062498504540675</v>
      </c>
      <c r="D18" s="151">
        <f>'14.2н'!B45</f>
        <v>0.19656072962883289</v>
      </c>
      <c r="E18" s="151">
        <f>'14.3н'!B45</f>
        <v>0.11230947336560741</v>
      </c>
    </row>
    <row r="19" spans="1:5" ht="15.75" x14ac:dyDescent="0.25">
      <c r="A19" s="85">
        <v>45</v>
      </c>
      <c r="B19" s="84" t="s">
        <v>45</v>
      </c>
      <c r="C19" s="151">
        <f>'14.1н'!B46</f>
        <v>0.28555995911830451</v>
      </c>
      <c r="D19" s="151">
        <f>'14.2н'!B46</f>
        <v>7.2521803149015615E-2</v>
      </c>
      <c r="E19" s="151">
        <f>'14.3н'!B46</f>
        <v>5.9832584579477772E-2</v>
      </c>
    </row>
    <row r="20" spans="1:5" ht="15.75" x14ac:dyDescent="0.25">
      <c r="A20" s="85">
        <v>46</v>
      </c>
      <c r="B20" s="84" t="s">
        <v>46</v>
      </c>
      <c r="C20" s="151">
        <f>'14.1н'!B47</f>
        <v>0.55709940261313862</v>
      </c>
      <c r="D20" s="151">
        <f>'14.2н'!B47</f>
        <v>0.41235735060262879</v>
      </c>
      <c r="E20" s="151">
        <f>'14.3н'!B47</f>
        <v>0.43571662179313114</v>
      </c>
    </row>
    <row r="21" spans="1:5" ht="15.75" x14ac:dyDescent="0.25">
      <c r="A21" s="85">
        <v>47</v>
      </c>
      <c r="B21" s="84" t="s">
        <v>47</v>
      </c>
      <c r="C21" s="151">
        <f>'14.1н'!B48</f>
        <v>0.61844557032575376</v>
      </c>
      <c r="D21" s="151">
        <f>'14.2н'!B48</f>
        <v>0.64435902492592856</v>
      </c>
      <c r="E21" s="151">
        <f>'14.3н'!B48</f>
        <v>0.38320555996855959</v>
      </c>
    </row>
    <row r="22" spans="1:5" ht="15.75" x14ac:dyDescent="0.25">
      <c r="A22" s="85">
        <v>48</v>
      </c>
      <c r="B22" s="84" t="s">
        <v>48</v>
      </c>
      <c r="C22" s="151">
        <f>'14.1н'!B49</f>
        <v>0.38628988179341694</v>
      </c>
      <c r="D22" s="151">
        <f>'14.2н'!B49</f>
        <v>7.8351364875284255E-2</v>
      </c>
      <c r="E22" s="151">
        <f>'14.3н'!B49</f>
        <v>0.18824352490940222</v>
      </c>
    </row>
    <row r="23" spans="1:5" ht="15.75" x14ac:dyDescent="0.25">
      <c r="A23" s="85">
        <v>49</v>
      </c>
      <c r="B23" s="84" t="s">
        <v>49</v>
      </c>
      <c r="C23" s="151">
        <f>'14.1н'!B50</f>
        <v>0.44086592990190143</v>
      </c>
      <c r="D23" s="151">
        <f>'14.2н'!B50</f>
        <v>0.31627779636860687</v>
      </c>
      <c r="E23" s="151">
        <f>'14.3н'!B50</f>
        <v>0.15407811673640795</v>
      </c>
    </row>
    <row r="24" spans="1:5" ht="15.75" x14ac:dyDescent="0.25">
      <c r="A24" s="85">
        <v>50</v>
      </c>
      <c r="B24" s="84" t="s">
        <v>50</v>
      </c>
      <c r="C24" s="151">
        <f>'14.1н'!B51</f>
        <v>0.33095545050424557</v>
      </c>
      <c r="D24" s="151">
        <f>'14.2н'!B51</f>
        <v>0.34971475474788866</v>
      </c>
      <c r="E24" s="151">
        <f>'14.3н'!B51</f>
        <v>0.20822522348823222</v>
      </c>
    </row>
    <row r="25" spans="1:5" ht="15.75" x14ac:dyDescent="0.25">
      <c r="A25" s="85">
        <v>51</v>
      </c>
      <c r="B25" s="84" t="s">
        <v>51</v>
      </c>
      <c r="C25" s="151">
        <f>'14.1н'!B52</f>
        <v>0.42357335985035999</v>
      </c>
      <c r="D25" s="151">
        <f>'14.2н'!B52</f>
        <v>0.34838584982635656</v>
      </c>
      <c r="E25" s="151">
        <f>'14.3н'!B52</f>
        <v>0.12289557505038196</v>
      </c>
    </row>
    <row r="26" spans="1:5" ht="15.75" x14ac:dyDescent="0.25">
      <c r="A26" s="85">
        <v>52</v>
      </c>
      <c r="B26" s="84" t="s">
        <v>52</v>
      </c>
      <c r="C26" s="151">
        <f>'14.1н'!B53</f>
        <v>0.42594164753921787</v>
      </c>
      <c r="D26" s="151">
        <f>'14.2н'!B53</f>
        <v>0.79375179570714594</v>
      </c>
      <c r="E26" s="151">
        <f>'14.3н'!B53</f>
        <v>0.30483517342948402</v>
      </c>
    </row>
    <row r="27" spans="1:5" ht="15.75" x14ac:dyDescent="0.25">
      <c r="A27" s="85">
        <v>53</v>
      </c>
      <c r="B27" s="84" t="s">
        <v>53</v>
      </c>
      <c r="C27" s="151">
        <f>'14.1н'!B54</f>
        <v>0.20121107337707719</v>
      </c>
      <c r="D27" s="151">
        <f>'14.2н'!B54</f>
        <v>0.16269416253882052</v>
      </c>
      <c r="E27" s="151">
        <f>'14.3н'!B54</f>
        <v>6.1949780872745282E-3</v>
      </c>
    </row>
    <row r="28" spans="1:5" ht="15.75" x14ac:dyDescent="0.25">
      <c r="A28" s="85">
        <v>54</v>
      </c>
      <c r="B28" s="84" t="s">
        <v>54</v>
      </c>
      <c r="C28" s="151">
        <f>'14.1н'!B55</f>
        <v>0.50580277210947389</v>
      </c>
      <c r="D28" s="151">
        <f>'14.2н'!B55</f>
        <v>0.49189535274996132</v>
      </c>
      <c r="E28" s="151">
        <f>'14.3н'!B55</f>
        <v>0.13610497041114727</v>
      </c>
    </row>
    <row r="29" spans="1:5" ht="15.75" x14ac:dyDescent="0.25">
      <c r="A29" s="85">
        <v>55</v>
      </c>
      <c r="B29" s="84" t="s">
        <v>55</v>
      </c>
      <c r="C29" s="151">
        <f>'14.1н'!B56</f>
        <v>0.44742817840880927</v>
      </c>
      <c r="D29" s="151">
        <f>'14.2н'!B56</f>
        <v>0.56136182889043518</v>
      </c>
      <c r="E29" s="151">
        <f>'14.3н'!B56</f>
        <v>0.1531176148335564</v>
      </c>
    </row>
    <row r="30" spans="1:5" ht="15.75" x14ac:dyDescent="0.25">
      <c r="A30" s="85">
        <v>56</v>
      </c>
      <c r="B30" s="84" t="s">
        <v>56</v>
      </c>
      <c r="C30" s="151">
        <f>'14.1н'!B57</f>
        <v>0.18726174068892729</v>
      </c>
      <c r="D30" s="151">
        <f>'14.2н'!B57</f>
        <v>4.1521862984839602E-3</v>
      </c>
      <c r="E30" s="151">
        <f>'14.3н'!B57</f>
        <v>1.0462102296323147E-6</v>
      </c>
    </row>
    <row r="31" spans="1:5" ht="15.75" x14ac:dyDescent="0.25">
      <c r="A31" s="85">
        <v>57</v>
      </c>
      <c r="B31" s="84" t="s">
        <v>57</v>
      </c>
      <c r="C31" s="151">
        <f>'14.1н'!B58</f>
        <v>0.45383078331542809</v>
      </c>
      <c r="D31" s="151">
        <f>'14.2н'!B58</f>
        <v>0.37316703436511089</v>
      </c>
      <c r="E31" s="151">
        <f>'14.3н'!B58</f>
        <v>0.26741872386848015</v>
      </c>
    </row>
    <row r="32" spans="1:5" ht="15.75" thickBot="1" x14ac:dyDescent="0.3"/>
    <row r="33" spans="1:5" ht="45.75" thickBot="1" x14ac:dyDescent="0.3">
      <c r="A33" s="85" t="s">
        <v>0</v>
      </c>
      <c r="B33" s="84" t="s">
        <v>83</v>
      </c>
      <c r="C33" s="54" t="s">
        <v>208</v>
      </c>
      <c r="D33" s="54" t="s">
        <v>209</v>
      </c>
      <c r="E33" s="54" t="s">
        <v>210</v>
      </c>
    </row>
    <row r="34" spans="1:5" ht="15.75" x14ac:dyDescent="0.25">
      <c r="A34" s="85">
        <v>44</v>
      </c>
      <c r="B34" s="84" t="s">
        <v>44</v>
      </c>
      <c r="C34" s="151">
        <f>'15.1н'!B45</f>
        <v>0.4905229420630266</v>
      </c>
      <c r="D34" s="151">
        <f>'15.2н'!B45</f>
        <v>0.27283091329587411</v>
      </c>
      <c r="E34" s="151">
        <f>'15.3н'!B45</f>
        <v>0.44068450834759615</v>
      </c>
    </row>
    <row r="35" spans="1:5" ht="15.75" x14ac:dyDescent="0.25">
      <c r="A35" s="85">
        <v>45</v>
      </c>
      <c r="B35" s="84" t="s">
        <v>45</v>
      </c>
      <c r="C35" s="151">
        <f>'15.1н'!B46</f>
        <v>0.30155714321762217</v>
      </c>
      <c r="D35" s="151">
        <f>'15.2н'!B46</f>
        <v>0.2989676851185597</v>
      </c>
      <c r="E35" s="151">
        <f>'15.3н'!B46</f>
        <v>0.2627793894647974</v>
      </c>
    </row>
    <row r="36" spans="1:5" ht="15.75" x14ac:dyDescent="0.25">
      <c r="A36" s="85">
        <v>46</v>
      </c>
      <c r="B36" s="84" t="s">
        <v>46</v>
      </c>
      <c r="C36" s="151">
        <f>'15.1н'!B47</f>
        <v>0.28135503910577969</v>
      </c>
      <c r="D36" s="151">
        <f>'15.2н'!B47</f>
        <v>0.21238330955013479</v>
      </c>
      <c r="E36" s="151">
        <f>'15.3н'!B47</f>
        <v>0.25008057492193997</v>
      </c>
    </row>
    <row r="37" spans="1:5" ht="15.75" x14ac:dyDescent="0.25">
      <c r="A37" s="85">
        <v>47</v>
      </c>
      <c r="B37" s="84" t="s">
        <v>47</v>
      </c>
      <c r="C37" s="151">
        <f>'15.1н'!B48</f>
        <v>0.50787437387895906</v>
      </c>
      <c r="D37" s="151">
        <f>'15.2н'!B48</f>
        <v>0.44985304112559821</v>
      </c>
      <c r="E37" s="151">
        <f>'15.3н'!B48</f>
        <v>0.51093779061813727</v>
      </c>
    </row>
    <row r="38" spans="1:5" ht="15.75" x14ac:dyDescent="0.25">
      <c r="A38" s="85">
        <v>48</v>
      </c>
      <c r="B38" s="84" t="s">
        <v>48</v>
      </c>
      <c r="C38" s="151">
        <f>'15.1н'!B49</f>
        <v>0.36471451106906544</v>
      </c>
      <c r="D38" s="151">
        <f>'15.2н'!B49</f>
        <v>0.34447926971733694</v>
      </c>
      <c r="E38" s="151">
        <f>'15.3н'!B49</f>
        <v>0.34551486121566116</v>
      </c>
    </row>
    <row r="39" spans="1:5" ht="15.75" x14ac:dyDescent="0.25">
      <c r="A39" s="85">
        <v>49</v>
      </c>
      <c r="B39" s="84" t="s">
        <v>49</v>
      </c>
      <c r="C39" s="151">
        <f>'15.1н'!B50</f>
        <v>0.31962651310010592</v>
      </c>
      <c r="D39" s="151">
        <f>'15.2н'!B50</f>
        <v>0.33546156440482289</v>
      </c>
      <c r="E39" s="151">
        <f>'15.3н'!B50</f>
        <v>0.33007430119140896</v>
      </c>
    </row>
    <row r="40" spans="1:5" ht="15.75" x14ac:dyDescent="0.25">
      <c r="A40" s="85">
        <v>50</v>
      </c>
      <c r="B40" s="84" t="s">
        <v>50</v>
      </c>
      <c r="C40" s="151">
        <f>'15.1н'!B51</f>
        <v>0.47050272109387647</v>
      </c>
      <c r="D40" s="151">
        <f>'15.2н'!B51</f>
        <v>0.33142028693477971</v>
      </c>
      <c r="E40" s="151">
        <f>'15.3н'!B51</f>
        <v>0.44857091589026454</v>
      </c>
    </row>
    <row r="41" spans="1:5" ht="15.75" x14ac:dyDescent="0.25">
      <c r="A41" s="85">
        <v>51</v>
      </c>
      <c r="B41" s="84" t="s">
        <v>51</v>
      </c>
      <c r="C41" s="151">
        <f>'15.1н'!B52</f>
        <v>0.37185808593213782</v>
      </c>
      <c r="D41" s="151">
        <f>'15.2н'!B52</f>
        <v>0.35793680343617973</v>
      </c>
      <c r="E41" s="151">
        <f>'15.3н'!B52</f>
        <v>0.37122639477490349</v>
      </c>
    </row>
    <row r="42" spans="1:5" ht="15.75" x14ac:dyDescent="0.25">
      <c r="A42" s="85">
        <v>52</v>
      </c>
      <c r="B42" s="84" t="s">
        <v>52</v>
      </c>
      <c r="C42" s="151">
        <f>'15.1н'!B53</f>
        <v>0.5059702459808324</v>
      </c>
      <c r="D42" s="151">
        <f>'15.2н'!B53</f>
        <v>0.31753528866159009</v>
      </c>
      <c r="E42" s="151">
        <f>'15.3н'!B53</f>
        <v>0.44234100910283869</v>
      </c>
    </row>
    <row r="43" spans="1:5" ht="15.75" x14ac:dyDescent="0.25">
      <c r="A43" s="85">
        <v>53</v>
      </c>
      <c r="B43" s="84" t="s">
        <v>53</v>
      </c>
      <c r="C43" s="151">
        <f>'15.1н'!B54</f>
        <v>0.38554897175985431</v>
      </c>
      <c r="D43" s="151">
        <f>'15.2н'!B54</f>
        <v>0.31552698026717824</v>
      </c>
      <c r="E43" s="151">
        <f>'15.3н'!B54</f>
        <v>0.3662543615753156</v>
      </c>
    </row>
    <row r="44" spans="1:5" ht="15.75" x14ac:dyDescent="0.25">
      <c r="A44" s="85">
        <v>54</v>
      </c>
      <c r="B44" s="84" t="s">
        <v>54</v>
      </c>
      <c r="C44" s="151">
        <f>'15.1н'!B55</f>
        <v>0.38954090740883346</v>
      </c>
      <c r="D44" s="151">
        <f>'15.2н'!B55</f>
        <v>0.33077025971830187</v>
      </c>
      <c r="E44" s="151">
        <f>'15.3н'!B55</f>
        <v>0.34192362545838773</v>
      </c>
    </row>
    <row r="45" spans="1:5" ht="15.75" x14ac:dyDescent="0.25">
      <c r="A45" s="85">
        <v>55</v>
      </c>
      <c r="B45" s="84" t="s">
        <v>55</v>
      </c>
      <c r="C45" s="151">
        <f>'15.1н'!B56</f>
        <v>0.46862482229121694</v>
      </c>
      <c r="D45" s="151">
        <f>'15.2н'!B56</f>
        <v>0.30650851135359708</v>
      </c>
      <c r="E45" s="151">
        <f>'15.3н'!B56</f>
        <v>0.41460739034866279</v>
      </c>
    </row>
    <row r="46" spans="1:5" ht="15.75" x14ac:dyDescent="0.25">
      <c r="A46" s="85">
        <v>56</v>
      </c>
      <c r="B46" s="84" t="s">
        <v>56</v>
      </c>
      <c r="C46" s="151">
        <f>'15.1н'!B57</f>
        <v>0.37509122275696966</v>
      </c>
      <c r="D46" s="151">
        <f>'15.2н'!B57</f>
        <v>0.2673611135739104</v>
      </c>
      <c r="E46" s="151">
        <f>'15.3н'!B57</f>
        <v>0.32968691207703621</v>
      </c>
    </row>
    <row r="47" spans="1:5" ht="15.75" x14ac:dyDescent="0.25">
      <c r="A47" s="85">
        <v>57</v>
      </c>
      <c r="B47" s="84" t="s">
        <v>57</v>
      </c>
      <c r="C47" s="151">
        <f>'15.1н'!B58</f>
        <v>0.37650460158296084</v>
      </c>
      <c r="D47" s="151">
        <f>'15.2н'!B58</f>
        <v>0.207524908192838</v>
      </c>
      <c r="E47" s="151">
        <f>'15.3н'!B58</f>
        <v>0.36221321785910032</v>
      </c>
    </row>
    <row r="48" spans="1:5" ht="15.75" thickBot="1" x14ac:dyDescent="0.3"/>
    <row r="49" spans="1:5" ht="91.5" customHeight="1" thickBot="1" x14ac:dyDescent="0.3">
      <c r="A49" s="85" t="s">
        <v>0</v>
      </c>
      <c r="B49" s="84" t="s">
        <v>83</v>
      </c>
      <c r="C49" s="54" t="s">
        <v>212</v>
      </c>
      <c r="D49" s="159" t="s">
        <v>136</v>
      </c>
      <c r="E49" s="54" t="s">
        <v>213</v>
      </c>
    </row>
    <row r="50" spans="1:5" ht="15.75" x14ac:dyDescent="0.25">
      <c r="A50" s="85">
        <v>44</v>
      </c>
      <c r="B50" s="84" t="s">
        <v>44</v>
      </c>
      <c r="C50" s="151">
        <f>'16.1н'!B45</f>
        <v>0.49246937163888665</v>
      </c>
      <c r="D50" s="151">
        <f>'16.2н'!B45</f>
        <v>0.53006790110587176</v>
      </c>
      <c r="E50" s="151">
        <f>'16.3н'!B45</f>
        <v>0.38555270635198519</v>
      </c>
    </row>
    <row r="51" spans="1:5" ht="15.75" x14ac:dyDescent="0.25">
      <c r="A51" s="85">
        <v>45</v>
      </c>
      <c r="B51" s="84" t="s">
        <v>45</v>
      </c>
      <c r="C51" s="151">
        <f>'16.1н'!B46</f>
        <v>0.45369582764290806</v>
      </c>
      <c r="D51" s="151">
        <f>'16.2н'!B46</f>
        <v>0.54326134764725098</v>
      </c>
      <c r="E51" s="151">
        <f>'16.3н'!B46</f>
        <v>0.5152977723760046</v>
      </c>
    </row>
    <row r="52" spans="1:5" ht="15.75" x14ac:dyDescent="0.25">
      <c r="A52" s="85">
        <v>46</v>
      </c>
      <c r="B52" s="84" t="s">
        <v>46</v>
      </c>
      <c r="C52" s="151">
        <f>'16.1н'!B47</f>
        <v>0.35402498278742084</v>
      </c>
      <c r="D52" s="151">
        <f>'16.2н'!B47</f>
        <v>0.55241929505327203</v>
      </c>
      <c r="E52" s="151">
        <f>'16.3н'!B47</f>
        <v>0.46651649576840371</v>
      </c>
    </row>
    <row r="53" spans="1:5" ht="15.75" x14ac:dyDescent="0.25">
      <c r="A53" s="85">
        <v>47</v>
      </c>
      <c r="B53" s="84" t="s">
        <v>47</v>
      </c>
      <c r="C53" s="151">
        <f>'16.1н'!B48</f>
        <v>0.53288064129823476</v>
      </c>
      <c r="D53" s="151">
        <f>'16.2н'!B48</f>
        <v>0.53854651288448685</v>
      </c>
      <c r="E53" s="151">
        <f>'16.3н'!B48</f>
        <v>0.4968305140738335</v>
      </c>
    </row>
    <row r="54" spans="1:5" ht="15.75" x14ac:dyDescent="0.25">
      <c r="A54" s="85">
        <v>48</v>
      </c>
      <c r="B54" s="84" t="s">
        <v>48</v>
      </c>
      <c r="C54" s="151">
        <f>'16.1н'!B49</f>
        <v>0.44687753693477089</v>
      </c>
      <c r="D54" s="151">
        <f>'16.2н'!B49</f>
        <v>0.48134649134438057</v>
      </c>
      <c r="E54" s="151">
        <f>'16.3н'!B49</f>
        <v>0.44435580299072147</v>
      </c>
    </row>
    <row r="55" spans="1:5" ht="15.75" x14ac:dyDescent="0.25">
      <c r="A55" s="85">
        <v>49</v>
      </c>
      <c r="B55" s="84" t="s">
        <v>49</v>
      </c>
      <c r="C55" s="151">
        <f>'16.1н'!B50</f>
        <v>0.40437665766905073</v>
      </c>
      <c r="D55" s="151">
        <f>'16.2н'!B50</f>
        <v>0.54788478477351454</v>
      </c>
      <c r="E55" s="151">
        <f>'16.3н'!B50</f>
        <v>0.44049706175048847</v>
      </c>
    </row>
    <row r="56" spans="1:5" ht="15.75" x14ac:dyDescent="0.25">
      <c r="A56" s="85">
        <v>50</v>
      </c>
      <c r="B56" s="84" t="s">
        <v>50</v>
      </c>
      <c r="C56" s="151">
        <f>'16.1н'!B51</f>
        <v>0.39869403044500179</v>
      </c>
      <c r="D56" s="151">
        <f>'16.2н'!B51</f>
        <v>0.504126503180508</v>
      </c>
      <c r="E56" s="151">
        <f>'16.3н'!B51</f>
        <v>0.5152977723760046</v>
      </c>
    </row>
    <row r="57" spans="1:5" ht="15.75" x14ac:dyDescent="0.25">
      <c r="A57" s="85">
        <v>51</v>
      </c>
      <c r="B57" s="84" t="s">
        <v>51</v>
      </c>
      <c r="C57" s="151">
        <f>'16.1н'!B52</f>
        <v>0.30813413866265776</v>
      </c>
      <c r="D57" s="151">
        <f>'16.2н'!B52</f>
        <v>0.53735322601046143</v>
      </c>
      <c r="E57" s="151">
        <f>'16.3н'!B52</f>
        <v>0.48709131032558028</v>
      </c>
    </row>
    <row r="58" spans="1:5" ht="15.75" x14ac:dyDescent="0.25">
      <c r="A58" s="85">
        <v>52</v>
      </c>
      <c r="B58" s="84" t="s">
        <v>52</v>
      </c>
      <c r="C58" s="151">
        <f>'16.1н'!B53</f>
        <v>0.39382768166611565</v>
      </c>
      <c r="D58" s="151">
        <f>'16.2н'!B53</f>
        <v>0.54326134764725098</v>
      </c>
      <c r="E58" s="151">
        <f>'16.3н'!B53</f>
        <v>0.5152977723760046</v>
      </c>
    </row>
    <row r="59" spans="1:5" ht="15.75" x14ac:dyDescent="0.25">
      <c r="A59" s="85">
        <v>53</v>
      </c>
      <c r="B59" s="84" t="s">
        <v>53</v>
      </c>
      <c r="C59" s="151">
        <f>'16.1н'!B54</f>
        <v>0.41875636963328566</v>
      </c>
      <c r="D59" s="151">
        <f>'16.2н'!B54</f>
        <v>0.53494887469065155</v>
      </c>
      <c r="E59" s="151">
        <f>'16.3н'!B54</f>
        <v>0.48039987884286789</v>
      </c>
    </row>
    <row r="60" spans="1:5" ht="15.75" x14ac:dyDescent="0.25">
      <c r="A60" s="85">
        <v>54</v>
      </c>
      <c r="B60" s="84" t="s">
        <v>54</v>
      </c>
      <c r="C60" s="151">
        <f>'16.1н'!B55</f>
        <v>0.51869688650772938</v>
      </c>
      <c r="D60" s="151">
        <f>'16.2н'!B55</f>
        <v>0.57587262820316609</v>
      </c>
      <c r="E60" s="151">
        <f>'16.3н'!B55</f>
        <v>0.45931347703523795</v>
      </c>
    </row>
    <row r="61" spans="1:5" ht="15.75" x14ac:dyDescent="0.25">
      <c r="A61" s="85">
        <v>55</v>
      </c>
      <c r="B61" s="84" t="s">
        <v>55</v>
      </c>
      <c r="C61" s="151">
        <f>'16.1н'!B56</f>
        <v>0.37708699681513741</v>
      </c>
      <c r="D61" s="151">
        <f>'16.2н'!B56</f>
        <v>0.5397339282783703</v>
      </c>
      <c r="E61" s="151">
        <f>'16.3н'!B56</f>
        <v>0.44816604806892785</v>
      </c>
    </row>
    <row r="62" spans="1:5" ht="15.75" x14ac:dyDescent="0.25">
      <c r="A62" s="85">
        <v>56</v>
      </c>
      <c r="B62" s="84" t="s">
        <v>56</v>
      </c>
      <c r="C62" s="151">
        <f>'16.1н'!B57</f>
        <v>0.4085195808949495</v>
      </c>
      <c r="D62" s="151">
        <f>'16.2н'!B57</f>
        <v>0.56762362261435517</v>
      </c>
      <c r="E62" s="151">
        <f>'16.3н'!B57</f>
        <v>0.4735434224363147</v>
      </c>
    </row>
    <row r="63" spans="1:5" ht="15.75" x14ac:dyDescent="0.25">
      <c r="A63" s="85">
        <v>57</v>
      </c>
      <c r="B63" s="84" t="s">
        <v>57</v>
      </c>
      <c r="C63" s="151">
        <f>'16.1н'!B58</f>
        <v>0.60031075962033154</v>
      </c>
      <c r="D63" s="151">
        <f>'16.2н'!B58</f>
        <v>0.56123102415468651</v>
      </c>
      <c r="E63" s="151">
        <f>'16.3н'!B58</f>
        <v>0.4837658892619458</v>
      </c>
    </row>
    <row r="67" spans="1:18" ht="15.75" x14ac:dyDescent="0.25">
      <c r="A67" s="84" t="s">
        <v>0</v>
      </c>
      <c r="B67" s="84"/>
      <c r="C67" s="84">
        <v>2005</v>
      </c>
      <c r="D67" s="84">
        <v>2006</v>
      </c>
      <c r="E67" s="84">
        <v>2007</v>
      </c>
      <c r="F67" s="84">
        <v>2008</v>
      </c>
      <c r="G67" s="84">
        <v>2009</v>
      </c>
      <c r="H67" s="84">
        <v>2010</v>
      </c>
      <c r="I67" s="84">
        <v>2011</v>
      </c>
      <c r="J67" s="84">
        <v>2012</v>
      </c>
      <c r="K67" s="84">
        <v>2013</v>
      </c>
      <c r="L67" s="84">
        <v>2014</v>
      </c>
      <c r="M67" s="84">
        <v>2015</v>
      </c>
      <c r="N67" s="84">
        <v>2016</v>
      </c>
      <c r="O67" s="84">
        <v>2017</v>
      </c>
      <c r="P67" s="84">
        <v>2018</v>
      </c>
      <c r="Q67" s="84">
        <v>2019</v>
      </c>
      <c r="R67" s="84">
        <v>2020</v>
      </c>
    </row>
    <row r="68" spans="1:18" ht="15.75" x14ac:dyDescent="0.25">
      <c r="A68" s="84">
        <v>44</v>
      </c>
      <c r="B68" s="84" t="s">
        <v>44</v>
      </c>
      <c r="C68" s="160" t="e">
        <f>ОИ1!C45</f>
        <v>#REF!</v>
      </c>
      <c r="D68" s="160" t="e">
        <f>ОИ1!D45</f>
        <v>#REF!</v>
      </c>
      <c r="E68" s="160">
        <f>ОИ1!E45</f>
        <v>0</v>
      </c>
      <c r="F68" s="160">
        <f>ОИ1!F45</f>
        <v>0</v>
      </c>
      <c r="G68" s="160">
        <f>ОИ1!G45</f>
        <v>0</v>
      </c>
      <c r="H68" s="160">
        <f>ОИ1!H45</f>
        <v>0</v>
      </c>
      <c r="I68" s="160">
        <f>ОИ1!I45</f>
        <v>0</v>
      </c>
      <c r="J68" s="160">
        <f>ОИ1!J45</f>
        <v>0</v>
      </c>
      <c r="K68" s="160">
        <f>ОИ1!K45</f>
        <v>0</v>
      </c>
      <c r="L68" s="160">
        <f>ОИ1!L45</f>
        <v>0</v>
      </c>
      <c r="M68" s="160">
        <f>ОИ1!M45</f>
        <v>0</v>
      </c>
      <c r="N68" s="160">
        <f>ОИ1!N45</f>
        <v>0</v>
      </c>
      <c r="O68" s="160">
        <f>ОИ1!O45</f>
        <v>0</v>
      </c>
      <c r="P68" s="160">
        <f>ОИ1!P45</f>
        <v>0</v>
      </c>
      <c r="Q68" s="160">
        <f>ОИ1!Q45</f>
        <v>0</v>
      </c>
      <c r="R68" s="160">
        <f>ОИ1!R45</f>
        <v>0.59620838622672701</v>
      </c>
    </row>
    <row r="69" spans="1:18" ht="15.75" x14ac:dyDescent="0.25">
      <c r="A69" s="84">
        <v>45</v>
      </c>
      <c r="B69" s="84" t="s">
        <v>45</v>
      </c>
      <c r="C69" s="160" t="e">
        <f>ОИ1!C46</f>
        <v>#REF!</v>
      </c>
      <c r="D69" s="160" t="e">
        <f>ОИ1!D46</f>
        <v>#REF!</v>
      </c>
      <c r="E69" s="160">
        <f>ОИ1!E46</f>
        <v>0</v>
      </c>
      <c r="F69" s="160">
        <f>ОИ1!F46</f>
        <v>0</v>
      </c>
      <c r="G69" s="160">
        <f>ОИ1!G46</f>
        <v>0</v>
      </c>
      <c r="H69" s="160">
        <f>ОИ1!H46</f>
        <v>0</v>
      </c>
      <c r="I69" s="160">
        <f>ОИ1!I46</f>
        <v>0</v>
      </c>
      <c r="J69" s="160">
        <f>ОИ1!J46</f>
        <v>0</v>
      </c>
      <c r="K69" s="160">
        <f>ОИ1!K46</f>
        <v>0</v>
      </c>
      <c r="L69" s="160">
        <f>ОИ1!L46</f>
        <v>0</v>
      </c>
      <c r="M69" s="160">
        <f>ОИ1!M46</f>
        <v>0</v>
      </c>
      <c r="N69" s="160">
        <f>ОИ1!N46</f>
        <v>0</v>
      </c>
      <c r="O69" s="160">
        <f>ОИ1!O46</f>
        <v>0</v>
      </c>
      <c r="P69" s="160">
        <f>ОИ1!P46</f>
        <v>0</v>
      </c>
      <c r="Q69" s="160">
        <f>ОИ1!Q46</f>
        <v>0</v>
      </c>
      <c r="R69" s="160">
        <f>ОИ1!R46</f>
        <v>0.50255237440139189</v>
      </c>
    </row>
    <row r="70" spans="1:18" ht="15.75" x14ac:dyDescent="0.25">
      <c r="A70" s="84">
        <v>46</v>
      </c>
      <c r="B70" s="84" t="s">
        <v>46</v>
      </c>
      <c r="C70" s="160" t="e">
        <f>ОИ1!C47</f>
        <v>#REF!</v>
      </c>
      <c r="D70" s="160" t="e">
        <f>ОИ1!D47</f>
        <v>#REF!</v>
      </c>
      <c r="E70" s="160">
        <f>ОИ1!E47</f>
        <v>0</v>
      </c>
      <c r="F70" s="160">
        <f>ОИ1!F47</f>
        <v>0</v>
      </c>
      <c r="G70" s="160">
        <f>ОИ1!G47</f>
        <v>0</v>
      </c>
      <c r="H70" s="160">
        <f>ОИ1!H47</f>
        <v>0</v>
      </c>
      <c r="I70" s="160">
        <f>ОИ1!I47</f>
        <v>0</v>
      </c>
      <c r="J70" s="160">
        <f>ОИ1!J47</f>
        <v>0</v>
      </c>
      <c r="K70" s="160">
        <f>ОИ1!K47</f>
        <v>0</v>
      </c>
      <c r="L70" s="160">
        <f>ОИ1!L47</f>
        <v>0</v>
      </c>
      <c r="M70" s="160">
        <f>ОИ1!M47</f>
        <v>0</v>
      </c>
      <c r="N70" s="160">
        <f>ОИ1!N47</f>
        <v>0</v>
      </c>
      <c r="O70" s="160">
        <f>ОИ1!O47</f>
        <v>0</v>
      </c>
      <c r="P70" s="160">
        <f>ОИ1!P47</f>
        <v>0</v>
      </c>
      <c r="Q70" s="160">
        <f>ОИ1!Q47</f>
        <v>0</v>
      </c>
      <c r="R70" s="160">
        <f>ОИ1!R47</f>
        <v>0.52207206427279718</v>
      </c>
    </row>
    <row r="71" spans="1:18" ht="15.75" x14ac:dyDescent="0.25">
      <c r="A71" s="84">
        <v>47</v>
      </c>
      <c r="B71" s="84" t="s">
        <v>47</v>
      </c>
      <c r="C71" s="160" t="e">
        <f>ОИ1!C48</f>
        <v>#REF!</v>
      </c>
      <c r="D71" s="160" t="e">
        <f>ОИ1!D48</f>
        <v>#REF!</v>
      </c>
      <c r="E71" s="160">
        <f>ОИ1!E48</f>
        <v>0</v>
      </c>
      <c r="F71" s="160">
        <f>ОИ1!F48</f>
        <v>0</v>
      </c>
      <c r="G71" s="160">
        <f>ОИ1!G48</f>
        <v>0</v>
      </c>
      <c r="H71" s="160">
        <f>ОИ1!H48</f>
        <v>0</v>
      </c>
      <c r="I71" s="160">
        <f>ОИ1!I48</f>
        <v>0</v>
      </c>
      <c r="J71" s="160">
        <f>ОИ1!J48</f>
        <v>0</v>
      </c>
      <c r="K71" s="160">
        <f>ОИ1!K48</f>
        <v>0</v>
      </c>
      <c r="L71" s="160">
        <f>ОИ1!L48</f>
        <v>0</v>
      </c>
      <c r="M71" s="160">
        <f>ОИ1!M48</f>
        <v>0</v>
      </c>
      <c r="N71" s="160">
        <f>ОИ1!N48</f>
        <v>0</v>
      </c>
      <c r="O71" s="160">
        <f>ОИ1!O48</f>
        <v>0</v>
      </c>
      <c r="P71" s="160">
        <f>ОИ1!P48</f>
        <v>0</v>
      </c>
      <c r="Q71" s="160">
        <f>ОИ1!Q48</f>
        <v>0</v>
      </c>
      <c r="R71" s="160">
        <f>ОИ1!R48</f>
        <v>0.70076548303520836</v>
      </c>
    </row>
    <row r="72" spans="1:18" ht="15.75" x14ac:dyDescent="0.25">
      <c r="A72" s="84">
        <v>48</v>
      </c>
      <c r="B72" s="84" t="s">
        <v>48</v>
      </c>
      <c r="C72" s="160" t="e">
        <f>ОИ1!C49</f>
        <v>#REF!</v>
      </c>
      <c r="D72" s="160" t="e">
        <f>ОИ1!D49</f>
        <v>#REF!</v>
      </c>
      <c r="E72" s="160">
        <f>ОИ1!E49</f>
        <v>0</v>
      </c>
      <c r="F72" s="160">
        <f>ОИ1!F49</f>
        <v>0</v>
      </c>
      <c r="G72" s="160">
        <f>ОИ1!G49</f>
        <v>0</v>
      </c>
      <c r="H72" s="160">
        <f>ОИ1!H49</f>
        <v>0</v>
      </c>
      <c r="I72" s="160">
        <f>ОИ1!I49</f>
        <v>0</v>
      </c>
      <c r="J72" s="160">
        <f>ОИ1!J49</f>
        <v>0</v>
      </c>
      <c r="K72" s="160">
        <f>ОИ1!K49</f>
        <v>0</v>
      </c>
      <c r="L72" s="160">
        <f>ОИ1!L49</f>
        <v>0</v>
      </c>
      <c r="M72" s="160">
        <f>ОИ1!M49</f>
        <v>0</v>
      </c>
      <c r="N72" s="160">
        <f>ОИ1!N49</f>
        <v>0</v>
      </c>
      <c r="O72" s="160">
        <f>ОИ1!O49</f>
        <v>0</v>
      </c>
      <c r="P72" s="160">
        <f>ОИ1!P49</f>
        <v>0</v>
      </c>
      <c r="Q72" s="160">
        <f>ОИ1!Q49</f>
        <v>0</v>
      </c>
      <c r="R72" s="160">
        <f>ОИ1!R49</f>
        <v>0.60810284907319645</v>
      </c>
    </row>
    <row r="73" spans="1:18" ht="15.75" x14ac:dyDescent="0.25">
      <c r="A73" s="84">
        <v>49</v>
      </c>
      <c r="B73" s="84" t="s">
        <v>49</v>
      </c>
      <c r="C73" s="160" t="e">
        <f>ОИ1!C50</f>
        <v>#REF!</v>
      </c>
      <c r="D73" s="160" t="e">
        <f>ОИ1!D50</f>
        <v>#REF!</v>
      </c>
      <c r="E73" s="160">
        <f>ОИ1!E50</f>
        <v>0</v>
      </c>
      <c r="F73" s="160">
        <f>ОИ1!F50</f>
        <v>0</v>
      </c>
      <c r="G73" s="160">
        <f>ОИ1!G50</f>
        <v>0</v>
      </c>
      <c r="H73" s="160">
        <f>ОИ1!H50</f>
        <v>0</v>
      </c>
      <c r="I73" s="160">
        <f>ОИ1!I50</f>
        <v>0</v>
      </c>
      <c r="J73" s="160">
        <f>ОИ1!J50</f>
        <v>0</v>
      </c>
      <c r="K73" s="160">
        <f>ОИ1!K50</f>
        <v>0</v>
      </c>
      <c r="L73" s="160">
        <f>ОИ1!L50</f>
        <v>0</v>
      </c>
      <c r="M73" s="160">
        <f>ОИ1!M50</f>
        <v>0</v>
      </c>
      <c r="N73" s="160">
        <f>ОИ1!N50</f>
        <v>0</v>
      </c>
      <c r="O73" s="160">
        <f>ОИ1!O50</f>
        <v>0</v>
      </c>
      <c r="P73" s="160">
        <f>ОИ1!P50</f>
        <v>0</v>
      </c>
      <c r="Q73" s="160">
        <f>ОИ1!Q50</f>
        <v>0</v>
      </c>
      <c r="R73" s="160">
        <f>ОИ1!R50</f>
        <v>0.5803546753801373</v>
      </c>
    </row>
    <row r="74" spans="1:18" ht="15.75" x14ac:dyDescent="0.25">
      <c r="A74" s="84">
        <v>50</v>
      </c>
      <c r="B74" s="84" t="s">
        <v>50</v>
      </c>
      <c r="C74" s="160" t="e">
        <f>ОИ1!C51</f>
        <v>#REF!</v>
      </c>
      <c r="D74" s="160" t="e">
        <f>ОИ1!D51</f>
        <v>#REF!</v>
      </c>
      <c r="E74" s="160">
        <f>ОИ1!E51</f>
        <v>0</v>
      </c>
      <c r="F74" s="160">
        <f>ОИ1!F51</f>
        <v>0</v>
      </c>
      <c r="G74" s="160">
        <f>ОИ1!G51</f>
        <v>0</v>
      </c>
      <c r="H74" s="160">
        <f>ОИ1!H51</f>
        <v>0</v>
      </c>
      <c r="I74" s="160">
        <f>ОИ1!I51</f>
        <v>0</v>
      </c>
      <c r="J74" s="160">
        <f>ОИ1!J51</f>
        <v>0</v>
      </c>
      <c r="K74" s="160">
        <f>ОИ1!K51</f>
        <v>0</v>
      </c>
      <c r="L74" s="160">
        <f>ОИ1!L51</f>
        <v>0</v>
      </c>
      <c r="M74" s="160">
        <f>ОИ1!M51</f>
        <v>0</v>
      </c>
      <c r="N74" s="160">
        <f>ОИ1!N51</f>
        <v>0</v>
      </c>
      <c r="O74" s="160">
        <f>ОИ1!O51</f>
        <v>0</v>
      </c>
      <c r="P74" s="160">
        <f>ОИ1!P51</f>
        <v>0</v>
      </c>
      <c r="Q74" s="160">
        <f>ОИ1!Q51</f>
        <v>0</v>
      </c>
      <c r="R74" s="160">
        <f>ОИ1!R51</f>
        <v>0.62933678942877369</v>
      </c>
    </row>
    <row r="75" spans="1:18" ht="15.75" x14ac:dyDescent="0.25">
      <c r="A75" s="84">
        <v>51</v>
      </c>
      <c r="B75" s="84" t="s">
        <v>51</v>
      </c>
      <c r="C75" s="160" t="e">
        <f>ОИ1!C52</f>
        <v>#REF!</v>
      </c>
      <c r="D75" s="160" t="e">
        <f>ОИ1!D52</f>
        <v>#REF!</v>
      </c>
      <c r="E75" s="160">
        <f>ОИ1!E52</f>
        <v>0</v>
      </c>
      <c r="F75" s="160">
        <f>ОИ1!F52</f>
        <v>0</v>
      </c>
      <c r="G75" s="160">
        <f>ОИ1!G52</f>
        <v>0</v>
      </c>
      <c r="H75" s="160">
        <f>ОИ1!H52</f>
        <v>0</v>
      </c>
      <c r="I75" s="160">
        <f>ОИ1!I52</f>
        <v>0</v>
      </c>
      <c r="J75" s="160">
        <f>ОИ1!J52</f>
        <v>0</v>
      </c>
      <c r="K75" s="160">
        <f>ОИ1!K52</f>
        <v>0</v>
      </c>
      <c r="L75" s="160">
        <f>ОИ1!L52</f>
        <v>0</v>
      </c>
      <c r="M75" s="160">
        <f>ОИ1!M52</f>
        <v>0</v>
      </c>
      <c r="N75" s="160">
        <f>ОИ1!N52</f>
        <v>0</v>
      </c>
      <c r="O75" s="160">
        <f>ОИ1!O52</f>
        <v>0</v>
      </c>
      <c r="P75" s="160">
        <f>ОИ1!P52</f>
        <v>0</v>
      </c>
      <c r="Q75" s="160">
        <f>ОИ1!Q52</f>
        <v>0</v>
      </c>
      <c r="R75" s="160">
        <f>ОИ1!R52</f>
        <v>0.54773935678119912</v>
      </c>
    </row>
    <row r="76" spans="1:18" ht="15.75" x14ac:dyDescent="0.25">
      <c r="A76" s="84">
        <v>52</v>
      </c>
      <c r="B76" s="84" t="s">
        <v>52</v>
      </c>
      <c r="C76" s="160" t="e">
        <f>ОИ1!C53</f>
        <v>#REF!</v>
      </c>
      <c r="D76" s="160" t="e">
        <f>ОИ1!D53</f>
        <v>#REF!</v>
      </c>
      <c r="E76" s="160">
        <f>ОИ1!E53</f>
        <v>0</v>
      </c>
      <c r="F76" s="160">
        <f>ОИ1!F53</f>
        <v>0</v>
      </c>
      <c r="G76" s="160">
        <f>ОИ1!G53</f>
        <v>0</v>
      </c>
      <c r="H76" s="160">
        <f>ОИ1!H53</f>
        <v>0</v>
      </c>
      <c r="I76" s="160">
        <f>ОИ1!I53</f>
        <v>0</v>
      </c>
      <c r="J76" s="160">
        <f>ОИ1!J53</f>
        <v>0</v>
      </c>
      <c r="K76" s="160">
        <f>ОИ1!K53</f>
        <v>0</v>
      </c>
      <c r="L76" s="160">
        <f>ОИ1!L53</f>
        <v>0</v>
      </c>
      <c r="M76" s="160">
        <f>ОИ1!M53</f>
        <v>0</v>
      </c>
      <c r="N76" s="160">
        <f>ОИ1!N53</f>
        <v>0</v>
      </c>
      <c r="O76" s="160">
        <f>ОИ1!O53</f>
        <v>0</v>
      </c>
      <c r="P76" s="160">
        <f>ОИ1!P53</f>
        <v>0</v>
      </c>
      <c r="Q76" s="160">
        <f>ОИ1!Q53</f>
        <v>0</v>
      </c>
      <c r="R76" s="160">
        <f>ОИ1!R53</f>
        <v>0.63770232320356157</v>
      </c>
    </row>
    <row r="77" spans="1:18" ht="15.75" x14ac:dyDescent="0.25">
      <c r="A77" s="84">
        <v>53</v>
      </c>
      <c r="B77" s="84" t="s">
        <v>53</v>
      </c>
      <c r="C77" s="160" t="e">
        <f>ОИ1!C54</f>
        <v>#REF!</v>
      </c>
      <c r="D77" s="160" t="e">
        <f>ОИ1!D54</f>
        <v>#REF!</v>
      </c>
      <c r="E77" s="160">
        <f>ОИ1!E54</f>
        <v>0</v>
      </c>
      <c r="F77" s="160">
        <f>ОИ1!F54</f>
        <v>0</v>
      </c>
      <c r="G77" s="160">
        <f>ОИ1!G54</f>
        <v>0</v>
      </c>
      <c r="H77" s="160">
        <f>ОИ1!H54</f>
        <v>0</v>
      </c>
      <c r="I77" s="160">
        <f>ОИ1!I54</f>
        <v>0</v>
      </c>
      <c r="J77" s="160">
        <f>ОИ1!J54</f>
        <v>0</v>
      </c>
      <c r="K77" s="160">
        <f>ОИ1!K54</f>
        <v>0</v>
      </c>
      <c r="L77" s="160">
        <f>ОИ1!L54</f>
        <v>0</v>
      </c>
      <c r="M77" s="160">
        <f>ОИ1!M54</f>
        <v>0</v>
      </c>
      <c r="N77" s="160">
        <f>ОИ1!N54</f>
        <v>0</v>
      </c>
      <c r="O77" s="160">
        <f>ОИ1!O54</f>
        <v>0</v>
      </c>
      <c r="P77" s="160">
        <f>ОИ1!P54</f>
        <v>0</v>
      </c>
      <c r="Q77" s="160">
        <f>ОИ1!Q54</f>
        <v>0</v>
      </c>
      <c r="R77" s="160">
        <f>ОИ1!R54</f>
        <v>0.59897947283376596</v>
      </c>
    </row>
    <row r="78" spans="1:18" ht="15.75" x14ac:dyDescent="0.25">
      <c r="A78" s="84">
        <v>54</v>
      </c>
      <c r="B78" s="84" t="s">
        <v>54</v>
      </c>
      <c r="C78" s="160" t="e">
        <f>ОИ1!C55</f>
        <v>#REF!</v>
      </c>
      <c r="D78" s="160" t="e">
        <f>ОИ1!D55</f>
        <v>#REF!</v>
      </c>
      <c r="E78" s="160">
        <f>ОИ1!E55</f>
        <v>0</v>
      </c>
      <c r="F78" s="160">
        <f>ОИ1!F55</f>
        <v>0</v>
      </c>
      <c r="G78" s="160">
        <f>ОИ1!G55</f>
        <v>0</v>
      </c>
      <c r="H78" s="160">
        <f>ОИ1!H55</f>
        <v>0</v>
      </c>
      <c r="I78" s="160">
        <f>ОИ1!I55</f>
        <v>0</v>
      </c>
      <c r="J78" s="160">
        <f>ОИ1!J55</f>
        <v>0</v>
      </c>
      <c r="K78" s="160">
        <f>ОИ1!K55</f>
        <v>0</v>
      </c>
      <c r="L78" s="160">
        <f>ОИ1!L55</f>
        <v>0</v>
      </c>
      <c r="M78" s="160">
        <f>ОИ1!M55</f>
        <v>0</v>
      </c>
      <c r="N78" s="160">
        <f>ОИ1!N55</f>
        <v>0</v>
      </c>
      <c r="O78" s="160">
        <f>ОИ1!O55</f>
        <v>0</v>
      </c>
      <c r="P78" s="160">
        <f>ОИ1!P55</f>
        <v>0</v>
      </c>
      <c r="Q78" s="160">
        <f>ОИ1!Q55</f>
        <v>0</v>
      </c>
      <c r="R78" s="160">
        <f>ОИ1!R55</f>
        <v>0.53970882212158378</v>
      </c>
    </row>
    <row r="79" spans="1:18" ht="15.75" x14ac:dyDescent="0.25">
      <c r="A79" s="84">
        <v>55</v>
      </c>
      <c r="B79" s="84" t="s">
        <v>55</v>
      </c>
      <c r="C79" s="160" t="e">
        <f>ОИ1!C56</f>
        <v>#REF!</v>
      </c>
      <c r="D79" s="160" t="e">
        <f>ОИ1!D56</f>
        <v>#REF!</v>
      </c>
      <c r="E79" s="160">
        <f>ОИ1!E56</f>
        <v>0</v>
      </c>
      <c r="F79" s="160">
        <f>ОИ1!F56</f>
        <v>0</v>
      </c>
      <c r="G79" s="160">
        <f>ОИ1!G56</f>
        <v>0</v>
      </c>
      <c r="H79" s="160">
        <f>ОИ1!H56</f>
        <v>0</v>
      </c>
      <c r="I79" s="160">
        <f>ОИ1!I56</f>
        <v>0</v>
      </c>
      <c r="J79" s="160">
        <f>ОИ1!J56</f>
        <v>0</v>
      </c>
      <c r="K79" s="160">
        <f>ОИ1!K56</f>
        <v>0</v>
      </c>
      <c r="L79" s="160">
        <f>ОИ1!L56</f>
        <v>0</v>
      </c>
      <c r="M79" s="160">
        <f>ОИ1!M56</f>
        <v>0</v>
      </c>
      <c r="N79" s="160">
        <f>ОИ1!N56</f>
        <v>0</v>
      </c>
      <c r="O79" s="160">
        <f>ОИ1!O56</f>
        <v>0</v>
      </c>
      <c r="P79" s="160">
        <f>ОИ1!P56</f>
        <v>0</v>
      </c>
      <c r="Q79" s="160">
        <f>ОИ1!Q56</f>
        <v>0</v>
      </c>
      <c r="R79" s="160">
        <f>ОИ1!R56</f>
        <v>0.66004202787694155</v>
      </c>
    </row>
    <row r="80" spans="1:18" ht="15.75" x14ac:dyDescent="0.25">
      <c r="A80" s="84">
        <v>56</v>
      </c>
      <c r="B80" s="84" t="s">
        <v>56</v>
      </c>
      <c r="C80" s="160" t="e">
        <f>ОИ1!C57</f>
        <v>#REF!</v>
      </c>
      <c r="D80" s="160" t="e">
        <f>ОИ1!D57</f>
        <v>#REF!</v>
      </c>
      <c r="E80" s="160">
        <f>ОИ1!E57</f>
        <v>0</v>
      </c>
      <c r="F80" s="160">
        <f>ОИ1!F57</f>
        <v>0</v>
      </c>
      <c r="G80" s="160">
        <f>ОИ1!G57</f>
        <v>0</v>
      </c>
      <c r="H80" s="160">
        <f>ОИ1!H57</f>
        <v>0</v>
      </c>
      <c r="I80" s="160">
        <f>ОИ1!I57</f>
        <v>0</v>
      </c>
      <c r="J80" s="160">
        <f>ОИ1!J57</f>
        <v>0</v>
      </c>
      <c r="K80" s="160">
        <f>ОИ1!K57</f>
        <v>0</v>
      </c>
      <c r="L80" s="160">
        <f>ОИ1!L57</f>
        <v>0</v>
      </c>
      <c r="M80" s="160">
        <f>ОИ1!M57</f>
        <v>0</v>
      </c>
      <c r="N80" s="160">
        <f>ОИ1!N57</f>
        <v>0</v>
      </c>
      <c r="O80" s="160">
        <f>ОИ1!O57</f>
        <v>0</v>
      </c>
      <c r="P80" s="160">
        <f>ОИ1!P57</f>
        <v>0</v>
      </c>
      <c r="Q80" s="160">
        <f>ОИ1!Q57</f>
        <v>0</v>
      </c>
      <c r="R80" s="160">
        <f>ОИ1!R57</f>
        <v>0.56194109704729012</v>
      </c>
    </row>
    <row r="81" spans="1:18" ht="15.75" x14ac:dyDescent="0.25">
      <c r="A81" s="84">
        <v>57</v>
      </c>
      <c r="B81" s="84" t="s">
        <v>57</v>
      </c>
      <c r="C81" s="160" t="e">
        <f>ОИ1!C58</f>
        <v>#REF!</v>
      </c>
      <c r="D81" s="160" t="e">
        <f>ОИ1!D58</f>
        <v>#REF!</v>
      </c>
      <c r="E81" s="160">
        <f>ОИ1!E58</f>
        <v>0</v>
      </c>
      <c r="F81" s="160">
        <f>ОИ1!F58</f>
        <v>0</v>
      </c>
      <c r="G81" s="160">
        <f>ОИ1!G58</f>
        <v>0</v>
      </c>
      <c r="H81" s="160">
        <f>ОИ1!H58</f>
        <v>0</v>
      </c>
      <c r="I81" s="160">
        <f>ОИ1!I58</f>
        <v>0</v>
      </c>
      <c r="J81" s="160">
        <f>ОИ1!J58</f>
        <v>0</v>
      </c>
      <c r="K81" s="160">
        <f>ОИ1!K58</f>
        <v>0</v>
      </c>
      <c r="L81" s="160">
        <f>ОИ1!L58</f>
        <v>0</v>
      </c>
      <c r="M81" s="160">
        <f>ОИ1!M58</f>
        <v>0</v>
      </c>
      <c r="N81" s="160">
        <f>ОИ1!N58</f>
        <v>0</v>
      </c>
      <c r="O81" s="160">
        <f>ОИ1!O58</f>
        <v>0</v>
      </c>
      <c r="P81" s="160">
        <f>ОИ1!P58</f>
        <v>0</v>
      </c>
      <c r="Q81" s="160">
        <f>ОИ1!Q58</f>
        <v>0</v>
      </c>
      <c r="R81" s="160">
        <f>ОИ1!R58</f>
        <v>0.57683760163119946</v>
      </c>
    </row>
    <row r="86" spans="1:18" ht="17.25" customHeight="1" x14ac:dyDescent="0.25"/>
    <row r="87" spans="1:18" ht="33.75" customHeight="1" x14ac:dyDescent="0.25"/>
    <row r="88" spans="1:18" ht="35.25" customHeight="1" x14ac:dyDescent="0.25"/>
    <row r="90" spans="1:18" ht="29.25" customHeight="1" x14ac:dyDescent="0.25"/>
    <row r="91" spans="1:18" ht="37.5" customHeight="1" x14ac:dyDescent="0.25"/>
    <row r="92" spans="1:18" ht="29.25" customHeight="1" x14ac:dyDescent="0.25"/>
    <row r="93" spans="1:18" ht="32.25" customHeight="1" x14ac:dyDescent="0.25"/>
    <row r="99" spans="1:18" ht="15.75" x14ac:dyDescent="0.25">
      <c r="A99" s="84" t="s">
        <v>0</v>
      </c>
      <c r="B99" s="84"/>
      <c r="C99" s="84">
        <v>2005</v>
      </c>
      <c r="D99" s="84">
        <v>2006</v>
      </c>
      <c r="E99" s="84">
        <v>2007</v>
      </c>
      <c r="F99" s="84">
        <v>2008</v>
      </c>
      <c r="G99" s="84">
        <v>2009</v>
      </c>
      <c r="H99" s="84">
        <v>2010</v>
      </c>
      <c r="I99" s="84">
        <v>2011</v>
      </c>
      <c r="J99" s="84">
        <v>2012</v>
      </c>
      <c r="K99" s="84">
        <v>2013</v>
      </c>
      <c r="L99" s="84">
        <v>2014</v>
      </c>
      <c r="M99" s="84">
        <v>2015</v>
      </c>
      <c r="N99" s="84">
        <v>2016</v>
      </c>
      <c r="O99" s="84">
        <v>2017</v>
      </c>
      <c r="P99" s="84">
        <v>2018</v>
      </c>
      <c r="Q99" s="84">
        <v>2019</v>
      </c>
      <c r="R99" s="84">
        <v>2020</v>
      </c>
    </row>
    <row r="100" spans="1:18" ht="15.75" x14ac:dyDescent="0.25">
      <c r="A100" s="84">
        <v>44</v>
      </c>
      <c r="B100" s="84" t="s">
        <v>44</v>
      </c>
      <c r="C100" s="160" t="e">
        <f>ОИ2!C45</f>
        <v>#REF!</v>
      </c>
      <c r="D100" s="160" t="e">
        <f>ОИ2!D45</f>
        <v>#REF!</v>
      </c>
      <c r="E100" s="160">
        <f>ОИ2!E45</f>
        <v>0</v>
      </c>
      <c r="F100" s="160">
        <f>ОИ2!F45</f>
        <v>0</v>
      </c>
      <c r="G100" s="160">
        <f>ОИ2!G45</f>
        <v>0</v>
      </c>
      <c r="H100" s="160">
        <f>ОИ2!H45</f>
        <v>0</v>
      </c>
      <c r="I100" s="160">
        <f>ОИ2!I45</f>
        <v>0</v>
      </c>
      <c r="J100" s="160">
        <f>ОИ2!J45</f>
        <v>0</v>
      </c>
      <c r="K100" s="160">
        <f>ОИ2!K45</f>
        <v>0</v>
      </c>
      <c r="L100" s="160">
        <f>ОИ2!L45</f>
        <v>0</v>
      </c>
      <c r="M100" s="160">
        <f>ОИ2!M45</f>
        <v>0</v>
      </c>
      <c r="N100" s="160">
        <f>ОИ2!N45</f>
        <v>0</v>
      </c>
      <c r="O100" s="160">
        <f>ОИ2!O45</f>
        <v>0</v>
      </c>
      <c r="P100" s="160">
        <f>ОИ2!P45</f>
        <v>0</v>
      </c>
      <c r="Q100" s="160">
        <f>ОИ2!Q45</f>
        <v>0</v>
      </c>
      <c r="R100" s="160">
        <f>ОИ2!R45</f>
        <v>0.30983172934661568</v>
      </c>
    </row>
    <row r="101" spans="1:18" ht="15.75" x14ac:dyDescent="0.25">
      <c r="A101" s="84">
        <v>45</v>
      </c>
      <c r="B101" s="84" t="s">
        <v>45</v>
      </c>
      <c r="C101" s="160" t="e">
        <f>ОИ2!C46</f>
        <v>#REF!</v>
      </c>
      <c r="D101" s="160" t="e">
        <f>ОИ2!D46</f>
        <v>#REF!</v>
      </c>
      <c r="E101" s="160">
        <f>ОИ2!E46</f>
        <v>0</v>
      </c>
      <c r="F101" s="160">
        <f>ОИ2!F46</f>
        <v>0</v>
      </c>
      <c r="G101" s="160">
        <f>ОИ2!G46</f>
        <v>0</v>
      </c>
      <c r="H101" s="160">
        <f>ОИ2!H46</f>
        <v>0</v>
      </c>
      <c r="I101" s="160">
        <f>ОИ2!I46</f>
        <v>0</v>
      </c>
      <c r="J101" s="160">
        <f>ОИ2!J46</f>
        <v>0</v>
      </c>
      <c r="K101" s="160">
        <f>ОИ2!K46</f>
        <v>0</v>
      </c>
      <c r="L101" s="160">
        <f>ОИ2!L46</f>
        <v>0</v>
      </c>
      <c r="M101" s="160">
        <f>ОИ2!M46</f>
        <v>0</v>
      </c>
      <c r="N101" s="160">
        <f>ОИ2!N46</f>
        <v>0</v>
      </c>
      <c r="O101" s="160">
        <f>ОИ2!O46</f>
        <v>0</v>
      </c>
      <c r="P101" s="160">
        <f>ОИ2!P46</f>
        <v>0</v>
      </c>
      <c r="Q101" s="160">
        <f>ОИ2!Q46</f>
        <v>0</v>
      </c>
      <c r="R101" s="160">
        <f>ОИ2!R46</f>
        <v>0.13930478228226598</v>
      </c>
    </row>
    <row r="102" spans="1:18" ht="15.75" x14ac:dyDescent="0.25">
      <c r="A102" s="84">
        <v>46</v>
      </c>
      <c r="B102" s="84" t="s">
        <v>46</v>
      </c>
      <c r="C102" s="160" t="e">
        <f>ОИ2!C47</f>
        <v>#REF!</v>
      </c>
      <c r="D102" s="160" t="e">
        <f>ОИ2!D47</f>
        <v>#REF!</v>
      </c>
      <c r="E102" s="160">
        <f>ОИ2!E47</f>
        <v>0</v>
      </c>
      <c r="F102" s="160">
        <f>ОИ2!F47</f>
        <v>0</v>
      </c>
      <c r="G102" s="160">
        <f>ОИ2!G47</f>
        <v>0</v>
      </c>
      <c r="H102" s="160">
        <f>ОИ2!H47</f>
        <v>0</v>
      </c>
      <c r="I102" s="160">
        <f>ОИ2!I47</f>
        <v>0</v>
      </c>
      <c r="J102" s="160">
        <f>ОИ2!J47</f>
        <v>0</v>
      </c>
      <c r="K102" s="160">
        <f>ОИ2!K47</f>
        <v>0</v>
      </c>
      <c r="L102" s="160">
        <f>ОИ2!L47</f>
        <v>0</v>
      </c>
      <c r="M102" s="160">
        <f>ОИ2!M47</f>
        <v>0</v>
      </c>
      <c r="N102" s="160">
        <f>ОИ2!N47</f>
        <v>0</v>
      </c>
      <c r="O102" s="160">
        <f>ОИ2!O47</f>
        <v>0</v>
      </c>
      <c r="P102" s="160">
        <f>ОИ2!P47</f>
        <v>0</v>
      </c>
      <c r="Q102" s="160">
        <f>ОИ2!Q47</f>
        <v>0</v>
      </c>
      <c r="R102" s="160">
        <f>ОИ2!R47</f>
        <v>0.4683911250029662</v>
      </c>
    </row>
    <row r="103" spans="1:18" ht="15.75" x14ac:dyDescent="0.25">
      <c r="A103" s="84">
        <v>47</v>
      </c>
      <c r="B103" s="84" t="s">
        <v>47</v>
      </c>
      <c r="C103" s="160" t="e">
        <f>ОИ2!C48</f>
        <v>#REF!</v>
      </c>
      <c r="D103" s="160" t="e">
        <f>ОИ2!D48</f>
        <v>#REF!</v>
      </c>
      <c r="E103" s="160">
        <f>ОИ2!E48</f>
        <v>0</v>
      </c>
      <c r="F103" s="160">
        <f>ОИ2!F48</f>
        <v>0</v>
      </c>
      <c r="G103" s="160">
        <f>ОИ2!G48</f>
        <v>0</v>
      </c>
      <c r="H103" s="160">
        <f>ОИ2!H48</f>
        <v>0</v>
      </c>
      <c r="I103" s="160">
        <f>ОИ2!I48</f>
        <v>0</v>
      </c>
      <c r="J103" s="160">
        <f>ОИ2!J48</f>
        <v>0</v>
      </c>
      <c r="K103" s="160">
        <f>ОИ2!K48</f>
        <v>0</v>
      </c>
      <c r="L103" s="160">
        <f>ОИ2!L48</f>
        <v>0</v>
      </c>
      <c r="M103" s="160">
        <f>ОИ2!M48</f>
        <v>0</v>
      </c>
      <c r="N103" s="160">
        <f>ОИ2!N48</f>
        <v>0</v>
      </c>
      <c r="O103" s="160">
        <f>ОИ2!O48</f>
        <v>0</v>
      </c>
      <c r="P103" s="160">
        <f>ОИ2!P48</f>
        <v>0</v>
      </c>
      <c r="Q103" s="160">
        <f>ОИ2!Q48</f>
        <v>0</v>
      </c>
      <c r="R103" s="160">
        <f>ОИ2!R48</f>
        <v>0.54867005174008054</v>
      </c>
    </row>
    <row r="104" spans="1:18" ht="15.75" x14ac:dyDescent="0.25">
      <c r="A104" s="84">
        <v>48</v>
      </c>
      <c r="B104" s="84" t="s">
        <v>48</v>
      </c>
      <c r="C104" s="160" t="e">
        <f>ОИ2!C49</f>
        <v>#REF!</v>
      </c>
      <c r="D104" s="160" t="e">
        <f>ОИ2!D49</f>
        <v>#REF!</v>
      </c>
      <c r="E104" s="160">
        <f>ОИ2!E49</f>
        <v>0</v>
      </c>
      <c r="F104" s="160">
        <f>ОИ2!F49</f>
        <v>0</v>
      </c>
      <c r="G104" s="160">
        <f>ОИ2!G49</f>
        <v>0</v>
      </c>
      <c r="H104" s="160">
        <f>ОИ2!H49</f>
        <v>0</v>
      </c>
      <c r="I104" s="160">
        <f>ОИ2!I49</f>
        <v>0</v>
      </c>
      <c r="J104" s="160">
        <f>ОИ2!J49</f>
        <v>0</v>
      </c>
      <c r="K104" s="160">
        <f>ОИ2!K49</f>
        <v>0</v>
      </c>
      <c r="L104" s="160">
        <f>ОИ2!L49</f>
        <v>0</v>
      </c>
      <c r="M104" s="160">
        <f>ОИ2!M49</f>
        <v>0</v>
      </c>
      <c r="N104" s="160">
        <f>ОИ2!N49</f>
        <v>0</v>
      </c>
      <c r="O104" s="160">
        <f>ОИ2!O49</f>
        <v>0</v>
      </c>
      <c r="P104" s="160">
        <f>ОИ2!P49</f>
        <v>0</v>
      </c>
      <c r="Q104" s="160">
        <f>ОИ2!Q49</f>
        <v>0</v>
      </c>
      <c r="R104" s="160">
        <f>ОИ2!R49</f>
        <v>0.21762825719270115</v>
      </c>
    </row>
    <row r="105" spans="1:18" ht="15.75" x14ac:dyDescent="0.25">
      <c r="A105" s="84">
        <v>49</v>
      </c>
      <c r="B105" s="84" t="s">
        <v>49</v>
      </c>
      <c r="C105" s="160" t="e">
        <f>ОИ2!C50</f>
        <v>#REF!</v>
      </c>
      <c r="D105" s="160" t="e">
        <f>ОИ2!D50</f>
        <v>#REF!</v>
      </c>
      <c r="E105" s="160">
        <f>ОИ2!E50</f>
        <v>0</v>
      </c>
      <c r="F105" s="160">
        <f>ОИ2!F50</f>
        <v>0</v>
      </c>
      <c r="G105" s="160">
        <f>ОИ2!G50</f>
        <v>0</v>
      </c>
      <c r="H105" s="160">
        <f>ОИ2!H50</f>
        <v>0</v>
      </c>
      <c r="I105" s="160">
        <f>ОИ2!I50</f>
        <v>0</v>
      </c>
      <c r="J105" s="160">
        <f>ОИ2!J50</f>
        <v>0</v>
      </c>
      <c r="K105" s="160">
        <f>ОИ2!K50</f>
        <v>0</v>
      </c>
      <c r="L105" s="160">
        <f>ОИ2!L50</f>
        <v>0</v>
      </c>
      <c r="M105" s="160">
        <f>ОИ2!M50</f>
        <v>0</v>
      </c>
      <c r="N105" s="160">
        <f>ОИ2!N50</f>
        <v>0</v>
      </c>
      <c r="O105" s="160">
        <f>ОИ2!O50</f>
        <v>0</v>
      </c>
      <c r="P105" s="160">
        <f>ОИ2!P50</f>
        <v>0</v>
      </c>
      <c r="Q105" s="160">
        <f>ОИ2!Q50</f>
        <v>0</v>
      </c>
      <c r="R105" s="160">
        <f>ОИ2!R50</f>
        <v>0.30374061433563876</v>
      </c>
    </row>
    <row r="106" spans="1:18" ht="15.75" x14ac:dyDescent="0.25">
      <c r="A106" s="84">
        <v>50</v>
      </c>
      <c r="B106" s="84" t="s">
        <v>50</v>
      </c>
      <c r="C106" s="160" t="e">
        <f>ОИ2!C51</f>
        <v>#REF!</v>
      </c>
      <c r="D106" s="160" t="e">
        <f>ОИ2!D51</f>
        <v>#REF!</v>
      </c>
      <c r="E106" s="160">
        <f>ОИ2!E51</f>
        <v>0</v>
      </c>
      <c r="F106" s="160">
        <f>ОИ2!F51</f>
        <v>0</v>
      </c>
      <c r="G106" s="160">
        <f>ОИ2!G51</f>
        <v>0</v>
      </c>
      <c r="H106" s="160">
        <f>ОИ2!H51</f>
        <v>0</v>
      </c>
      <c r="I106" s="160">
        <f>ОИ2!I51</f>
        <v>0</v>
      </c>
      <c r="J106" s="160">
        <f>ОИ2!J51</f>
        <v>0</v>
      </c>
      <c r="K106" s="160">
        <f>ОИ2!K51</f>
        <v>0</v>
      </c>
      <c r="L106" s="160">
        <f>ОИ2!L51</f>
        <v>0</v>
      </c>
      <c r="M106" s="160">
        <f>ОИ2!M51</f>
        <v>0</v>
      </c>
      <c r="N106" s="160">
        <f>ОИ2!N51</f>
        <v>0</v>
      </c>
      <c r="O106" s="160">
        <f>ОИ2!O51</f>
        <v>0</v>
      </c>
      <c r="P106" s="160">
        <f>ОИ2!P51</f>
        <v>0</v>
      </c>
      <c r="Q106" s="160">
        <f>ОИ2!Q51</f>
        <v>0</v>
      </c>
      <c r="R106" s="160">
        <f>ОИ2!R51</f>
        <v>0.29629847624678884</v>
      </c>
    </row>
    <row r="107" spans="1:18" ht="15.75" x14ac:dyDescent="0.25">
      <c r="A107" s="84">
        <v>51</v>
      </c>
      <c r="B107" s="84" t="s">
        <v>51</v>
      </c>
      <c r="C107" s="160" t="e">
        <f>ОИ2!C52</f>
        <v>#REF!</v>
      </c>
      <c r="D107" s="160" t="e">
        <f>ОИ2!D52</f>
        <v>#REF!</v>
      </c>
      <c r="E107" s="160">
        <f>ОИ2!E52</f>
        <v>0</v>
      </c>
      <c r="F107" s="160">
        <f>ОИ2!F52</f>
        <v>0</v>
      </c>
      <c r="G107" s="160">
        <f>ОИ2!G52</f>
        <v>0</v>
      </c>
      <c r="H107" s="160">
        <f>ОИ2!H52</f>
        <v>0</v>
      </c>
      <c r="I107" s="160">
        <f>ОИ2!I52</f>
        <v>0</v>
      </c>
      <c r="J107" s="160">
        <f>ОИ2!J52</f>
        <v>0</v>
      </c>
      <c r="K107" s="160">
        <f>ОИ2!K52</f>
        <v>0</v>
      </c>
      <c r="L107" s="160">
        <f>ОИ2!L52</f>
        <v>0</v>
      </c>
      <c r="M107" s="160">
        <f>ОИ2!M52</f>
        <v>0</v>
      </c>
      <c r="N107" s="160">
        <f>ОИ2!N52</f>
        <v>0</v>
      </c>
      <c r="O107" s="160">
        <f>ОИ2!O52</f>
        <v>0</v>
      </c>
      <c r="P107" s="160">
        <f>ОИ2!P52</f>
        <v>0</v>
      </c>
      <c r="Q107" s="160">
        <f>ОИ2!Q52</f>
        <v>0</v>
      </c>
      <c r="R107" s="160">
        <f>ОИ2!R52</f>
        <v>0.29828492824236613</v>
      </c>
    </row>
    <row r="108" spans="1:18" ht="15.75" x14ac:dyDescent="0.25">
      <c r="A108" s="84">
        <v>52</v>
      </c>
      <c r="B108" s="84" t="s">
        <v>52</v>
      </c>
      <c r="C108" s="160" t="e">
        <f>ОИ2!C53</f>
        <v>#REF!</v>
      </c>
      <c r="D108" s="160" t="e">
        <f>ОИ2!D53</f>
        <v>#REF!</v>
      </c>
      <c r="E108" s="160">
        <f>ОИ2!E53</f>
        <v>0</v>
      </c>
      <c r="F108" s="160">
        <f>ОИ2!F53</f>
        <v>0</v>
      </c>
      <c r="G108" s="160">
        <f>ОИ2!G53</f>
        <v>0</v>
      </c>
      <c r="H108" s="160">
        <f>ОИ2!H53</f>
        <v>0</v>
      </c>
      <c r="I108" s="160">
        <f>ОИ2!I53</f>
        <v>0</v>
      </c>
      <c r="J108" s="160">
        <f>ОИ2!J53</f>
        <v>0</v>
      </c>
      <c r="K108" s="160">
        <f>ОИ2!K53</f>
        <v>0</v>
      </c>
      <c r="L108" s="160">
        <f>ОИ2!L53</f>
        <v>0</v>
      </c>
      <c r="M108" s="160">
        <f>ОИ2!M53</f>
        <v>0</v>
      </c>
      <c r="N108" s="160">
        <f>ОИ2!N53</f>
        <v>0</v>
      </c>
      <c r="O108" s="160">
        <f>ОИ2!O53</f>
        <v>0</v>
      </c>
      <c r="P108" s="160">
        <f>ОИ2!P53</f>
        <v>0</v>
      </c>
      <c r="Q108" s="160">
        <f>ОИ2!Q53</f>
        <v>0</v>
      </c>
      <c r="R108" s="160">
        <f>ОИ2!R53</f>
        <v>0.50817620555861598</v>
      </c>
    </row>
    <row r="109" spans="1:18" ht="15.75" x14ac:dyDescent="0.25">
      <c r="A109" s="84">
        <v>53</v>
      </c>
      <c r="B109" s="84" t="s">
        <v>53</v>
      </c>
      <c r="C109" s="160" t="e">
        <f>ОИ2!C54</f>
        <v>#REF!</v>
      </c>
      <c r="D109" s="160" t="e">
        <f>ОИ2!D54</f>
        <v>#REF!</v>
      </c>
      <c r="E109" s="160">
        <f>ОИ2!E54</f>
        <v>0</v>
      </c>
      <c r="F109" s="160">
        <f>ОИ2!F54</f>
        <v>0</v>
      </c>
      <c r="G109" s="160">
        <f>ОИ2!G54</f>
        <v>0</v>
      </c>
      <c r="H109" s="160">
        <f>ОИ2!H54</f>
        <v>0</v>
      </c>
      <c r="I109" s="160">
        <f>ОИ2!I54</f>
        <v>0</v>
      </c>
      <c r="J109" s="160">
        <f>ОИ2!J54</f>
        <v>0</v>
      </c>
      <c r="K109" s="160">
        <f>ОИ2!K54</f>
        <v>0</v>
      </c>
      <c r="L109" s="160">
        <f>ОИ2!L54</f>
        <v>0</v>
      </c>
      <c r="M109" s="160">
        <f>ОИ2!M54</f>
        <v>0</v>
      </c>
      <c r="N109" s="160">
        <f>ОИ2!N54</f>
        <v>0</v>
      </c>
      <c r="O109" s="160">
        <f>ОИ2!O54</f>
        <v>0</v>
      </c>
      <c r="P109" s="160">
        <f>ОИ2!P54</f>
        <v>0</v>
      </c>
      <c r="Q109" s="160">
        <f>ОИ2!Q54</f>
        <v>0</v>
      </c>
      <c r="R109" s="160">
        <f>ОИ2!R54</f>
        <v>0.12336673800105742</v>
      </c>
    </row>
    <row r="110" spans="1:18" ht="15.75" x14ac:dyDescent="0.25">
      <c r="A110" s="84">
        <v>54</v>
      </c>
      <c r="B110" s="84" t="s">
        <v>54</v>
      </c>
      <c r="C110" s="160" t="e">
        <f>ОИ2!C55</f>
        <v>#REF!</v>
      </c>
      <c r="D110" s="160" t="e">
        <f>ОИ2!D55</f>
        <v>#REF!</v>
      </c>
      <c r="E110" s="160">
        <f>ОИ2!E55</f>
        <v>0</v>
      </c>
      <c r="F110" s="160">
        <f>ОИ2!F55</f>
        <v>0</v>
      </c>
      <c r="G110" s="160">
        <f>ОИ2!G55</f>
        <v>0</v>
      </c>
      <c r="H110" s="160">
        <f>ОИ2!H55</f>
        <v>0</v>
      </c>
      <c r="I110" s="160">
        <f>ОИ2!I55</f>
        <v>0</v>
      </c>
      <c r="J110" s="160">
        <f>ОИ2!J55</f>
        <v>0</v>
      </c>
      <c r="K110" s="160">
        <f>ОИ2!K55</f>
        <v>0</v>
      </c>
      <c r="L110" s="160">
        <f>ОИ2!L55</f>
        <v>0</v>
      </c>
      <c r="M110" s="160">
        <f>ОИ2!M55</f>
        <v>0</v>
      </c>
      <c r="N110" s="160">
        <f>ОИ2!N55</f>
        <v>0</v>
      </c>
      <c r="O110" s="160">
        <f>ОИ2!O55</f>
        <v>0</v>
      </c>
      <c r="P110" s="160">
        <f>ОИ2!P55</f>
        <v>0</v>
      </c>
      <c r="Q110" s="160">
        <f>ОИ2!Q55</f>
        <v>0</v>
      </c>
      <c r="R110" s="160">
        <f>ОИ2!R55</f>
        <v>0.37793436509019412</v>
      </c>
    </row>
    <row r="111" spans="1:18" ht="15.75" x14ac:dyDescent="0.25">
      <c r="A111" s="84">
        <v>55</v>
      </c>
      <c r="B111" s="84" t="s">
        <v>55</v>
      </c>
      <c r="C111" s="160" t="e">
        <f>ОИ2!C56</f>
        <v>#REF!</v>
      </c>
      <c r="D111" s="160" t="e">
        <f>ОИ2!D56</f>
        <v>#REF!</v>
      </c>
      <c r="E111" s="160">
        <f>ОИ2!E56</f>
        <v>0</v>
      </c>
      <c r="F111" s="160">
        <f>ОИ2!F56</f>
        <v>0</v>
      </c>
      <c r="G111" s="160">
        <f>ОИ2!G56</f>
        <v>0</v>
      </c>
      <c r="H111" s="160">
        <f>ОИ2!H56</f>
        <v>0</v>
      </c>
      <c r="I111" s="160">
        <f>ОИ2!I56</f>
        <v>0</v>
      </c>
      <c r="J111" s="160">
        <f>ОИ2!J56</f>
        <v>0</v>
      </c>
      <c r="K111" s="160">
        <f>ОИ2!K56</f>
        <v>0</v>
      </c>
      <c r="L111" s="160">
        <f>ОИ2!L56</f>
        <v>0</v>
      </c>
      <c r="M111" s="160">
        <f>ОИ2!M56</f>
        <v>0</v>
      </c>
      <c r="N111" s="160">
        <f>ОИ2!N56</f>
        <v>0</v>
      </c>
      <c r="O111" s="160">
        <f>ОИ2!O56</f>
        <v>0</v>
      </c>
      <c r="P111" s="160">
        <f>ОИ2!P56</f>
        <v>0</v>
      </c>
      <c r="Q111" s="160">
        <f>ОИ2!Q56</f>
        <v>0</v>
      </c>
      <c r="R111" s="160">
        <f>ОИ2!R56</f>
        <v>0.38730254071093362</v>
      </c>
    </row>
    <row r="112" spans="1:18" ht="15.75" x14ac:dyDescent="0.25">
      <c r="A112" s="84">
        <v>56</v>
      </c>
      <c r="B112" s="84" t="s">
        <v>56</v>
      </c>
      <c r="C112" s="160" t="e">
        <f>ОИ2!C57</f>
        <v>#REF!</v>
      </c>
      <c r="D112" s="160" t="e">
        <f>ОИ2!D57</f>
        <v>#REF!</v>
      </c>
      <c r="E112" s="160">
        <f>ОИ2!E57</f>
        <v>0</v>
      </c>
      <c r="F112" s="160">
        <f>ОИ2!F57</f>
        <v>0</v>
      </c>
      <c r="G112" s="160">
        <f>ОИ2!G57</f>
        <v>0</v>
      </c>
      <c r="H112" s="160">
        <f>ОИ2!H57</f>
        <v>0</v>
      </c>
      <c r="I112" s="160">
        <f>ОИ2!I57</f>
        <v>0</v>
      </c>
      <c r="J112" s="160">
        <f>ОИ2!J57</f>
        <v>0</v>
      </c>
      <c r="K112" s="160">
        <f>ОИ2!K57</f>
        <v>0</v>
      </c>
      <c r="L112" s="160">
        <f>ОИ2!L57</f>
        <v>0</v>
      </c>
      <c r="M112" s="160">
        <f>ОИ2!M57</f>
        <v>0</v>
      </c>
      <c r="N112" s="160">
        <f>ОИ2!N57</f>
        <v>0</v>
      </c>
      <c r="O112" s="160">
        <f>ОИ2!O57</f>
        <v>0</v>
      </c>
      <c r="P112" s="160">
        <f>ОИ2!P57</f>
        <v>0</v>
      </c>
      <c r="Q112" s="160">
        <f>ОИ2!Q57</f>
        <v>0</v>
      </c>
      <c r="R112" s="160">
        <f>ОИ2!R57</f>
        <v>6.3804991065880293E-2</v>
      </c>
    </row>
    <row r="113" spans="1:18" ht="15.75" x14ac:dyDescent="0.25">
      <c r="A113" s="84">
        <v>57</v>
      </c>
      <c r="B113" s="84" t="s">
        <v>57</v>
      </c>
      <c r="C113" s="160" t="e">
        <f>ОИ2!C58</f>
        <v>#REF!</v>
      </c>
      <c r="D113" s="160" t="e">
        <f>ОИ2!D58</f>
        <v>#REF!</v>
      </c>
      <c r="E113" s="160">
        <f>ОИ2!E58</f>
        <v>0</v>
      </c>
      <c r="F113" s="160">
        <f>ОИ2!F58</f>
        <v>0</v>
      </c>
      <c r="G113" s="160">
        <f>ОИ2!G58</f>
        <v>0</v>
      </c>
      <c r="H113" s="160">
        <f>ОИ2!H58</f>
        <v>0</v>
      </c>
      <c r="I113" s="160">
        <f>ОИ2!I58</f>
        <v>0</v>
      </c>
      <c r="J113" s="160">
        <f>ОИ2!J58</f>
        <v>0</v>
      </c>
      <c r="K113" s="160">
        <f>ОИ2!K58</f>
        <v>0</v>
      </c>
      <c r="L113" s="160">
        <f>ОИ2!L58</f>
        <v>0</v>
      </c>
      <c r="M113" s="160">
        <f>ОИ2!M58</f>
        <v>0</v>
      </c>
      <c r="N113" s="160">
        <f>ОИ2!N58</f>
        <v>0</v>
      </c>
      <c r="O113" s="160">
        <f>ОИ2!O58</f>
        <v>0</v>
      </c>
      <c r="P113" s="160">
        <f>ОИ2!P58</f>
        <v>0</v>
      </c>
      <c r="Q113" s="160">
        <f>ОИ2!Q58</f>
        <v>0</v>
      </c>
      <c r="R113" s="160">
        <f>ОИ2!R58</f>
        <v>0.36480551384967308</v>
      </c>
    </row>
    <row r="118" spans="1:18" ht="27.75" customHeight="1" x14ac:dyDescent="0.25"/>
    <row r="119" spans="1:18" ht="23.25" customHeight="1" x14ac:dyDescent="0.25"/>
    <row r="120" spans="1:18" ht="25.5" customHeight="1" x14ac:dyDescent="0.25"/>
    <row r="123" spans="1:18" ht="24.75" customHeight="1" x14ac:dyDescent="0.25"/>
    <row r="124" spans="1:18" ht="15.75" customHeight="1" x14ac:dyDescent="0.25"/>
    <row r="126" spans="1:18" ht="45.75" customHeight="1" x14ac:dyDescent="0.25"/>
    <row r="128" spans="1:18" ht="23.25" customHeight="1" x14ac:dyDescent="0.25"/>
    <row r="129" spans="1:18" ht="24.75" customHeight="1" x14ac:dyDescent="0.25"/>
    <row r="130" spans="1:18" ht="18" customHeight="1" x14ac:dyDescent="0.25"/>
    <row r="132" spans="1:18" ht="15.75" x14ac:dyDescent="0.25">
      <c r="A132" s="84" t="s">
        <v>0</v>
      </c>
      <c r="B132" s="84"/>
      <c r="C132" s="84">
        <v>2005</v>
      </c>
      <c r="D132" s="84">
        <v>2006</v>
      </c>
      <c r="E132" s="84">
        <v>2007</v>
      </c>
      <c r="F132" s="84">
        <v>2008</v>
      </c>
      <c r="G132" s="84">
        <v>2009</v>
      </c>
      <c r="H132" s="84">
        <v>2010</v>
      </c>
      <c r="I132" s="84">
        <v>2011</v>
      </c>
      <c r="J132" s="84">
        <v>2012</v>
      </c>
      <c r="K132" s="84">
        <v>2013</v>
      </c>
      <c r="L132" s="84">
        <v>2014</v>
      </c>
      <c r="M132" s="84">
        <v>2015</v>
      </c>
      <c r="N132" s="84">
        <v>2016</v>
      </c>
      <c r="O132" s="84">
        <v>2017</v>
      </c>
      <c r="P132" s="84">
        <v>2018</v>
      </c>
      <c r="Q132" s="84">
        <v>2019</v>
      </c>
      <c r="R132" s="84">
        <v>2020</v>
      </c>
    </row>
    <row r="133" spans="1:18" ht="15.75" x14ac:dyDescent="0.25">
      <c r="A133" s="84">
        <v>44</v>
      </c>
      <c r="B133" s="84" t="s">
        <v>44</v>
      </c>
      <c r="C133" s="160" t="e">
        <f>ОИ3!C45</f>
        <v>#REF!</v>
      </c>
      <c r="D133" s="160" t="e">
        <f>ОИ3!D45</f>
        <v>#REF!</v>
      </c>
      <c r="E133" s="160">
        <f>ОИ3!E45</f>
        <v>0</v>
      </c>
      <c r="F133" s="160">
        <f>ОИ3!F45</f>
        <v>0</v>
      </c>
      <c r="G133" s="160">
        <f>ОИ3!G45</f>
        <v>0</v>
      </c>
      <c r="H133" s="160">
        <f>ОИ3!H45</f>
        <v>0</v>
      </c>
      <c r="I133" s="160">
        <f>ОИ3!I45</f>
        <v>0</v>
      </c>
      <c r="J133" s="160">
        <f>ОИ3!J45</f>
        <v>0</v>
      </c>
      <c r="K133" s="160">
        <f>ОИ3!K45</f>
        <v>0</v>
      </c>
      <c r="L133" s="160">
        <f>ОИ3!L45</f>
        <v>0</v>
      </c>
      <c r="M133" s="160">
        <f>ОИ3!M45</f>
        <v>0</v>
      </c>
      <c r="N133" s="160">
        <f>ОИ3!N45</f>
        <v>0</v>
      </c>
      <c r="O133" s="160">
        <f>ОИ3!O45</f>
        <v>0</v>
      </c>
      <c r="P133" s="160">
        <f>ОИ3!P45</f>
        <v>0</v>
      </c>
      <c r="Q133" s="160">
        <f>ОИ3!Q45</f>
        <v>0</v>
      </c>
      <c r="R133" s="160">
        <f>ОИ3!R45</f>
        <v>0.40134612123549895</v>
      </c>
    </row>
    <row r="134" spans="1:18" ht="15.75" x14ac:dyDescent="0.25">
      <c r="A134" s="84">
        <v>45</v>
      </c>
      <c r="B134" s="84" t="s">
        <v>45</v>
      </c>
      <c r="C134" s="160" t="e">
        <f>ОИ3!C46</f>
        <v>#REF!</v>
      </c>
      <c r="D134" s="160" t="e">
        <f>ОИ3!D46</f>
        <v>#REF!</v>
      </c>
      <c r="E134" s="160">
        <f>ОИ3!E46</f>
        <v>0</v>
      </c>
      <c r="F134" s="160">
        <f>ОИ3!F46</f>
        <v>0</v>
      </c>
      <c r="G134" s="160">
        <f>ОИ3!G46</f>
        <v>0</v>
      </c>
      <c r="H134" s="160">
        <f>ОИ3!H46</f>
        <v>0</v>
      </c>
      <c r="I134" s="160">
        <f>ОИ3!I46</f>
        <v>0</v>
      </c>
      <c r="J134" s="160">
        <f>ОИ3!J46</f>
        <v>0</v>
      </c>
      <c r="K134" s="160">
        <f>ОИ3!K46</f>
        <v>0</v>
      </c>
      <c r="L134" s="160">
        <f>ОИ3!L46</f>
        <v>0</v>
      </c>
      <c r="M134" s="160">
        <f>ОИ3!M46</f>
        <v>0</v>
      </c>
      <c r="N134" s="160">
        <f>ОИ3!N46</f>
        <v>0</v>
      </c>
      <c r="O134" s="160">
        <f>ОИ3!O46</f>
        <v>0</v>
      </c>
      <c r="P134" s="160">
        <f>ОИ3!P46</f>
        <v>0</v>
      </c>
      <c r="Q134" s="160">
        <f>ОИ3!Q46</f>
        <v>0</v>
      </c>
      <c r="R134" s="160">
        <f>ОИ3!R46</f>
        <v>0.28776807260032644</v>
      </c>
    </row>
    <row r="135" spans="1:18" ht="15.75" x14ac:dyDescent="0.25">
      <c r="A135" s="84">
        <v>46</v>
      </c>
      <c r="B135" s="84" t="s">
        <v>46</v>
      </c>
      <c r="C135" s="160" t="e">
        <f>ОИ3!C47</f>
        <v>#REF!</v>
      </c>
      <c r="D135" s="160" t="e">
        <f>ОИ3!D47</f>
        <v>#REF!</v>
      </c>
      <c r="E135" s="160">
        <f>ОИ3!E47</f>
        <v>0</v>
      </c>
      <c r="F135" s="160">
        <f>ОИ3!F47</f>
        <v>0</v>
      </c>
      <c r="G135" s="160">
        <f>ОИ3!G47</f>
        <v>0</v>
      </c>
      <c r="H135" s="160">
        <f>ОИ3!H47</f>
        <v>0</v>
      </c>
      <c r="I135" s="160">
        <f>ОИ3!I47</f>
        <v>0</v>
      </c>
      <c r="J135" s="160">
        <f>ОИ3!J47</f>
        <v>0</v>
      </c>
      <c r="K135" s="160">
        <f>ОИ3!K47</f>
        <v>0</v>
      </c>
      <c r="L135" s="160">
        <f>ОИ3!L47</f>
        <v>0</v>
      </c>
      <c r="M135" s="160">
        <f>ОИ3!M47</f>
        <v>0</v>
      </c>
      <c r="N135" s="160">
        <f>ОИ3!N47</f>
        <v>0</v>
      </c>
      <c r="O135" s="160">
        <f>ОИ3!O47</f>
        <v>0</v>
      </c>
      <c r="P135" s="160">
        <f>ОИ3!P47</f>
        <v>0</v>
      </c>
      <c r="Q135" s="160">
        <f>ОИ3!Q47</f>
        <v>0</v>
      </c>
      <c r="R135" s="160">
        <f>ОИ3!R47</f>
        <v>0.24793964119261816</v>
      </c>
    </row>
    <row r="136" spans="1:18" ht="15.75" x14ac:dyDescent="0.25">
      <c r="A136" s="84">
        <v>47</v>
      </c>
      <c r="B136" s="84" t="s">
        <v>47</v>
      </c>
      <c r="C136" s="160" t="e">
        <f>ОИ3!C48</f>
        <v>#REF!</v>
      </c>
      <c r="D136" s="160" t="e">
        <f>ОИ3!D48</f>
        <v>#REF!</v>
      </c>
      <c r="E136" s="160">
        <f>ОИ3!E48</f>
        <v>0</v>
      </c>
      <c r="F136" s="160">
        <f>ОИ3!F48</f>
        <v>0</v>
      </c>
      <c r="G136" s="160">
        <f>ОИ3!G48</f>
        <v>0</v>
      </c>
      <c r="H136" s="160">
        <f>ОИ3!H48</f>
        <v>0</v>
      </c>
      <c r="I136" s="160">
        <f>ОИ3!I48</f>
        <v>0</v>
      </c>
      <c r="J136" s="160">
        <f>ОИ3!J48</f>
        <v>0</v>
      </c>
      <c r="K136" s="160">
        <f>ОИ3!K48</f>
        <v>0</v>
      </c>
      <c r="L136" s="160">
        <f>ОИ3!L48</f>
        <v>0</v>
      </c>
      <c r="M136" s="160">
        <f>ОИ3!M48</f>
        <v>0</v>
      </c>
      <c r="N136" s="160">
        <f>ОИ3!N48</f>
        <v>0</v>
      </c>
      <c r="O136" s="160">
        <f>ОИ3!O48</f>
        <v>0</v>
      </c>
      <c r="P136" s="160">
        <f>ОИ3!P48</f>
        <v>0</v>
      </c>
      <c r="Q136" s="160">
        <f>ОИ3!Q48</f>
        <v>0</v>
      </c>
      <c r="R136" s="160">
        <f>ОИ3!R48</f>
        <v>0.4895550685408982</v>
      </c>
    </row>
    <row r="137" spans="1:18" ht="15.75" x14ac:dyDescent="0.25">
      <c r="A137" s="84">
        <v>48</v>
      </c>
      <c r="B137" s="84" t="s">
        <v>48</v>
      </c>
      <c r="C137" s="160" t="e">
        <f>ОИ3!C49</f>
        <v>#REF!</v>
      </c>
      <c r="D137" s="160" t="e">
        <f>ОИ3!D49</f>
        <v>#REF!</v>
      </c>
      <c r="E137" s="160">
        <f>ОИ3!E49</f>
        <v>0</v>
      </c>
      <c r="F137" s="160">
        <f>ОИ3!F49</f>
        <v>0</v>
      </c>
      <c r="G137" s="160">
        <f>ОИ3!G49</f>
        <v>0</v>
      </c>
      <c r="H137" s="160">
        <f>ОИ3!H49</f>
        <v>0</v>
      </c>
      <c r="I137" s="160">
        <f>ОИ3!I49</f>
        <v>0</v>
      </c>
      <c r="J137" s="160">
        <f>ОИ3!J49</f>
        <v>0</v>
      </c>
      <c r="K137" s="160">
        <f>ОИ3!K49</f>
        <v>0</v>
      </c>
      <c r="L137" s="160">
        <f>ОИ3!L49</f>
        <v>0</v>
      </c>
      <c r="M137" s="160">
        <f>ОИ3!M49</f>
        <v>0</v>
      </c>
      <c r="N137" s="160">
        <f>ОИ3!N49</f>
        <v>0</v>
      </c>
      <c r="O137" s="160">
        <f>ОИ3!O49</f>
        <v>0</v>
      </c>
      <c r="P137" s="160">
        <f>ОИ3!P49</f>
        <v>0</v>
      </c>
      <c r="Q137" s="160">
        <f>ОИ3!Q49</f>
        <v>0</v>
      </c>
      <c r="R137" s="160">
        <f>ОИ3!R49</f>
        <v>0.35156954733402118</v>
      </c>
    </row>
    <row r="138" spans="1:18" ht="15.75" x14ac:dyDescent="0.25">
      <c r="A138" s="84">
        <v>49</v>
      </c>
      <c r="B138" s="84" t="s">
        <v>49</v>
      </c>
      <c r="C138" s="160" t="e">
        <f>ОИ3!C50</f>
        <v>#REF!</v>
      </c>
      <c r="D138" s="160" t="e">
        <f>ОИ3!D50</f>
        <v>#REF!</v>
      </c>
      <c r="E138" s="160">
        <f>ОИ3!E50</f>
        <v>0</v>
      </c>
      <c r="F138" s="160">
        <f>ОИ3!F50</f>
        <v>0</v>
      </c>
      <c r="G138" s="160">
        <f>ОИ3!G50</f>
        <v>0</v>
      </c>
      <c r="H138" s="160">
        <f>ОИ3!H50</f>
        <v>0</v>
      </c>
      <c r="I138" s="160">
        <f>ОИ3!I50</f>
        <v>0</v>
      </c>
      <c r="J138" s="160">
        <f>ОИ3!J50</f>
        <v>0</v>
      </c>
      <c r="K138" s="160">
        <f>ОИ3!K50</f>
        <v>0</v>
      </c>
      <c r="L138" s="160">
        <f>ОИ3!L50</f>
        <v>0</v>
      </c>
      <c r="M138" s="160">
        <f>ОИ3!M50</f>
        <v>0</v>
      </c>
      <c r="N138" s="160">
        <f>ОИ3!N50</f>
        <v>0</v>
      </c>
      <c r="O138" s="160">
        <f>ОИ3!O50</f>
        <v>0</v>
      </c>
      <c r="P138" s="160">
        <f>ОИ3!P50</f>
        <v>0</v>
      </c>
      <c r="Q138" s="160">
        <f>ОИ3!Q50</f>
        <v>0</v>
      </c>
      <c r="R138" s="160">
        <f>ОИ3!R50</f>
        <v>0.3283874595654459</v>
      </c>
    </row>
    <row r="139" spans="1:18" ht="15.75" x14ac:dyDescent="0.25">
      <c r="A139" s="84">
        <v>50</v>
      </c>
      <c r="B139" s="84" t="s">
        <v>50</v>
      </c>
      <c r="C139" s="160" t="e">
        <f>ОИ3!C51</f>
        <v>#REF!</v>
      </c>
      <c r="D139" s="160" t="e">
        <f>ОИ3!D51</f>
        <v>#REF!</v>
      </c>
      <c r="E139" s="160">
        <f>ОИ3!E51</f>
        <v>0</v>
      </c>
      <c r="F139" s="160">
        <f>ОИ3!F51</f>
        <v>0</v>
      </c>
      <c r="G139" s="160">
        <f>ОИ3!G51</f>
        <v>0</v>
      </c>
      <c r="H139" s="160">
        <f>ОИ3!H51</f>
        <v>0</v>
      </c>
      <c r="I139" s="160">
        <f>ОИ3!I51</f>
        <v>0</v>
      </c>
      <c r="J139" s="160">
        <f>ОИ3!J51</f>
        <v>0</v>
      </c>
      <c r="K139" s="160">
        <f>ОИ3!K51</f>
        <v>0</v>
      </c>
      <c r="L139" s="160">
        <f>ОИ3!L51</f>
        <v>0</v>
      </c>
      <c r="M139" s="160">
        <f>ОИ3!M51</f>
        <v>0</v>
      </c>
      <c r="N139" s="160">
        <f>ОИ3!N51</f>
        <v>0</v>
      </c>
      <c r="O139" s="160">
        <f>ОИ3!O51</f>
        <v>0</v>
      </c>
      <c r="P139" s="160">
        <f>ОИ3!P51</f>
        <v>0</v>
      </c>
      <c r="Q139" s="160">
        <f>ОИ3!Q51</f>
        <v>0</v>
      </c>
      <c r="R139" s="160">
        <f>ОИ3!R51</f>
        <v>0.41683130797297352</v>
      </c>
    </row>
    <row r="140" spans="1:18" ht="15.75" x14ac:dyDescent="0.25">
      <c r="A140" s="84">
        <v>51</v>
      </c>
      <c r="B140" s="84" t="s">
        <v>51</v>
      </c>
      <c r="C140" s="160" t="e">
        <f>ОИ3!C52</f>
        <v>#REF!</v>
      </c>
      <c r="D140" s="160" t="e">
        <f>ОИ3!D52</f>
        <v>#REF!</v>
      </c>
      <c r="E140" s="160">
        <f>ОИ3!E52</f>
        <v>0</v>
      </c>
      <c r="F140" s="160">
        <f>ОИ3!F52</f>
        <v>0</v>
      </c>
      <c r="G140" s="160">
        <f>ОИ3!G52</f>
        <v>0</v>
      </c>
      <c r="H140" s="160">
        <f>ОИ3!H52</f>
        <v>0</v>
      </c>
      <c r="I140" s="160">
        <f>ОИ3!I52</f>
        <v>0</v>
      </c>
      <c r="J140" s="160">
        <f>ОИ3!J52</f>
        <v>0</v>
      </c>
      <c r="K140" s="160">
        <f>ОИ3!K52</f>
        <v>0</v>
      </c>
      <c r="L140" s="160">
        <f>ОИ3!L52</f>
        <v>0</v>
      </c>
      <c r="M140" s="160">
        <f>ОИ3!M52</f>
        <v>0</v>
      </c>
      <c r="N140" s="160">
        <f>ОИ3!N52</f>
        <v>0</v>
      </c>
      <c r="O140" s="160">
        <f>ОИ3!O52</f>
        <v>0</v>
      </c>
      <c r="P140" s="160">
        <f>ОИ3!P52</f>
        <v>0</v>
      </c>
      <c r="Q140" s="160">
        <f>ОИ3!Q52</f>
        <v>0</v>
      </c>
      <c r="R140" s="160">
        <f>ОИ3!R52</f>
        <v>0.36700709471440701</v>
      </c>
    </row>
    <row r="141" spans="1:18" ht="15.75" x14ac:dyDescent="0.25">
      <c r="A141" s="84">
        <v>52</v>
      </c>
      <c r="B141" s="84" t="s">
        <v>52</v>
      </c>
      <c r="C141" s="160" t="e">
        <f>ОИ3!C53</f>
        <v>#REF!</v>
      </c>
      <c r="D141" s="160" t="e">
        <f>ОИ3!D53</f>
        <v>#REF!</v>
      </c>
      <c r="E141" s="160">
        <f>ОИ3!E53</f>
        <v>0</v>
      </c>
      <c r="F141" s="160">
        <f>ОИ3!F53</f>
        <v>0</v>
      </c>
      <c r="G141" s="160">
        <f>ОИ3!G53</f>
        <v>0</v>
      </c>
      <c r="H141" s="160">
        <f>ОИ3!H53</f>
        <v>0</v>
      </c>
      <c r="I141" s="160">
        <f>ОИ3!I53</f>
        <v>0</v>
      </c>
      <c r="J141" s="160">
        <f>ОИ3!J53</f>
        <v>0</v>
      </c>
      <c r="K141" s="160">
        <f>ОИ3!K53</f>
        <v>0</v>
      </c>
      <c r="L141" s="160">
        <f>ОИ3!L53</f>
        <v>0</v>
      </c>
      <c r="M141" s="160">
        <f>ОИ3!M53</f>
        <v>0</v>
      </c>
      <c r="N141" s="160">
        <f>ОИ3!N53</f>
        <v>0</v>
      </c>
      <c r="O141" s="160">
        <f>ОИ3!O53</f>
        <v>0</v>
      </c>
      <c r="P141" s="160">
        <f>ОИ3!P53</f>
        <v>0</v>
      </c>
      <c r="Q141" s="160">
        <f>ОИ3!Q53</f>
        <v>0</v>
      </c>
      <c r="R141" s="160">
        <f>ОИ3!R53</f>
        <v>0.42194884791508702</v>
      </c>
    </row>
    <row r="142" spans="1:18" ht="15.75" x14ac:dyDescent="0.25">
      <c r="A142" s="84">
        <v>53</v>
      </c>
      <c r="B142" s="84" t="s">
        <v>53</v>
      </c>
      <c r="C142" s="160" t="e">
        <f>ОИ3!C54</f>
        <v>#REF!</v>
      </c>
      <c r="D142" s="160" t="e">
        <f>ОИ3!D54</f>
        <v>#REF!</v>
      </c>
      <c r="E142" s="160">
        <f>ОИ3!E54</f>
        <v>0</v>
      </c>
      <c r="F142" s="160">
        <f>ОИ3!F54</f>
        <v>0</v>
      </c>
      <c r="G142" s="160">
        <f>ОИ3!G54</f>
        <v>0</v>
      </c>
      <c r="H142" s="160">
        <f>ОИ3!H54</f>
        <v>0</v>
      </c>
      <c r="I142" s="160">
        <f>ОИ3!I54</f>
        <v>0</v>
      </c>
      <c r="J142" s="160">
        <f>ОИ3!J54</f>
        <v>0</v>
      </c>
      <c r="K142" s="160">
        <f>ОИ3!K54</f>
        <v>0</v>
      </c>
      <c r="L142" s="160">
        <f>ОИ3!L54</f>
        <v>0</v>
      </c>
      <c r="M142" s="160">
        <f>ОИ3!M54</f>
        <v>0</v>
      </c>
      <c r="N142" s="160">
        <f>ОИ3!N54</f>
        <v>0</v>
      </c>
      <c r="O142" s="160">
        <f>ОИ3!O54</f>
        <v>0</v>
      </c>
      <c r="P142" s="160">
        <f>ОИ3!P54</f>
        <v>0</v>
      </c>
      <c r="Q142" s="160">
        <f>ОИ3!Q54</f>
        <v>0</v>
      </c>
      <c r="R142" s="160">
        <f>ОИ3!R54</f>
        <v>0.35577677120078272</v>
      </c>
    </row>
    <row r="143" spans="1:18" ht="15.75" x14ac:dyDescent="0.25">
      <c r="A143" s="84">
        <v>54</v>
      </c>
      <c r="B143" s="84" t="s">
        <v>54</v>
      </c>
      <c r="C143" s="160" t="e">
        <f>ОИ3!C55</f>
        <v>#REF!</v>
      </c>
      <c r="D143" s="160" t="e">
        <f>ОИ3!D55</f>
        <v>#REF!</v>
      </c>
      <c r="E143" s="160">
        <f>ОИ3!E55</f>
        <v>0</v>
      </c>
      <c r="F143" s="160">
        <f>ОИ3!F55</f>
        <v>0</v>
      </c>
      <c r="G143" s="160">
        <f>ОИ3!G55</f>
        <v>0</v>
      </c>
      <c r="H143" s="160">
        <f>ОИ3!H55</f>
        <v>0</v>
      </c>
      <c r="I143" s="160">
        <f>ОИ3!I55</f>
        <v>0</v>
      </c>
      <c r="J143" s="160">
        <f>ОИ3!J55</f>
        <v>0</v>
      </c>
      <c r="K143" s="160">
        <f>ОИ3!K55</f>
        <v>0</v>
      </c>
      <c r="L143" s="160">
        <f>ОИ3!L55</f>
        <v>0</v>
      </c>
      <c r="M143" s="160">
        <f>ОИ3!M55</f>
        <v>0</v>
      </c>
      <c r="N143" s="160">
        <f>ОИ3!N55</f>
        <v>0</v>
      </c>
      <c r="O143" s="160">
        <f>ОИ3!O55</f>
        <v>0</v>
      </c>
      <c r="P143" s="160">
        <f>ОИ3!P55</f>
        <v>0</v>
      </c>
      <c r="Q143" s="160">
        <f>ОИ3!Q55</f>
        <v>0</v>
      </c>
      <c r="R143" s="160">
        <f>ОИ3!R55</f>
        <v>0.35407826419517435</v>
      </c>
    </row>
    <row r="144" spans="1:18" ht="15.75" x14ac:dyDescent="0.25">
      <c r="A144" s="84">
        <v>55</v>
      </c>
      <c r="B144" s="84" t="s">
        <v>55</v>
      </c>
      <c r="C144" s="160" t="e">
        <f>ОИ3!C56</f>
        <v>#REF!</v>
      </c>
      <c r="D144" s="160" t="e">
        <f>ОИ3!D56</f>
        <v>#REF!</v>
      </c>
      <c r="E144" s="160">
        <f>ОИ3!E56</f>
        <v>0</v>
      </c>
      <c r="F144" s="160">
        <f>ОИ3!F56</f>
        <v>0</v>
      </c>
      <c r="G144" s="160">
        <f>ОИ3!G56</f>
        <v>0</v>
      </c>
      <c r="H144" s="160">
        <f>ОИ3!H56</f>
        <v>0</v>
      </c>
      <c r="I144" s="160">
        <f>ОИ3!I56</f>
        <v>0</v>
      </c>
      <c r="J144" s="160">
        <f>ОИ3!J56</f>
        <v>0</v>
      </c>
      <c r="K144" s="160">
        <f>ОИ3!K56</f>
        <v>0</v>
      </c>
      <c r="L144" s="160">
        <f>ОИ3!L56</f>
        <v>0</v>
      </c>
      <c r="M144" s="160">
        <f>ОИ3!M56</f>
        <v>0</v>
      </c>
      <c r="N144" s="160">
        <f>ОИ3!N56</f>
        <v>0</v>
      </c>
      <c r="O144" s="160">
        <f>ОИ3!O56</f>
        <v>0</v>
      </c>
      <c r="P144" s="160">
        <f>ОИ3!P56</f>
        <v>0</v>
      </c>
      <c r="Q144" s="160">
        <f>ОИ3!Q56</f>
        <v>0</v>
      </c>
      <c r="R144" s="160">
        <f>ОИ3!R56</f>
        <v>0.39658024133115893</v>
      </c>
    </row>
    <row r="145" spans="1:18" ht="15.75" x14ac:dyDescent="0.25">
      <c r="A145" s="84">
        <v>56</v>
      </c>
      <c r="B145" s="84" t="s">
        <v>56</v>
      </c>
      <c r="C145" s="160" t="e">
        <f>ОИ3!C57</f>
        <v>#REF!</v>
      </c>
      <c r="D145" s="160" t="e">
        <f>ОИ3!D57</f>
        <v>#REF!</v>
      </c>
      <c r="E145" s="160">
        <f>ОИ3!E57</f>
        <v>0</v>
      </c>
      <c r="F145" s="160">
        <f>ОИ3!F57</f>
        <v>0</v>
      </c>
      <c r="G145" s="160">
        <f>ОИ3!G57</f>
        <v>0</v>
      </c>
      <c r="H145" s="160">
        <f>ОИ3!H57</f>
        <v>0</v>
      </c>
      <c r="I145" s="160">
        <f>ОИ3!I57</f>
        <v>0</v>
      </c>
      <c r="J145" s="160">
        <f>ОИ3!J57</f>
        <v>0</v>
      </c>
      <c r="K145" s="160">
        <f>ОИ3!K57</f>
        <v>0</v>
      </c>
      <c r="L145" s="160">
        <f>ОИ3!L57</f>
        <v>0</v>
      </c>
      <c r="M145" s="160">
        <f>ОИ3!M57</f>
        <v>0</v>
      </c>
      <c r="N145" s="160">
        <f>ОИ3!N57</f>
        <v>0</v>
      </c>
      <c r="O145" s="160">
        <f>ОИ3!O57</f>
        <v>0</v>
      </c>
      <c r="P145" s="160">
        <f>ОИ3!P57</f>
        <v>0</v>
      </c>
      <c r="Q145" s="160">
        <f>ОИ3!Q57</f>
        <v>0</v>
      </c>
      <c r="R145" s="160">
        <f>ОИ3!R57</f>
        <v>0.32404641613597213</v>
      </c>
    </row>
    <row r="146" spans="1:18" ht="15.75" x14ac:dyDescent="0.25">
      <c r="A146" s="84">
        <v>57</v>
      </c>
      <c r="B146" s="84" t="s">
        <v>57</v>
      </c>
      <c r="C146" s="160" t="e">
        <f>ОИ3!C58</f>
        <v>#REF!</v>
      </c>
      <c r="D146" s="160" t="e">
        <f>ОИ3!D58</f>
        <v>#REF!</v>
      </c>
      <c r="E146" s="160">
        <f>ОИ3!E58</f>
        <v>0</v>
      </c>
      <c r="F146" s="160">
        <f>ОИ3!F58</f>
        <v>0</v>
      </c>
      <c r="G146" s="160">
        <f>ОИ3!G58</f>
        <v>0</v>
      </c>
      <c r="H146" s="160">
        <f>ОИ3!H58</f>
        <v>0</v>
      </c>
      <c r="I146" s="160">
        <f>ОИ3!I58</f>
        <v>0</v>
      </c>
      <c r="J146" s="160">
        <f>ОИ3!J58</f>
        <v>0</v>
      </c>
      <c r="K146" s="160">
        <f>ОИ3!K58</f>
        <v>0</v>
      </c>
      <c r="L146" s="160">
        <f>ОИ3!L58</f>
        <v>0</v>
      </c>
      <c r="M146" s="160">
        <f>ОИ3!M58</f>
        <v>0</v>
      </c>
      <c r="N146" s="160">
        <f>ОИ3!N58</f>
        <v>0</v>
      </c>
      <c r="O146" s="160">
        <f>ОИ3!O58</f>
        <v>0</v>
      </c>
      <c r="P146" s="160">
        <f>ОИ3!P58</f>
        <v>0</v>
      </c>
      <c r="Q146" s="160">
        <f>ОИ3!Q58</f>
        <v>0</v>
      </c>
      <c r="R146" s="160">
        <f>ОИ3!R58</f>
        <v>0.31541424254496636</v>
      </c>
    </row>
    <row r="149" spans="1:18" ht="22.5" customHeight="1" x14ac:dyDescent="0.25"/>
    <row r="150" spans="1:18" ht="27" customHeight="1" x14ac:dyDescent="0.25"/>
    <row r="151" spans="1:18" ht="22.5" customHeight="1" x14ac:dyDescent="0.25"/>
    <row r="152" spans="1:18" ht="27" customHeight="1" x14ac:dyDescent="0.25"/>
    <row r="153" spans="1:18" ht="35.25" customHeight="1" x14ac:dyDescent="0.25"/>
    <row r="154" spans="1:18" ht="53.25" customHeight="1" x14ac:dyDescent="0.25"/>
    <row r="155" spans="1:18" ht="20.25" customHeight="1" x14ac:dyDescent="0.25"/>
    <row r="156" spans="1:18" ht="17.25" customHeight="1" x14ac:dyDescent="0.25"/>
    <row r="164" spans="1:18" ht="15.75" x14ac:dyDescent="0.25">
      <c r="A164" s="84" t="s">
        <v>0</v>
      </c>
      <c r="B164" s="84"/>
      <c r="C164" s="84">
        <v>2005</v>
      </c>
      <c r="D164" s="84">
        <v>2006</v>
      </c>
      <c r="E164" s="84">
        <v>2007</v>
      </c>
      <c r="F164" s="84">
        <v>2008</v>
      </c>
      <c r="G164" s="84">
        <v>2009</v>
      </c>
      <c r="H164" s="84">
        <v>2010</v>
      </c>
      <c r="I164" s="84">
        <v>2011</v>
      </c>
      <c r="J164" s="84">
        <v>2012</v>
      </c>
      <c r="K164" s="84">
        <v>2013</v>
      </c>
      <c r="L164" s="84">
        <v>2014</v>
      </c>
      <c r="M164" s="84">
        <v>2015</v>
      </c>
      <c r="N164" s="84">
        <v>2016</v>
      </c>
      <c r="O164" s="84">
        <v>2017</v>
      </c>
      <c r="P164" s="84">
        <v>2018</v>
      </c>
      <c r="Q164" s="84">
        <v>2019</v>
      </c>
      <c r="R164" s="84">
        <v>2020</v>
      </c>
    </row>
    <row r="165" spans="1:18" ht="15.75" x14ac:dyDescent="0.25">
      <c r="A165" s="84">
        <v>44</v>
      </c>
      <c r="B165" s="84" t="s">
        <v>44</v>
      </c>
      <c r="C165" s="160" t="e">
        <f>ОИ4!C45</f>
        <v>#REF!</v>
      </c>
      <c r="D165" s="160" t="e">
        <f>ОИ4!D45</f>
        <v>#REF!</v>
      </c>
      <c r="E165" s="160">
        <f>ОИ4!E45</f>
        <v>0</v>
      </c>
      <c r="F165" s="160">
        <f>ОИ4!F45</f>
        <v>0</v>
      </c>
      <c r="G165" s="160">
        <f>ОИ4!G45</f>
        <v>0</v>
      </c>
      <c r="H165" s="160">
        <f>ОИ4!H45</f>
        <v>0</v>
      </c>
      <c r="I165" s="160">
        <f>ОИ4!I45</f>
        <v>0</v>
      </c>
      <c r="J165" s="160">
        <f>ОИ4!J45</f>
        <v>0</v>
      </c>
      <c r="K165" s="160">
        <f>ОИ4!K45</f>
        <v>0</v>
      </c>
      <c r="L165" s="160">
        <f>ОИ4!L45</f>
        <v>0</v>
      </c>
      <c r="M165" s="160">
        <f>ОИ4!M45</f>
        <v>0</v>
      </c>
      <c r="N165" s="160">
        <f>ОИ4!N45</f>
        <v>0</v>
      </c>
      <c r="O165" s="160">
        <f>ОИ4!O45</f>
        <v>0</v>
      </c>
      <c r="P165" s="160">
        <f>ОИ4!P45</f>
        <v>0</v>
      </c>
      <c r="Q165" s="160">
        <f>ОИ4!Q45</f>
        <v>0</v>
      </c>
      <c r="R165" s="160">
        <f>ОИ4!R45</f>
        <v>0.4693633263655812</v>
      </c>
    </row>
    <row r="166" spans="1:18" ht="15.75" x14ac:dyDescent="0.25">
      <c r="A166" s="84">
        <v>45</v>
      </c>
      <c r="B166" s="84" t="s">
        <v>45</v>
      </c>
      <c r="C166" s="160" t="e">
        <f>ОИ4!C46</f>
        <v>#REF!</v>
      </c>
      <c r="D166" s="160" t="e">
        <f>ОИ4!D46</f>
        <v>#REF!</v>
      </c>
      <c r="E166" s="160">
        <f>ОИ4!E46</f>
        <v>0</v>
      </c>
      <c r="F166" s="160">
        <f>ОИ4!F46</f>
        <v>0</v>
      </c>
      <c r="G166" s="160">
        <f>ОИ4!G46</f>
        <v>0</v>
      </c>
      <c r="H166" s="160">
        <f>ОИ4!H46</f>
        <v>0</v>
      </c>
      <c r="I166" s="160">
        <f>ОИ4!I46</f>
        <v>0</v>
      </c>
      <c r="J166" s="160">
        <f>ОИ4!J46</f>
        <v>0</v>
      </c>
      <c r="K166" s="160">
        <f>ОИ4!K46</f>
        <v>0</v>
      </c>
      <c r="L166" s="160">
        <f>ОИ4!L46</f>
        <v>0</v>
      </c>
      <c r="M166" s="160">
        <f>ОИ4!M46</f>
        <v>0</v>
      </c>
      <c r="N166" s="160">
        <f>ОИ4!N46</f>
        <v>0</v>
      </c>
      <c r="O166" s="160">
        <f>ОИ4!O46</f>
        <v>0</v>
      </c>
      <c r="P166" s="160">
        <f>ОИ4!P46</f>
        <v>0</v>
      </c>
      <c r="Q166" s="160">
        <f>ОИ4!Q46</f>
        <v>0</v>
      </c>
      <c r="R166" s="160">
        <f>ОИ4!R46</f>
        <v>0.50408498255538792</v>
      </c>
    </row>
    <row r="167" spans="1:18" ht="15.75" x14ac:dyDescent="0.25">
      <c r="A167" s="84">
        <v>46</v>
      </c>
      <c r="B167" s="84" t="s">
        <v>46</v>
      </c>
      <c r="C167" s="160" t="e">
        <f>ОИ4!C47</f>
        <v>#REF!</v>
      </c>
      <c r="D167" s="160" t="e">
        <f>ОИ4!D47</f>
        <v>#REF!</v>
      </c>
      <c r="E167" s="160">
        <f>ОИ4!E47</f>
        <v>0</v>
      </c>
      <c r="F167" s="160">
        <f>ОИ4!F47</f>
        <v>0</v>
      </c>
      <c r="G167" s="160">
        <f>ОИ4!G47</f>
        <v>0</v>
      </c>
      <c r="H167" s="160">
        <f>ОИ4!H47</f>
        <v>0</v>
      </c>
      <c r="I167" s="160">
        <f>ОИ4!I47</f>
        <v>0</v>
      </c>
      <c r="J167" s="160">
        <f>ОИ4!J47</f>
        <v>0</v>
      </c>
      <c r="K167" s="160">
        <f>ОИ4!K47</f>
        <v>0</v>
      </c>
      <c r="L167" s="160">
        <f>ОИ4!L47</f>
        <v>0</v>
      </c>
      <c r="M167" s="160">
        <f>ОИ4!M47</f>
        <v>0</v>
      </c>
      <c r="N167" s="160">
        <f>ОИ4!N47</f>
        <v>0</v>
      </c>
      <c r="O167" s="160">
        <f>ОИ4!O47</f>
        <v>0</v>
      </c>
      <c r="P167" s="160">
        <f>ОИ4!P47</f>
        <v>0</v>
      </c>
      <c r="Q167" s="160">
        <f>ОИ4!Q47</f>
        <v>0</v>
      </c>
      <c r="R167" s="160">
        <f>ОИ4!R47</f>
        <v>0.45765359120303223</v>
      </c>
    </row>
    <row r="168" spans="1:18" ht="15.75" x14ac:dyDescent="0.25">
      <c r="A168" s="84">
        <v>47</v>
      </c>
      <c r="B168" s="84" t="s">
        <v>47</v>
      </c>
      <c r="C168" s="160" t="e">
        <f>ОИ4!C48</f>
        <v>#REF!</v>
      </c>
      <c r="D168" s="160" t="e">
        <f>ОИ4!D48</f>
        <v>#REF!</v>
      </c>
      <c r="E168" s="160">
        <f>ОИ4!E48</f>
        <v>0</v>
      </c>
      <c r="F168" s="160">
        <f>ОИ4!F48</f>
        <v>0</v>
      </c>
      <c r="G168" s="160">
        <f>ОИ4!G48</f>
        <v>0</v>
      </c>
      <c r="H168" s="160">
        <f>ОИ4!H48</f>
        <v>0</v>
      </c>
      <c r="I168" s="160">
        <f>ОИ4!I48</f>
        <v>0</v>
      </c>
      <c r="J168" s="160">
        <f>ОИ4!J48</f>
        <v>0</v>
      </c>
      <c r="K168" s="160">
        <f>ОИ4!K48</f>
        <v>0</v>
      </c>
      <c r="L168" s="160">
        <f>ОИ4!L48</f>
        <v>0</v>
      </c>
      <c r="M168" s="160">
        <f>ОИ4!M48</f>
        <v>0</v>
      </c>
      <c r="N168" s="160">
        <f>ОИ4!N48</f>
        <v>0</v>
      </c>
      <c r="O168" s="160">
        <f>ОИ4!O48</f>
        <v>0</v>
      </c>
      <c r="P168" s="160">
        <f>ОИ4!P48</f>
        <v>0</v>
      </c>
      <c r="Q168" s="160">
        <f>ОИ4!Q48</f>
        <v>0</v>
      </c>
      <c r="R168" s="160">
        <f>ОИ4!R48</f>
        <v>0.52275255608551829</v>
      </c>
    </row>
    <row r="169" spans="1:18" ht="15.75" x14ac:dyDescent="0.25">
      <c r="A169" s="84">
        <v>48</v>
      </c>
      <c r="B169" s="84" t="s">
        <v>48</v>
      </c>
      <c r="C169" s="160" t="e">
        <f>ОИ4!C49</f>
        <v>#REF!</v>
      </c>
      <c r="D169" s="160" t="e">
        <f>ОИ4!D49</f>
        <v>#REF!</v>
      </c>
      <c r="E169" s="160">
        <f>ОИ4!E49</f>
        <v>0</v>
      </c>
      <c r="F169" s="160">
        <f>ОИ4!F49</f>
        <v>0</v>
      </c>
      <c r="G169" s="160">
        <f>ОИ4!G49</f>
        <v>0</v>
      </c>
      <c r="H169" s="160">
        <f>ОИ4!H49</f>
        <v>0</v>
      </c>
      <c r="I169" s="160">
        <f>ОИ4!I49</f>
        <v>0</v>
      </c>
      <c r="J169" s="160">
        <f>ОИ4!J49</f>
        <v>0</v>
      </c>
      <c r="K169" s="160">
        <f>ОИ4!K49</f>
        <v>0</v>
      </c>
      <c r="L169" s="160">
        <f>ОИ4!L49</f>
        <v>0</v>
      </c>
      <c r="M169" s="160">
        <f>ОИ4!M49</f>
        <v>0</v>
      </c>
      <c r="N169" s="160">
        <f>ОИ4!N49</f>
        <v>0</v>
      </c>
      <c r="O169" s="160">
        <f>ОИ4!O49</f>
        <v>0</v>
      </c>
      <c r="P169" s="160">
        <f>ОИ4!P49</f>
        <v>0</v>
      </c>
      <c r="Q169" s="160">
        <f>ОИ4!Q49</f>
        <v>0</v>
      </c>
      <c r="R169" s="160">
        <f>ОИ4!R49</f>
        <v>0.45752661042329096</v>
      </c>
    </row>
    <row r="170" spans="1:18" ht="15.75" x14ac:dyDescent="0.25">
      <c r="A170" s="84">
        <v>49</v>
      </c>
      <c r="B170" s="84" t="s">
        <v>49</v>
      </c>
      <c r="C170" s="160" t="e">
        <f>ОИ4!C50</f>
        <v>#REF!</v>
      </c>
      <c r="D170" s="160" t="e">
        <f>ОИ4!D50</f>
        <v>#REF!</v>
      </c>
      <c r="E170" s="160">
        <f>ОИ4!E50</f>
        <v>0</v>
      </c>
      <c r="F170" s="160">
        <f>ОИ4!F50</f>
        <v>0</v>
      </c>
      <c r="G170" s="160">
        <f>ОИ4!G50</f>
        <v>0</v>
      </c>
      <c r="H170" s="160">
        <f>ОИ4!H50</f>
        <v>0</v>
      </c>
      <c r="I170" s="160">
        <f>ОИ4!I50</f>
        <v>0</v>
      </c>
      <c r="J170" s="160">
        <f>ОИ4!J50</f>
        <v>0</v>
      </c>
      <c r="K170" s="160">
        <f>ОИ4!K50</f>
        <v>0</v>
      </c>
      <c r="L170" s="160">
        <f>ОИ4!L50</f>
        <v>0</v>
      </c>
      <c r="M170" s="160">
        <f>ОИ4!M50</f>
        <v>0</v>
      </c>
      <c r="N170" s="160">
        <f>ОИ4!N50</f>
        <v>0</v>
      </c>
      <c r="O170" s="160">
        <f>ОИ4!O50</f>
        <v>0</v>
      </c>
      <c r="P170" s="160">
        <f>ОИ4!P50</f>
        <v>0</v>
      </c>
      <c r="Q170" s="160">
        <f>ОИ4!Q50</f>
        <v>0</v>
      </c>
      <c r="R170" s="160">
        <f>ОИ4!R50</f>
        <v>0.46425283473101792</v>
      </c>
    </row>
    <row r="171" spans="1:18" ht="15.75" x14ac:dyDescent="0.25">
      <c r="A171" s="84">
        <v>50</v>
      </c>
      <c r="B171" s="84" t="s">
        <v>50</v>
      </c>
      <c r="C171" s="160" t="e">
        <f>ОИ4!C51</f>
        <v>#REF!</v>
      </c>
      <c r="D171" s="160" t="e">
        <f>ОИ4!D51</f>
        <v>#REF!</v>
      </c>
      <c r="E171" s="160">
        <f>ОИ4!E51</f>
        <v>0</v>
      </c>
      <c r="F171" s="160">
        <f>ОИ4!F51</f>
        <v>0</v>
      </c>
      <c r="G171" s="160">
        <f>ОИ4!G51</f>
        <v>0</v>
      </c>
      <c r="H171" s="160">
        <f>ОИ4!H51</f>
        <v>0</v>
      </c>
      <c r="I171" s="160">
        <f>ОИ4!I51</f>
        <v>0</v>
      </c>
      <c r="J171" s="160">
        <f>ОИ4!J51</f>
        <v>0</v>
      </c>
      <c r="K171" s="160">
        <f>ОИ4!K51</f>
        <v>0</v>
      </c>
      <c r="L171" s="160">
        <f>ОИ4!L51</f>
        <v>0</v>
      </c>
      <c r="M171" s="160">
        <f>ОИ4!M51</f>
        <v>0</v>
      </c>
      <c r="N171" s="160">
        <f>ОИ4!N51</f>
        <v>0</v>
      </c>
      <c r="O171" s="160">
        <f>ОИ4!O51</f>
        <v>0</v>
      </c>
      <c r="P171" s="160">
        <f>ОИ4!P51</f>
        <v>0</v>
      </c>
      <c r="Q171" s="160">
        <f>ОИ4!Q51</f>
        <v>0</v>
      </c>
      <c r="R171" s="160">
        <f>ОИ4!R51</f>
        <v>0.47270610200050478</v>
      </c>
    </row>
    <row r="172" spans="1:18" ht="15.75" x14ac:dyDescent="0.25">
      <c r="A172" s="84">
        <v>51</v>
      </c>
      <c r="B172" s="84" t="s">
        <v>51</v>
      </c>
      <c r="C172" s="160" t="e">
        <f>ОИ4!C52</f>
        <v>#REF!</v>
      </c>
      <c r="D172" s="160" t="e">
        <f>ОИ4!D52</f>
        <v>#REF!</v>
      </c>
      <c r="E172" s="160">
        <f>ОИ4!E52</f>
        <v>0</v>
      </c>
      <c r="F172" s="160">
        <f>ОИ4!F52</f>
        <v>0</v>
      </c>
      <c r="G172" s="160">
        <f>ОИ4!G52</f>
        <v>0</v>
      </c>
      <c r="H172" s="160">
        <f>ОИ4!H52</f>
        <v>0</v>
      </c>
      <c r="I172" s="160">
        <f>ОИ4!I52</f>
        <v>0</v>
      </c>
      <c r="J172" s="160">
        <f>ОИ4!J52</f>
        <v>0</v>
      </c>
      <c r="K172" s="160">
        <f>ОИ4!K52</f>
        <v>0</v>
      </c>
      <c r="L172" s="160">
        <f>ОИ4!L52</f>
        <v>0</v>
      </c>
      <c r="M172" s="160">
        <f>ОИ4!M52</f>
        <v>0</v>
      </c>
      <c r="N172" s="160">
        <f>ОИ4!N52</f>
        <v>0</v>
      </c>
      <c r="O172" s="160">
        <f>ОИ4!O52</f>
        <v>0</v>
      </c>
      <c r="P172" s="160">
        <f>ОИ4!P52</f>
        <v>0</v>
      </c>
      <c r="Q172" s="160">
        <f>ОИ4!Q52</f>
        <v>0</v>
      </c>
      <c r="R172" s="160">
        <f>ОИ4!R52</f>
        <v>0.44419289166623316</v>
      </c>
    </row>
    <row r="173" spans="1:18" ht="15.75" x14ac:dyDescent="0.25">
      <c r="A173" s="84">
        <v>52</v>
      </c>
      <c r="B173" s="84" t="s">
        <v>52</v>
      </c>
      <c r="C173" s="160" t="e">
        <f>ОИ4!C53</f>
        <v>#REF!</v>
      </c>
      <c r="D173" s="160" t="e">
        <f>ОИ4!D53</f>
        <v>#REF!</v>
      </c>
      <c r="E173" s="160">
        <f>ОИ4!E53</f>
        <v>0</v>
      </c>
      <c r="F173" s="160">
        <f>ОИ4!F53</f>
        <v>0</v>
      </c>
      <c r="G173" s="160">
        <f>ОИ4!G53</f>
        <v>0</v>
      </c>
      <c r="H173" s="160">
        <f>ОИ4!H53</f>
        <v>0</v>
      </c>
      <c r="I173" s="160">
        <f>ОИ4!I53</f>
        <v>0</v>
      </c>
      <c r="J173" s="160">
        <f>ОИ4!J53</f>
        <v>0</v>
      </c>
      <c r="K173" s="160">
        <f>ОИ4!K53</f>
        <v>0</v>
      </c>
      <c r="L173" s="160">
        <f>ОИ4!L53</f>
        <v>0</v>
      </c>
      <c r="M173" s="160">
        <f>ОИ4!M53</f>
        <v>0</v>
      </c>
      <c r="N173" s="160">
        <f>ОИ4!N53</f>
        <v>0</v>
      </c>
      <c r="O173" s="160">
        <f>ОИ4!O53</f>
        <v>0</v>
      </c>
      <c r="P173" s="160">
        <f>ОИ4!P53</f>
        <v>0</v>
      </c>
      <c r="Q173" s="160">
        <f>ОИ4!Q53</f>
        <v>0</v>
      </c>
      <c r="R173" s="160">
        <f>ОИ4!R53</f>
        <v>0.48412893389645711</v>
      </c>
    </row>
    <row r="174" spans="1:18" ht="15.75" x14ac:dyDescent="0.25">
      <c r="A174" s="84">
        <v>53</v>
      </c>
      <c r="B174" s="84" t="s">
        <v>53</v>
      </c>
      <c r="C174" s="160" t="e">
        <f>ОИ4!C54</f>
        <v>#REF!</v>
      </c>
      <c r="D174" s="160" t="e">
        <f>ОИ4!D54</f>
        <v>#REF!</v>
      </c>
      <c r="E174" s="160">
        <f>ОИ4!E54</f>
        <v>0</v>
      </c>
      <c r="F174" s="160">
        <f>ОИ4!F54</f>
        <v>0</v>
      </c>
      <c r="G174" s="160">
        <f>ОИ4!G54</f>
        <v>0</v>
      </c>
      <c r="H174" s="160">
        <f>ОИ4!H54</f>
        <v>0</v>
      </c>
      <c r="I174" s="160">
        <f>ОИ4!I54</f>
        <v>0</v>
      </c>
      <c r="J174" s="160">
        <f>ОИ4!J54</f>
        <v>0</v>
      </c>
      <c r="K174" s="160">
        <f>ОИ4!K54</f>
        <v>0</v>
      </c>
      <c r="L174" s="160">
        <f>ОИ4!L54</f>
        <v>0</v>
      </c>
      <c r="M174" s="160">
        <f>ОИ4!M54</f>
        <v>0</v>
      </c>
      <c r="N174" s="160">
        <f>ОИ4!N54</f>
        <v>0</v>
      </c>
      <c r="O174" s="160">
        <f>ОИ4!O54</f>
        <v>0</v>
      </c>
      <c r="P174" s="160">
        <f>ОИ4!P54</f>
        <v>0</v>
      </c>
      <c r="Q174" s="160">
        <f>ОИ4!Q54</f>
        <v>0</v>
      </c>
      <c r="R174" s="160">
        <f>ОИ4!R54</f>
        <v>0.47803504105560174</v>
      </c>
    </row>
    <row r="175" spans="1:18" ht="15.75" x14ac:dyDescent="0.25">
      <c r="A175" s="84">
        <v>54</v>
      </c>
      <c r="B175" s="84" t="s">
        <v>54</v>
      </c>
      <c r="C175" s="160" t="e">
        <f>ОИ4!C55</f>
        <v>#REF!</v>
      </c>
      <c r="D175" s="160" t="e">
        <f>ОИ4!D55</f>
        <v>#REF!</v>
      </c>
      <c r="E175" s="160">
        <f>ОИ4!E55</f>
        <v>0</v>
      </c>
      <c r="F175" s="160">
        <f>ОИ4!F55</f>
        <v>0</v>
      </c>
      <c r="G175" s="160">
        <f>ОИ4!G55</f>
        <v>0</v>
      </c>
      <c r="H175" s="160">
        <f>ОИ4!H55</f>
        <v>0</v>
      </c>
      <c r="I175" s="160">
        <f>ОИ4!I55</f>
        <v>0</v>
      </c>
      <c r="J175" s="160">
        <f>ОИ4!J55</f>
        <v>0</v>
      </c>
      <c r="K175" s="160">
        <f>ОИ4!K55</f>
        <v>0</v>
      </c>
      <c r="L175" s="160">
        <f>ОИ4!L55</f>
        <v>0</v>
      </c>
      <c r="M175" s="160">
        <f>ОИ4!M55</f>
        <v>0</v>
      </c>
      <c r="N175" s="160">
        <f>ОИ4!N55</f>
        <v>0</v>
      </c>
      <c r="O175" s="160">
        <f>ОИ4!O55</f>
        <v>0</v>
      </c>
      <c r="P175" s="160">
        <f>ОИ4!P55</f>
        <v>0</v>
      </c>
      <c r="Q175" s="160">
        <f>ОИ4!Q55</f>
        <v>0</v>
      </c>
      <c r="R175" s="160">
        <f>ОИ4!R55</f>
        <v>0.51796099724871114</v>
      </c>
    </row>
    <row r="176" spans="1:18" ht="15.75" x14ac:dyDescent="0.25">
      <c r="A176" s="84">
        <v>55</v>
      </c>
      <c r="B176" s="84" t="s">
        <v>55</v>
      </c>
      <c r="C176" s="160" t="e">
        <f>ОИ4!C56</f>
        <v>#REF!</v>
      </c>
      <c r="D176" s="160" t="e">
        <f>ОИ4!D56</f>
        <v>#REF!</v>
      </c>
      <c r="E176" s="160">
        <f>ОИ4!E56</f>
        <v>0</v>
      </c>
      <c r="F176" s="160">
        <f>ОИ4!F56</f>
        <v>0</v>
      </c>
      <c r="G176" s="160">
        <f>ОИ4!G56</f>
        <v>0</v>
      </c>
      <c r="H176" s="160">
        <f>ОИ4!H56</f>
        <v>0</v>
      </c>
      <c r="I176" s="160">
        <f>ОИ4!I56</f>
        <v>0</v>
      </c>
      <c r="J176" s="160">
        <f>ОИ4!J56</f>
        <v>0</v>
      </c>
      <c r="K176" s="160">
        <f>ОИ4!K56</f>
        <v>0</v>
      </c>
      <c r="L176" s="160">
        <f>ОИ4!L56</f>
        <v>0</v>
      </c>
      <c r="M176" s="160">
        <f>ОИ4!M56</f>
        <v>0</v>
      </c>
      <c r="N176" s="160">
        <f>ОИ4!N56</f>
        <v>0</v>
      </c>
      <c r="O176" s="160">
        <f>ОИ4!O56</f>
        <v>0</v>
      </c>
      <c r="P176" s="160">
        <f>ОИ4!P56</f>
        <v>0</v>
      </c>
      <c r="Q176" s="160">
        <f>ОИ4!Q56</f>
        <v>0</v>
      </c>
      <c r="R176" s="160">
        <f>ОИ4!R56</f>
        <v>0.45499565772081185</v>
      </c>
    </row>
    <row r="177" spans="1:18" ht="15.75" x14ac:dyDescent="0.25">
      <c r="A177" s="84">
        <v>56</v>
      </c>
      <c r="B177" s="84" t="s">
        <v>56</v>
      </c>
      <c r="C177" s="160" t="e">
        <f>ОИ4!C57</f>
        <v>#REF!</v>
      </c>
      <c r="D177" s="160" t="e">
        <f>ОИ4!D57</f>
        <v>#REF!</v>
      </c>
      <c r="E177" s="160">
        <f>ОИ4!E57</f>
        <v>0</v>
      </c>
      <c r="F177" s="160">
        <f>ОИ4!F57</f>
        <v>0</v>
      </c>
      <c r="G177" s="160">
        <f>ОИ4!G57</f>
        <v>0</v>
      </c>
      <c r="H177" s="160">
        <f>ОИ4!H57</f>
        <v>0</v>
      </c>
      <c r="I177" s="160">
        <f>ОИ4!I57</f>
        <v>0</v>
      </c>
      <c r="J177" s="160">
        <f>ОИ4!J57</f>
        <v>0</v>
      </c>
      <c r="K177" s="160">
        <f>ОИ4!K57</f>
        <v>0</v>
      </c>
      <c r="L177" s="160">
        <f>ОИ4!L57</f>
        <v>0</v>
      </c>
      <c r="M177" s="160">
        <f>ОИ4!M57</f>
        <v>0</v>
      </c>
      <c r="N177" s="160">
        <f>ОИ4!N57</f>
        <v>0</v>
      </c>
      <c r="O177" s="160">
        <f>ОИ4!O57</f>
        <v>0</v>
      </c>
      <c r="P177" s="160">
        <f>ОИ4!P57</f>
        <v>0</v>
      </c>
      <c r="Q177" s="160">
        <f>ОИ4!Q57</f>
        <v>0</v>
      </c>
      <c r="R177" s="160">
        <f>ОИ4!R57</f>
        <v>0.48322887531520647</v>
      </c>
    </row>
    <row r="178" spans="1:18" ht="15.75" x14ac:dyDescent="0.25">
      <c r="A178" s="84">
        <v>57</v>
      </c>
      <c r="B178" s="84" t="s">
        <v>57</v>
      </c>
      <c r="C178" s="160" t="e">
        <f>ОИ4!C58</f>
        <v>#REF!</v>
      </c>
      <c r="D178" s="160" t="e">
        <f>ОИ4!D58</f>
        <v>#REF!</v>
      </c>
      <c r="E178" s="160">
        <f>ОИ4!E58</f>
        <v>0</v>
      </c>
      <c r="F178" s="160">
        <f>ОИ4!F58</f>
        <v>0</v>
      </c>
      <c r="G178" s="160">
        <f>ОИ4!G58</f>
        <v>0</v>
      </c>
      <c r="H178" s="160">
        <f>ОИ4!H58</f>
        <v>0</v>
      </c>
      <c r="I178" s="160">
        <f>ОИ4!I58</f>
        <v>0</v>
      </c>
      <c r="J178" s="160">
        <f>ОИ4!J58</f>
        <v>0</v>
      </c>
      <c r="K178" s="160">
        <f>ОИ4!K58</f>
        <v>0</v>
      </c>
      <c r="L178" s="160">
        <f>ОИ4!L58</f>
        <v>0</v>
      </c>
      <c r="M178" s="160">
        <f>ОИ4!M58</f>
        <v>0</v>
      </c>
      <c r="N178" s="160">
        <f>ОИ4!N58</f>
        <v>0</v>
      </c>
      <c r="O178" s="160">
        <f>ОИ4!O58</f>
        <v>0</v>
      </c>
      <c r="P178" s="160">
        <f>ОИ4!P58</f>
        <v>0</v>
      </c>
      <c r="Q178" s="160">
        <f>ОИ4!Q58</f>
        <v>0</v>
      </c>
      <c r="R178" s="160">
        <f>ОИ4!R58</f>
        <v>0.54843589101232126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139"/>
  <sheetViews>
    <sheetView topLeftCell="A127" zoomScale="70" zoomScaleNormal="70" workbookViewId="0">
      <selection activeCell="C136" sqref="C136:R139"/>
    </sheetView>
  </sheetViews>
  <sheetFormatPr defaultRowHeight="15" x14ac:dyDescent="0.25"/>
  <cols>
    <col min="2" max="2" width="23.42578125" customWidth="1"/>
    <col min="3" max="3" width="16.28515625" customWidth="1"/>
    <col min="4" max="4" width="16.85546875" customWidth="1"/>
    <col min="5" max="5" width="15.42578125" customWidth="1"/>
    <col min="6" max="18" width="11.85546875" bestFit="1" customWidth="1"/>
  </cols>
  <sheetData>
    <row r="1" spans="1:5" ht="86.25" customHeight="1" x14ac:dyDescent="0.25">
      <c r="A1" s="85" t="s">
        <v>0</v>
      </c>
      <c r="B1" s="84" t="s">
        <v>83</v>
      </c>
      <c r="C1" s="159" t="s">
        <v>202</v>
      </c>
      <c r="D1" s="159" t="s">
        <v>203</v>
      </c>
      <c r="E1" s="159" t="s">
        <v>204</v>
      </c>
    </row>
    <row r="2" spans="1:5" ht="15.75" x14ac:dyDescent="0.25">
      <c r="A2" s="85">
        <v>58</v>
      </c>
      <c r="B2" s="84" t="s">
        <v>58</v>
      </c>
      <c r="C2" s="151">
        <f>'13.1н'!B59</f>
        <v>0.51398703552370051</v>
      </c>
      <c r="D2" s="151">
        <f>'13.2н'!B59</f>
        <v>0.70111592460818739</v>
      </c>
      <c r="E2" s="151">
        <f>'13.3н'!B59</f>
        <v>0.230232558003093</v>
      </c>
    </row>
    <row r="3" spans="1:5" ht="15.75" x14ac:dyDescent="0.25">
      <c r="A3" s="85">
        <v>59</v>
      </c>
      <c r="B3" s="84" t="s">
        <v>59</v>
      </c>
      <c r="C3" s="151">
        <f>'13.1н'!B60</f>
        <v>0.54103087735768729</v>
      </c>
      <c r="D3" s="151">
        <f>'13.2н'!B60</f>
        <v>0.78527030128247222</v>
      </c>
      <c r="E3" s="151">
        <f>'13.3н'!B60</f>
        <v>0.55531882462931104</v>
      </c>
    </row>
    <row r="4" spans="1:5" ht="15.75" x14ac:dyDescent="0.25">
      <c r="A4" s="85">
        <v>60</v>
      </c>
      <c r="B4" s="84" t="s">
        <v>60</v>
      </c>
      <c r="C4" s="151">
        <f>'13.1н'!B61</f>
        <v>2.9689407512702232E-2</v>
      </c>
      <c r="D4" s="151">
        <f>'13.2н'!B61</f>
        <v>0.85792817645647423</v>
      </c>
      <c r="E4" s="151">
        <f>'13.3н'!B61</f>
        <v>0.69385138412718517</v>
      </c>
    </row>
    <row r="5" spans="1:5" ht="15.75" x14ac:dyDescent="0.25">
      <c r="A5" s="85">
        <v>61</v>
      </c>
      <c r="B5" s="84" t="s">
        <v>61</v>
      </c>
      <c r="C5" s="151">
        <f>'13.1н'!B62</f>
        <v>0.55661730811776033</v>
      </c>
      <c r="D5" s="151">
        <f>'13.2н'!B62</f>
        <v>0.72201762836024852</v>
      </c>
      <c r="E5" s="151">
        <f>'13.3н'!B62</f>
        <v>0.46045270129142851</v>
      </c>
    </row>
    <row r="16" spans="1:5" ht="15.75" thickBot="1" x14ac:dyDescent="0.3"/>
    <row r="17" spans="1:5" ht="60.75" thickBot="1" x14ac:dyDescent="0.3">
      <c r="A17" s="85" t="s">
        <v>0</v>
      </c>
      <c r="B17" s="84" t="s">
        <v>83</v>
      </c>
      <c r="C17" s="54" t="s">
        <v>206</v>
      </c>
      <c r="D17" s="54" t="s">
        <v>104</v>
      </c>
      <c r="E17" s="54" t="s">
        <v>106</v>
      </c>
    </row>
    <row r="18" spans="1:5" ht="15.75" x14ac:dyDescent="0.25">
      <c r="A18" s="85">
        <v>58</v>
      </c>
      <c r="B18" s="84" t="s">
        <v>58</v>
      </c>
      <c r="C18" s="151">
        <f>'14.1н'!B59</f>
        <v>0.42907755615240867</v>
      </c>
      <c r="D18" s="151">
        <f>'14.2н'!B59</f>
        <v>0.11174103128650863</v>
      </c>
      <c r="E18" s="151">
        <f>'14.3н'!B59</f>
        <v>4.3553326471740053E-3</v>
      </c>
    </row>
    <row r="19" spans="1:5" ht="15.75" x14ac:dyDescent="0.25">
      <c r="A19" s="85">
        <v>59</v>
      </c>
      <c r="B19" s="84" t="s">
        <v>59</v>
      </c>
      <c r="C19" s="151">
        <f>'14.1н'!B60</f>
        <v>0.34349367468167891</v>
      </c>
      <c r="D19" s="151">
        <f>'14.2н'!B60</f>
        <v>0.24962510862270737</v>
      </c>
      <c r="E19" s="151">
        <f>'14.3н'!B60</f>
        <v>6.9097576902890978E-2</v>
      </c>
    </row>
    <row r="20" spans="1:5" ht="15.75" x14ac:dyDescent="0.25">
      <c r="A20" s="85">
        <v>60</v>
      </c>
      <c r="B20" s="84" t="s">
        <v>60</v>
      </c>
      <c r="C20" s="151">
        <f>'14.1н'!B61</f>
        <v>0.24606352436810031</v>
      </c>
      <c r="D20" s="151">
        <f>'14.2н'!B61</f>
        <v>2.4868834658379749E-2</v>
      </c>
      <c r="E20" s="151">
        <f>'14.3н'!B61</f>
        <v>1.8441850649870124E-3</v>
      </c>
    </row>
    <row r="21" spans="1:5" ht="15.75" x14ac:dyDescent="0.25">
      <c r="A21" s="85">
        <v>61</v>
      </c>
      <c r="B21" s="84" t="s">
        <v>61</v>
      </c>
      <c r="C21" s="151">
        <f>'14.1н'!B62</f>
        <v>0.3503936030701883</v>
      </c>
      <c r="D21" s="151">
        <f>'14.2н'!B62</f>
        <v>0.1675838247480336</v>
      </c>
      <c r="E21" s="151">
        <f>'14.3н'!B62</f>
        <v>1.9601717946898082E-2</v>
      </c>
    </row>
    <row r="33" spans="1:5" ht="15.75" thickBot="1" x14ac:dyDescent="0.3"/>
    <row r="34" spans="1:5" ht="45.75" thickBot="1" x14ac:dyDescent="0.3">
      <c r="A34" s="85" t="s">
        <v>0</v>
      </c>
      <c r="B34" s="84" t="s">
        <v>83</v>
      </c>
      <c r="C34" s="54" t="s">
        <v>208</v>
      </c>
      <c r="D34" s="54" t="s">
        <v>209</v>
      </c>
      <c r="E34" s="54" t="s">
        <v>210</v>
      </c>
    </row>
    <row r="35" spans="1:5" ht="15.75" x14ac:dyDescent="0.25">
      <c r="A35" s="85">
        <v>58</v>
      </c>
      <c r="B35" s="84" t="s">
        <v>58</v>
      </c>
      <c r="C35" s="151">
        <f>'15.1н'!B59</f>
        <v>0.33422264416446812</v>
      </c>
      <c r="D35" s="151">
        <f>'15.2н'!B59</f>
        <v>0.12358288091886918</v>
      </c>
      <c r="E35" s="151">
        <f>'15.3н'!B59</f>
        <v>0.27113688737623803</v>
      </c>
    </row>
    <row r="36" spans="1:5" ht="15.75" x14ac:dyDescent="0.25">
      <c r="A36" s="85">
        <v>59</v>
      </c>
      <c r="B36" s="84" t="s">
        <v>59</v>
      </c>
      <c r="C36" s="151">
        <f>'15.1н'!B60</f>
        <v>0.53722931569702903</v>
      </c>
      <c r="D36" s="151">
        <f>'15.2н'!B60</f>
        <v>0.4274681433908783</v>
      </c>
      <c r="E36" s="151">
        <f>'15.3н'!B60</f>
        <v>0.55105202108841145</v>
      </c>
    </row>
    <row r="37" spans="1:5" ht="15.75" x14ac:dyDescent="0.25">
      <c r="A37" s="85">
        <v>60</v>
      </c>
      <c r="B37" s="84" t="s">
        <v>60</v>
      </c>
      <c r="C37" s="151">
        <f>'15.1н'!B61</f>
        <v>0.5411723044834239</v>
      </c>
      <c r="D37" s="151">
        <f>'15.2н'!B61</f>
        <v>0.66444849355782087</v>
      </c>
      <c r="E37" s="151">
        <f>'15.3н'!B61</f>
        <v>0.48863891617744726</v>
      </c>
    </row>
    <row r="38" spans="1:5" ht="15.75" x14ac:dyDescent="0.25">
      <c r="A38" s="85">
        <v>61</v>
      </c>
      <c r="B38" s="84" t="s">
        <v>61</v>
      </c>
      <c r="C38" s="151">
        <f>'15.1н'!B62</f>
        <v>0.39401496345563836</v>
      </c>
      <c r="D38" s="151">
        <f>'15.2н'!B62</f>
        <v>0.31054654096678064</v>
      </c>
      <c r="E38" s="151">
        <f>'15.3н'!B62</f>
        <v>0.40669119480182803</v>
      </c>
    </row>
    <row r="54" spans="1:5" ht="15.75" thickBot="1" x14ac:dyDescent="0.3"/>
    <row r="55" spans="1:5" ht="48" thickBot="1" x14ac:dyDescent="0.3">
      <c r="A55" s="85" t="s">
        <v>0</v>
      </c>
      <c r="B55" s="84" t="s">
        <v>83</v>
      </c>
      <c r="C55" s="54" t="s">
        <v>212</v>
      </c>
      <c r="D55" s="159" t="s">
        <v>136</v>
      </c>
      <c r="E55" s="54" t="s">
        <v>213</v>
      </c>
    </row>
    <row r="56" spans="1:5" ht="15.75" x14ac:dyDescent="0.25">
      <c r="A56" s="85">
        <v>58</v>
      </c>
      <c r="B56" s="84" t="s">
        <v>58</v>
      </c>
      <c r="C56" s="151">
        <f>'16.1н'!B59</f>
        <v>0.26477983670821043</v>
      </c>
      <c r="D56" s="151">
        <f>'16.2н'!B59</f>
        <v>0.52128721274105672</v>
      </c>
      <c r="E56" s="151">
        <f>'16.3н'!B59</f>
        <v>0.4837658892619458</v>
      </c>
    </row>
    <row r="57" spans="1:5" ht="15.75" x14ac:dyDescent="0.25">
      <c r="A57" s="85">
        <v>59</v>
      </c>
      <c r="B57" s="84" t="s">
        <v>59</v>
      </c>
      <c r="C57" s="151">
        <f>'16.1н'!B60</f>
        <v>0.45679690761361119</v>
      </c>
      <c r="D57" s="151">
        <f>'16.2н'!B60</f>
        <v>0.53006790110587176</v>
      </c>
      <c r="E57" s="151">
        <f>'16.3н'!B60</f>
        <v>0.51230956021217355</v>
      </c>
    </row>
    <row r="58" spans="1:5" ht="15.75" x14ac:dyDescent="0.25">
      <c r="A58" s="85">
        <v>60</v>
      </c>
      <c r="B58" s="84" t="s">
        <v>60</v>
      </c>
      <c r="C58" s="151">
        <f>'16.1н'!B61</f>
        <v>0.55051680055943641</v>
      </c>
      <c r="D58" s="151">
        <f>'16.2н'!B61</f>
        <v>0.49439629518592559</v>
      </c>
      <c r="E58" s="151">
        <f>'16.3н'!B61</f>
        <v>0.4837658892619458</v>
      </c>
    </row>
    <row r="59" spans="1:5" ht="15.75" x14ac:dyDescent="0.25">
      <c r="A59" s="85">
        <v>61</v>
      </c>
      <c r="B59" s="84" t="s">
        <v>61</v>
      </c>
      <c r="C59" s="151">
        <f>'16.1н'!B62</f>
        <v>0.38719246265389329</v>
      </c>
      <c r="D59" s="151">
        <f>'16.2н'!B62</f>
        <v>0.53252054471998134</v>
      </c>
      <c r="E59" s="151">
        <f>'16.3н'!B62</f>
        <v>0.48709131032558028</v>
      </c>
    </row>
    <row r="75" spans="1:18" ht="15.75" x14ac:dyDescent="0.25">
      <c r="A75" s="84" t="s">
        <v>0</v>
      </c>
      <c r="B75" s="84"/>
      <c r="C75" s="84">
        <v>2005</v>
      </c>
      <c r="D75" s="84">
        <v>2006</v>
      </c>
      <c r="E75" s="84">
        <v>2007</v>
      </c>
      <c r="F75" s="84">
        <v>2008</v>
      </c>
      <c r="G75" s="84">
        <v>2009</v>
      </c>
      <c r="H75" s="84">
        <v>2010</v>
      </c>
      <c r="I75" s="84">
        <v>2011</v>
      </c>
      <c r="J75" s="84">
        <v>2012</v>
      </c>
      <c r="K75" s="84">
        <v>2013</v>
      </c>
      <c r="L75" s="84">
        <v>2014</v>
      </c>
      <c r="M75" s="84">
        <v>2015</v>
      </c>
      <c r="N75" s="84">
        <v>2016</v>
      </c>
      <c r="O75" s="84">
        <v>2017</v>
      </c>
      <c r="P75" s="84">
        <v>2018</v>
      </c>
      <c r="Q75" s="84">
        <v>2019</v>
      </c>
      <c r="R75" s="84">
        <v>2020</v>
      </c>
    </row>
    <row r="76" spans="1:18" ht="15.75" x14ac:dyDescent="0.25">
      <c r="A76" s="84">
        <v>58</v>
      </c>
      <c r="B76" s="84" t="s">
        <v>58</v>
      </c>
      <c r="C76" s="160" t="e">
        <f>ОИ1!C59</f>
        <v>#REF!</v>
      </c>
      <c r="D76" s="160" t="e">
        <f>ОИ1!D59</f>
        <v>#REF!</v>
      </c>
      <c r="E76" s="160">
        <f>ОИ1!E59</f>
        <v>0</v>
      </c>
      <c r="F76" s="160">
        <f>ОИ1!F59</f>
        <v>0</v>
      </c>
      <c r="G76" s="160">
        <f>ОИ1!G59</f>
        <v>0</v>
      </c>
      <c r="H76" s="160">
        <f>ОИ1!H59</f>
        <v>0</v>
      </c>
      <c r="I76" s="160">
        <f>ОИ1!I59</f>
        <v>0</v>
      </c>
      <c r="J76" s="160">
        <f>ОИ1!J59</f>
        <v>0</v>
      </c>
      <c r="K76" s="160">
        <f>ОИ1!K59</f>
        <v>0</v>
      </c>
      <c r="L76" s="160">
        <f>ОИ1!L59</f>
        <v>0</v>
      </c>
      <c r="M76" s="160">
        <f>ОИ1!M59</f>
        <v>0</v>
      </c>
      <c r="N76" s="160">
        <f>ОИ1!N59</f>
        <v>0</v>
      </c>
      <c r="O76" s="160">
        <f>ОИ1!O59</f>
        <v>0</v>
      </c>
      <c r="P76" s="160">
        <f>ОИ1!P59</f>
        <v>0</v>
      </c>
      <c r="Q76" s="160">
        <f>ОИ1!Q59</f>
        <v>0</v>
      </c>
      <c r="R76" s="160">
        <f>ОИ1!R59</f>
        <v>0.48177850604499367</v>
      </c>
    </row>
    <row r="77" spans="1:18" ht="15.75" x14ac:dyDescent="0.25">
      <c r="A77" s="84">
        <v>59</v>
      </c>
      <c r="B77" s="84" t="s">
        <v>59</v>
      </c>
      <c r="C77" s="160" t="e">
        <f>ОИ1!C60</f>
        <v>#REF!</v>
      </c>
      <c r="D77" s="160" t="e">
        <f>ОИ1!D60</f>
        <v>#REF!</v>
      </c>
      <c r="E77" s="160">
        <f>ОИ1!E60</f>
        <v>0</v>
      </c>
      <c r="F77" s="160">
        <f>ОИ1!F60</f>
        <v>0</v>
      </c>
      <c r="G77" s="160">
        <f>ОИ1!G60</f>
        <v>0</v>
      </c>
      <c r="H77" s="160">
        <f>ОИ1!H60</f>
        <v>0</v>
      </c>
      <c r="I77" s="160">
        <f>ОИ1!I60</f>
        <v>0</v>
      </c>
      <c r="J77" s="160">
        <f>ОИ1!J60</f>
        <v>0</v>
      </c>
      <c r="K77" s="160">
        <f>ОИ1!K60</f>
        <v>0</v>
      </c>
      <c r="L77" s="160">
        <f>ОИ1!L60</f>
        <v>0</v>
      </c>
      <c r="M77" s="160">
        <f>ОИ1!M60</f>
        <v>0</v>
      </c>
      <c r="N77" s="160">
        <f>ОИ1!N60</f>
        <v>0</v>
      </c>
      <c r="O77" s="160">
        <f>ОИ1!O60</f>
        <v>0</v>
      </c>
      <c r="P77" s="160">
        <f>ОИ1!P60</f>
        <v>0</v>
      </c>
      <c r="Q77" s="160">
        <f>ОИ1!Q60</f>
        <v>0</v>
      </c>
      <c r="R77" s="160">
        <f>ОИ1!R60</f>
        <v>0.62720666775649014</v>
      </c>
    </row>
    <row r="78" spans="1:18" ht="15.75" x14ac:dyDescent="0.25">
      <c r="A78" s="84">
        <v>60</v>
      </c>
      <c r="B78" s="84" t="s">
        <v>60</v>
      </c>
      <c r="C78" s="160" t="e">
        <f>ОИ1!C61</f>
        <v>#REF!</v>
      </c>
      <c r="D78" s="160" t="e">
        <f>ОИ1!D61</f>
        <v>#REF!</v>
      </c>
      <c r="E78" s="160">
        <f>ОИ1!E61</f>
        <v>0</v>
      </c>
      <c r="F78" s="160">
        <f>ОИ1!F61</f>
        <v>0</v>
      </c>
      <c r="G78" s="160">
        <f>ОИ1!G61</f>
        <v>0</v>
      </c>
      <c r="H78" s="160">
        <f>ОИ1!H61</f>
        <v>0</v>
      </c>
      <c r="I78" s="160">
        <f>ОИ1!I61</f>
        <v>0</v>
      </c>
      <c r="J78" s="160">
        <f>ОИ1!J61</f>
        <v>0</v>
      </c>
      <c r="K78" s="160">
        <f>ОИ1!K61</f>
        <v>0</v>
      </c>
      <c r="L78" s="160">
        <f>ОИ1!L61</f>
        <v>0</v>
      </c>
      <c r="M78" s="160">
        <f>ОИ1!M61</f>
        <v>0</v>
      </c>
      <c r="N78" s="160">
        <f>ОИ1!N61</f>
        <v>0</v>
      </c>
      <c r="O78" s="160">
        <f>ОИ1!O61</f>
        <v>0</v>
      </c>
      <c r="P78" s="160">
        <f>ОИ1!P61</f>
        <v>0</v>
      </c>
      <c r="Q78" s="160">
        <f>ОИ1!Q61</f>
        <v>0</v>
      </c>
      <c r="R78" s="160">
        <f>ОИ1!R61</f>
        <v>0.52715632269878721</v>
      </c>
    </row>
    <row r="79" spans="1:18" ht="15.75" x14ac:dyDescent="0.25">
      <c r="A79" s="84">
        <v>61</v>
      </c>
      <c r="B79" s="84" t="s">
        <v>61</v>
      </c>
      <c r="C79" s="160" t="e">
        <f>ОИ1!C62</f>
        <v>#REF!</v>
      </c>
      <c r="D79" s="160" t="e">
        <f>ОИ1!D62</f>
        <v>#REF!</v>
      </c>
      <c r="E79" s="160">
        <f>ОИ1!E62</f>
        <v>0</v>
      </c>
      <c r="F79" s="160">
        <f>ОИ1!F62</f>
        <v>0</v>
      </c>
      <c r="G79" s="160">
        <f>ОИ1!G62</f>
        <v>0</v>
      </c>
      <c r="H79" s="160">
        <f>ОИ1!H62</f>
        <v>0</v>
      </c>
      <c r="I79" s="160">
        <f>ОИ1!I62</f>
        <v>0</v>
      </c>
      <c r="J79" s="160">
        <f>ОИ1!J62</f>
        <v>0</v>
      </c>
      <c r="K79" s="160">
        <f>ОИ1!K62</f>
        <v>0</v>
      </c>
      <c r="L79" s="160">
        <f>ОИ1!L62</f>
        <v>0</v>
      </c>
      <c r="M79" s="160">
        <f>ОИ1!M62</f>
        <v>0</v>
      </c>
      <c r="N79" s="160">
        <f>ОИ1!N62</f>
        <v>0</v>
      </c>
      <c r="O79" s="160">
        <f>ОИ1!O62</f>
        <v>0</v>
      </c>
      <c r="P79" s="160">
        <f>ОИ1!P62</f>
        <v>0</v>
      </c>
      <c r="Q79" s="160">
        <f>ОИ1!Q62</f>
        <v>0</v>
      </c>
      <c r="R79" s="160">
        <f>ОИ1!R62</f>
        <v>0.57969587925647914</v>
      </c>
    </row>
    <row r="84" spans="1:18" ht="35.25" customHeight="1" x14ac:dyDescent="0.25"/>
    <row r="85" spans="1:18" ht="35.25" customHeight="1" x14ac:dyDescent="0.25"/>
    <row r="86" spans="1:18" ht="32.25" customHeight="1" x14ac:dyDescent="0.25"/>
    <row r="87" spans="1:18" ht="34.5" customHeight="1" x14ac:dyDescent="0.25"/>
    <row r="88" spans="1:18" ht="24.75" customHeight="1" x14ac:dyDescent="0.25"/>
    <row r="90" spans="1:18" ht="27.75" customHeight="1" x14ac:dyDescent="0.25"/>
    <row r="91" spans="1:18" ht="20.25" customHeight="1" x14ac:dyDescent="0.25"/>
    <row r="92" spans="1:18" ht="21.75" customHeight="1" x14ac:dyDescent="0.25"/>
    <row r="93" spans="1:18" ht="33" customHeight="1" x14ac:dyDescent="0.25"/>
    <row r="95" spans="1:18" ht="15.75" x14ac:dyDescent="0.25">
      <c r="A95" s="84" t="s">
        <v>0</v>
      </c>
      <c r="B95" s="84"/>
      <c r="C95" s="84">
        <v>2005</v>
      </c>
      <c r="D95" s="84">
        <v>2006</v>
      </c>
      <c r="E95" s="84">
        <v>2007</v>
      </c>
      <c r="F95" s="84">
        <v>2008</v>
      </c>
      <c r="G95" s="84">
        <v>2009</v>
      </c>
      <c r="H95" s="84">
        <v>2010</v>
      </c>
      <c r="I95" s="84">
        <v>2011</v>
      </c>
      <c r="J95" s="84">
        <v>2012</v>
      </c>
      <c r="K95" s="84">
        <v>2013</v>
      </c>
      <c r="L95" s="84">
        <v>2014</v>
      </c>
      <c r="M95" s="84">
        <v>2015</v>
      </c>
      <c r="N95" s="84">
        <v>2016</v>
      </c>
      <c r="O95" s="84">
        <v>2017</v>
      </c>
      <c r="P95" s="84">
        <v>2018</v>
      </c>
      <c r="Q95" s="84">
        <v>2019</v>
      </c>
      <c r="R95" s="84">
        <v>2020</v>
      </c>
    </row>
    <row r="96" spans="1:18" ht="15.75" x14ac:dyDescent="0.25">
      <c r="A96" s="161">
        <v>58</v>
      </c>
      <c r="B96" s="161" t="s">
        <v>58</v>
      </c>
      <c r="C96" s="155" t="e">
        <f>ОИ2!C59</f>
        <v>#REF!</v>
      </c>
      <c r="D96" s="155" t="e">
        <f>ОИ2!D59</f>
        <v>#REF!</v>
      </c>
      <c r="E96" s="155">
        <f>ОИ2!E59</f>
        <v>0</v>
      </c>
      <c r="F96" s="155">
        <f>ОИ2!F59</f>
        <v>0</v>
      </c>
      <c r="G96" s="155">
        <f>ОИ2!G59</f>
        <v>0</v>
      </c>
      <c r="H96" s="155">
        <f>ОИ2!H59</f>
        <v>0</v>
      </c>
      <c r="I96" s="155">
        <f>ОИ2!I59</f>
        <v>0</v>
      </c>
      <c r="J96" s="155">
        <f>ОИ2!J59</f>
        <v>0</v>
      </c>
      <c r="K96" s="155">
        <f>ОИ2!K59</f>
        <v>0</v>
      </c>
      <c r="L96" s="155">
        <f>ОИ2!L59</f>
        <v>0</v>
      </c>
      <c r="M96" s="155">
        <f>ОИ2!M59</f>
        <v>0</v>
      </c>
      <c r="N96" s="155">
        <f>ОИ2!N59</f>
        <v>0</v>
      </c>
      <c r="O96" s="155">
        <f>ОИ2!O59</f>
        <v>0</v>
      </c>
      <c r="P96" s="155">
        <f>ОИ2!P59</f>
        <v>0</v>
      </c>
      <c r="Q96" s="155">
        <f>ОИ2!Q59</f>
        <v>0</v>
      </c>
      <c r="R96" s="155">
        <f>ОИ2!R59</f>
        <v>0.18172464002869712</v>
      </c>
    </row>
    <row r="97" spans="1:18" ht="15.75" x14ac:dyDescent="0.25">
      <c r="A97" s="161">
        <v>59</v>
      </c>
      <c r="B97" s="161" t="s">
        <v>59</v>
      </c>
      <c r="C97" s="155" t="e">
        <f>ОИ2!C60</f>
        <v>#REF!</v>
      </c>
      <c r="D97" s="155" t="e">
        <f>ОИ2!D60</f>
        <v>#REF!</v>
      </c>
      <c r="E97" s="155">
        <f>ОИ2!E60</f>
        <v>0</v>
      </c>
      <c r="F97" s="155">
        <f>ОИ2!F60</f>
        <v>0</v>
      </c>
      <c r="G97" s="155">
        <f>ОИ2!G60</f>
        <v>0</v>
      </c>
      <c r="H97" s="155">
        <f>ОИ2!H60</f>
        <v>0</v>
      </c>
      <c r="I97" s="155">
        <f>ОИ2!I60</f>
        <v>0</v>
      </c>
      <c r="J97" s="155">
        <f>ОИ2!J60</f>
        <v>0</v>
      </c>
      <c r="K97" s="155">
        <f>ОИ2!K60</f>
        <v>0</v>
      </c>
      <c r="L97" s="155">
        <f>ОИ2!L60</f>
        <v>0</v>
      </c>
      <c r="M97" s="155">
        <f>ОИ2!M60</f>
        <v>0</v>
      </c>
      <c r="N97" s="155">
        <f>ОИ2!N60</f>
        <v>0</v>
      </c>
      <c r="O97" s="155">
        <f>ОИ2!O60</f>
        <v>0</v>
      </c>
      <c r="P97" s="155">
        <f>ОИ2!P60</f>
        <v>0</v>
      </c>
      <c r="Q97" s="155">
        <f>ОИ2!Q60</f>
        <v>0</v>
      </c>
      <c r="R97" s="155">
        <f>ОИ2!R60</f>
        <v>0.22073878673575908</v>
      </c>
    </row>
    <row r="98" spans="1:18" ht="15.75" x14ac:dyDescent="0.25">
      <c r="A98" s="161">
        <v>60</v>
      </c>
      <c r="B98" s="161" t="s">
        <v>60</v>
      </c>
      <c r="C98" s="155" t="e">
        <f>ОИ2!C61</f>
        <v>#REF!</v>
      </c>
      <c r="D98" s="155" t="e">
        <f>ОИ2!D61</f>
        <v>#REF!</v>
      </c>
      <c r="E98" s="155">
        <f>ОИ2!E61</f>
        <v>0</v>
      </c>
      <c r="F98" s="155">
        <f>ОИ2!F61</f>
        <v>0</v>
      </c>
      <c r="G98" s="155">
        <f>ОИ2!G61</f>
        <v>0</v>
      </c>
      <c r="H98" s="155">
        <f>ОИ2!H61</f>
        <v>0</v>
      </c>
      <c r="I98" s="155">
        <f>ОИ2!I61</f>
        <v>0</v>
      </c>
      <c r="J98" s="155">
        <f>ОИ2!J61</f>
        <v>0</v>
      </c>
      <c r="K98" s="155">
        <f>ОИ2!K61</f>
        <v>0</v>
      </c>
      <c r="L98" s="155">
        <f>ОИ2!L61</f>
        <v>0</v>
      </c>
      <c r="M98" s="155">
        <f>ОИ2!M61</f>
        <v>0</v>
      </c>
      <c r="N98" s="155">
        <f>ОИ2!N61</f>
        <v>0</v>
      </c>
      <c r="O98" s="155">
        <f>ОИ2!O61</f>
        <v>0</v>
      </c>
      <c r="P98" s="155">
        <f>ОИ2!P61</f>
        <v>0</v>
      </c>
      <c r="Q98" s="155">
        <f>ОИ2!Q61</f>
        <v>0</v>
      </c>
      <c r="R98" s="155">
        <f>ОИ2!R61</f>
        <v>9.0925514697155693E-2</v>
      </c>
    </row>
    <row r="99" spans="1:18" ht="15.75" x14ac:dyDescent="0.25">
      <c r="A99" s="161">
        <v>61</v>
      </c>
      <c r="B99" s="161" t="s">
        <v>61</v>
      </c>
      <c r="C99" s="155" t="e">
        <f>ОИ2!C62</f>
        <v>#REF!</v>
      </c>
      <c r="D99" s="155" t="e">
        <f>ОИ2!D62</f>
        <v>#REF!</v>
      </c>
      <c r="E99" s="155">
        <f>ОИ2!E62</f>
        <v>0</v>
      </c>
      <c r="F99" s="155">
        <f>ОИ2!F62</f>
        <v>0</v>
      </c>
      <c r="G99" s="155">
        <f>ОИ2!G62</f>
        <v>0</v>
      </c>
      <c r="H99" s="155">
        <f>ОИ2!H62</f>
        <v>0</v>
      </c>
      <c r="I99" s="155">
        <f>ОИ2!I62</f>
        <v>0</v>
      </c>
      <c r="J99" s="155">
        <f>ОИ2!J62</f>
        <v>0</v>
      </c>
      <c r="K99" s="155">
        <f>ОИ2!K62</f>
        <v>0</v>
      </c>
      <c r="L99" s="155">
        <f>ОИ2!L62</f>
        <v>0</v>
      </c>
      <c r="M99" s="155">
        <f>ОИ2!M62</f>
        <v>0</v>
      </c>
      <c r="N99" s="155">
        <f>ОИ2!N62</f>
        <v>0</v>
      </c>
      <c r="O99" s="155">
        <f>ОИ2!O62</f>
        <v>0</v>
      </c>
      <c r="P99" s="155">
        <f>ОИ2!P62</f>
        <v>0</v>
      </c>
      <c r="Q99" s="155">
        <f>ОИ2!Q62</f>
        <v>0</v>
      </c>
      <c r="R99" s="155">
        <f>ОИ2!R62</f>
        <v>0.17919304858837334</v>
      </c>
    </row>
    <row r="104" spans="1:18" ht="36.75" customHeight="1" x14ac:dyDescent="0.25"/>
    <row r="105" spans="1:18" ht="22.5" customHeight="1" x14ac:dyDescent="0.25"/>
    <row r="106" spans="1:18" ht="38.25" customHeight="1" x14ac:dyDescent="0.25"/>
    <row r="107" spans="1:18" ht="36.75" customHeight="1" x14ac:dyDescent="0.25"/>
    <row r="108" spans="1:18" ht="25.5" customHeight="1" x14ac:dyDescent="0.25"/>
    <row r="110" spans="1:18" ht="30" customHeight="1" x14ac:dyDescent="0.25"/>
    <row r="112" spans="1:18" ht="24.75" customHeight="1" x14ac:dyDescent="0.25"/>
    <row r="116" spans="1:18" ht="15.75" x14ac:dyDescent="0.25">
      <c r="A116" s="84" t="s">
        <v>0</v>
      </c>
      <c r="B116" s="84"/>
      <c r="C116" s="84">
        <v>2005</v>
      </c>
      <c r="D116" s="84">
        <v>2006</v>
      </c>
      <c r="E116" s="84">
        <v>2007</v>
      </c>
      <c r="F116" s="84">
        <v>2008</v>
      </c>
      <c r="G116" s="84">
        <v>2009</v>
      </c>
      <c r="H116" s="84">
        <v>2010</v>
      </c>
      <c r="I116" s="84">
        <v>2011</v>
      </c>
      <c r="J116" s="84">
        <v>2012</v>
      </c>
      <c r="K116" s="84">
        <v>2013</v>
      </c>
      <c r="L116" s="84">
        <v>2014</v>
      </c>
      <c r="M116" s="84">
        <v>2015</v>
      </c>
      <c r="N116" s="84">
        <v>2016</v>
      </c>
      <c r="O116" s="84">
        <v>2017</v>
      </c>
      <c r="P116" s="84">
        <v>2018</v>
      </c>
      <c r="Q116" s="84">
        <v>2019</v>
      </c>
      <c r="R116" s="84">
        <v>2020</v>
      </c>
    </row>
    <row r="117" spans="1:18" ht="15.75" x14ac:dyDescent="0.25">
      <c r="A117" s="84">
        <v>58</v>
      </c>
      <c r="B117" s="84" t="s">
        <v>58</v>
      </c>
      <c r="C117" s="160" t="e">
        <f>ОИ3!C59</f>
        <v>#REF!</v>
      </c>
      <c r="D117" s="160" t="e">
        <f>ОИ3!D59</f>
        <v>#REF!</v>
      </c>
      <c r="E117" s="160">
        <f>ОИ3!E59</f>
        <v>0</v>
      </c>
      <c r="F117" s="160">
        <f>ОИ3!F59</f>
        <v>0</v>
      </c>
      <c r="G117" s="160">
        <f>ОИ3!G59</f>
        <v>0</v>
      </c>
      <c r="H117" s="160">
        <f>ОИ3!H59</f>
        <v>0</v>
      </c>
      <c r="I117" s="160">
        <f>ОИ3!I59</f>
        <v>0</v>
      </c>
      <c r="J117" s="160">
        <f>ОИ3!J59</f>
        <v>0</v>
      </c>
      <c r="K117" s="160">
        <f>ОИ3!K59</f>
        <v>0</v>
      </c>
      <c r="L117" s="160">
        <f>ОИ3!L59</f>
        <v>0</v>
      </c>
      <c r="M117" s="160">
        <f>ОИ3!M59</f>
        <v>0</v>
      </c>
      <c r="N117" s="160">
        <f>ОИ3!N59</f>
        <v>0</v>
      </c>
      <c r="O117" s="160">
        <f>ОИ3!O59</f>
        <v>0</v>
      </c>
      <c r="P117" s="160">
        <f>ОИ3!P59</f>
        <v>0</v>
      </c>
      <c r="Q117" s="160">
        <f>ОИ3!Q59</f>
        <v>0</v>
      </c>
      <c r="R117" s="160">
        <f>ОИ3!R59</f>
        <v>0.24298080415319179</v>
      </c>
    </row>
    <row r="118" spans="1:18" ht="15.75" x14ac:dyDescent="0.25">
      <c r="A118" s="84">
        <v>59</v>
      </c>
      <c r="B118" s="84" t="s">
        <v>59</v>
      </c>
      <c r="C118" s="160" t="e">
        <f>ОИ3!C60</f>
        <v>#REF!</v>
      </c>
      <c r="D118" s="160" t="e">
        <f>ОИ3!D60</f>
        <v>#REF!</v>
      </c>
      <c r="E118" s="160">
        <f>ОИ3!E60</f>
        <v>0</v>
      </c>
      <c r="F118" s="160">
        <f>ОИ3!F60</f>
        <v>0</v>
      </c>
      <c r="G118" s="160">
        <f>ОИ3!G60</f>
        <v>0</v>
      </c>
      <c r="H118" s="160">
        <f>ОИ3!H60</f>
        <v>0</v>
      </c>
      <c r="I118" s="160">
        <f>ОИ3!I60</f>
        <v>0</v>
      </c>
      <c r="J118" s="160">
        <f>ОИ3!J60</f>
        <v>0</v>
      </c>
      <c r="K118" s="160">
        <f>ОИ3!K60</f>
        <v>0</v>
      </c>
      <c r="L118" s="160">
        <f>ОИ3!L60</f>
        <v>0</v>
      </c>
      <c r="M118" s="160">
        <f>ОИ3!M60</f>
        <v>0</v>
      </c>
      <c r="N118" s="160">
        <f>ОИ3!N60</f>
        <v>0</v>
      </c>
      <c r="O118" s="160">
        <f>ОИ3!O60</f>
        <v>0</v>
      </c>
      <c r="P118" s="160">
        <f>ОИ3!P60</f>
        <v>0</v>
      </c>
      <c r="Q118" s="160">
        <f>ОИ3!Q60</f>
        <v>0</v>
      </c>
      <c r="R118" s="160">
        <f>ОИ3!R60</f>
        <v>0.50524982672543961</v>
      </c>
    </row>
    <row r="119" spans="1:18" ht="15.75" x14ac:dyDescent="0.25">
      <c r="A119" s="84">
        <v>60</v>
      </c>
      <c r="B119" s="84" t="s">
        <v>60</v>
      </c>
      <c r="C119" s="160" t="e">
        <f>ОИ3!C61</f>
        <v>#REF!</v>
      </c>
      <c r="D119" s="160" t="e">
        <f>ОИ3!D61</f>
        <v>#REF!</v>
      </c>
      <c r="E119" s="160">
        <f>ОИ3!E61</f>
        <v>0</v>
      </c>
      <c r="F119" s="160">
        <f>ОИ3!F61</f>
        <v>0</v>
      </c>
      <c r="G119" s="160">
        <f>ОИ3!G61</f>
        <v>0</v>
      </c>
      <c r="H119" s="160">
        <f>ОИ3!H61</f>
        <v>0</v>
      </c>
      <c r="I119" s="160">
        <f>ОИ3!I61</f>
        <v>0</v>
      </c>
      <c r="J119" s="160">
        <f>ОИ3!J61</f>
        <v>0</v>
      </c>
      <c r="K119" s="160">
        <f>ОИ3!K61</f>
        <v>0</v>
      </c>
      <c r="L119" s="160">
        <f>ОИ3!L61</f>
        <v>0</v>
      </c>
      <c r="M119" s="160">
        <f>ОИ3!M61</f>
        <v>0</v>
      </c>
      <c r="N119" s="160">
        <f>ОИ3!N61</f>
        <v>0</v>
      </c>
      <c r="O119" s="160">
        <f>ОИ3!O61</f>
        <v>0</v>
      </c>
      <c r="P119" s="160">
        <f>ОИ3!P61</f>
        <v>0</v>
      </c>
      <c r="Q119" s="160">
        <f>ОИ3!Q61</f>
        <v>0</v>
      </c>
      <c r="R119" s="160">
        <f>ОИ3!R61</f>
        <v>0.56475323807289735</v>
      </c>
    </row>
    <row r="120" spans="1:18" ht="15.75" x14ac:dyDescent="0.25">
      <c r="A120" s="84">
        <v>61</v>
      </c>
      <c r="B120" s="84" t="s">
        <v>61</v>
      </c>
      <c r="C120" s="160" t="e">
        <f>ОИ3!C62</f>
        <v>#REF!</v>
      </c>
      <c r="D120" s="160" t="e">
        <f>ОИ3!D62</f>
        <v>#REF!</v>
      </c>
      <c r="E120" s="160">
        <f>ОИ3!E62</f>
        <v>0</v>
      </c>
      <c r="F120" s="160">
        <f>ОИ3!F62</f>
        <v>0</v>
      </c>
      <c r="G120" s="160">
        <f>ОИ3!G62</f>
        <v>0</v>
      </c>
      <c r="H120" s="160">
        <f>ОИ3!H62</f>
        <v>0</v>
      </c>
      <c r="I120" s="160">
        <f>ОИ3!I62</f>
        <v>0</v>
      </c>
      <c r="J120" s="160">
        <f>ОИ3!J62</f>
        <v>0</v>
      </c>
      <c r="K120" s="160">
        <f>ОИ3!K62</f>
        <v>0</v>
      </c>
      <c r="L120" s="160">
        <f>ОИ3!L62</f>
        <v>0</v>
      </c>
      <c r="M120" s="160">
        <f>ОИ3!M62</f>
        <v>0</v>
      </c>
      <c r="N120" s="160">
        <f>ОИ3!N62</f>
        <v>0</v>
      </c>
      <c r="O120" s="160">
        <f>ОИ3!O62</f>
        <v>0</v>
      </c>
      <c r="P120" s="160">
        <f>ОИ3!P62</f>
        <v>0</v>
      </c>
      <c r="Q120" s="160">
        <f>ОИ3!Q62</f>
        <v>0</v>
      </c>
      <c r="R120" s="160">
        <f>ОИ3!R62</f>
        <v>0.37041756640808227</v>
      </c>
    </row>
    <row r="123" spans="1:18" ht="32.25" customHeight="1" x14ac:dyDescent="0.25"/>
    <row r="124" spans="1:18" ht="30.75" customHeight="1" x14ac:dyDescent="0.25"/>
    <row r="125" spans="1:18" ht="39.75" customHeight="1" x14ac:dyDescent="0.25"/>
    <row r="126" spans="1:18" ht="35.25" customHeight="1" x14ac:dyDescent="0.25"/>
    <row r="127" spans="1:18" ht="25.5" customHeight="1" x14ac:dyDescent="0.25"/>
    <row r="128" spans="1:18" ht="40.5" customHeight="1" x14ac:dyDescent="0.25"/>
    <row r="129" spans="1:18" ht="34.5" customHeight="1" x14ac:dyDescent="0.25"/>
    <row r="130" spans="1:18" ht="17.25" customHeight="1" x14ac:dyDescent="0.25"/>
    <row r="135" spans="1:18" ht="15.75" x14ac:dyDescent="0.25">
      <c r="A135" s="84" t="s">
        <v>0</v>
      </c>
      <c r="B135" s="84"/>
      <c r="C135" s="84">
        <v>2005</v>
      </c>
      <c r="D135" s="84">
        <v>2006</v>
      </c>
      <c r="E135" s="84">
        <v>2007</v>
      </c>
      <c r="F135" s="84">
        <v>2008</v>
      </c>
      <c r="G135" s="84">
        <v>2009</v>
      </c>
      <c r="H135" s="84">
        <v>2010</v>
      </c>
      <c r="I135" s="84">
        <v>2011</v>
      </c>
      <c r="J135" s="84">
        <v>2012</v>
      </c>
      <c r="K135" s="84">
        <v>2013</v>
      </c>
      <c r="L135" s="84">
        <v>2014</v>
      </c>
      <c r="M135" s="84">
        <v>2015</v>
      </c>
      <c r="N135" s="84">
        <v>2016</v>
      </c>
      <c r="O135" s="84">
        <v>2017</v>
      </c>
      <c r="P135" s="84">
        <v>2018</v>
      </c>
      <c r="Q135" s="84">
        <v>2019</v>
      </c>
      <c r="R135" s="84">
        <v>2020</v>
      </c>
    </row>
    <row r="136" spans="1:18" ht="15.75" x14ac:dyDescent="0.25">
      <c r="A136" s="84">
        <v>58</v>
      </c>
      <c r="B136" s="84" t="s">
        <v>58</v>
      </c>
      <c r="C136" s="160" t="e">
        <f>ОИ4!C59</f>
        <v>#REF!</v>
      </c>
      <c r="D136" s="160" t="e">
        <f>ОИ4!D59</f>
        <v>#REF!</v>
      </c>
      <c r="E136" s="160">
        <f>ОИ4!E59</f>
        <v>0</v>
      </c>
      <c r="F136" s="160">
        <f>ОИ4!F59</f>
        <v>0</v>
      </c>
      <c r="G136" s="160">
        <f>ОИ4!G59</f>
        <v>0</v>
      </c>
      <c r="H136" s="160">
        <f>ОИ4!H59</f>
        <v>0</v>
      </c>
      <c r="I136" s="160">
        <f>ОИ4!I59</f>
        <v>0</v>
      </c>
      <c r="J136" s="160">
        <f>ОИ4!J59</f>
        <v>0</v>
      </c>
      <c r="K136" s="160">
        <f>ОИ4!K59</f>
        <v>0</v>
      </c>
      <c r="L136" s="160">
        <f>ОИ4!L59</f>
        <v>0</v>
      </c>
      <c r="M136" s="160">
        <f>ОИ4!M59</f>
        <v>0</v>
      </c>
      <c r="N136" s="160">
        <f>ОИ4!N59</f>
        <v>0</v>
      </c>
      <c r="O136" s="160">
        <f>ОИ4!O59</f>
        <v>0</v>
      </c>
      <c r="P136" s="160">
        <f>ОИ4!P59</f>
        <v>0</v>
      </c>
      <c r="Q136" s="160">
        <f>ОИ4!Q59</f>
        <v>0</v>
      </c>
      <c r="R136" s="160">
        <f>ОИ4!R59</f>
        <v>0.42327764623707104</v>
      </c>
    </row>
    <row r="137" spans="1:18" ht="15.75" x14ac:dyDescent="0.25">
      <c r="A137" s="84">
        <v>59</v>
      </c>
      <c r="B137" s="84" t="s">
        <v>59</v>
      </c>
      <c r="C137" s="160" t="e">
        <f>ОИ4!C60</f>
        <v>#REF!</v>
      </c>
      <c r="D137" s="160" t="e">
        <f>ОИ4!D60</f>
        <v>#REF!</v>
      </c>
      <c r="E137" s="160">
        <f>ОИ4!E60</f>
        <v>0</v>
      </c>
      <c r="F137" s="160">
        <f>ОИ4!F60</f>
        <v>0</v>
      </c>
      <c r="G137" s="160">
        <f>ОИ4!G60</f>
        <v>0</v>
      </c>
      <c r="H137" s="160">
        <f>ОИ4!H60</f>
        <v>0</v>
      </c>
      <c r="I137" s="160">
        <f>ОИ4!I60</f>
        <v>0</v>
      </c>
      <c r="J137" s="160">
        <f>ОИ4!J60</f>
        <v>0</v>
      </c>
      <c r="K137" s="160">
        <f>ОИ4!K60</f>
        <v>0</v>
      </c>
      <c r="L137" s="160">
        <f>ОИ4!L60</f>
        <v>0</v>
      </c>
      <c r="M137" s="160">
        <f>ОИ4!M60</f>
        <v>0</v>
      </c>
      <c r="N137" s="160">
        <f>ОИ4!N60</f>
        <v>0</v>
      </c>
      <c r="O137" s="160">
        <f>ОИ4!O60</f>
        <v>0</v>
      </c>
      <c r="P137" s="160">
        <f>ОИ4!P60</f>
        <v>0</v>
      </c>
      <c r="Q137" s="160">
        <f>ОИ4!Q60</f>
        <v>0</v>
      </c>
      <c r="R137" s="160">
        <f>ОИ4!R60</f>
        <v>0.49972478964388545</v>
      </c>
    </row>
    <row r="138" spans="1:18" ht="15.75" x14ac:dyDescent="0.25">
      <c r="A138" s="84">
        <v>60</v>
      </c>
      <c r="B138" s="84" t="s">
        <v>60</v>
      </c>
      <c r="C138" s="160" t="e">
        <f>ОИ4!C61</f>
        <v>#REF!</v>
      </c>
      <c r="D138" s="160" t="e">
        <f>ОИ4!D61</f>
        <v>#REF!</v>
      </c>
      <c r="E138" s="160">
        <f>ОИ4!E61</f>
        <v>0</v>
      </c>
      <c r="F138" s="160">
        <f>ОИ4!F61</f>
        <v>0</v>
      </c>
      <c r="G138" s="160">
        <f>ОИ4!G61</f>
        <v>0</v>
      </c>
      <c r="H138" s="160">
        <f>ОИ4!H61</f>
        <v>0</v>
      </c>
      <c r="I138" s="160">
        <f>ОИ4!I61</f>
        <v>0</v>
      </c>
      <c r="J138" s="160">
        <f>ОИ4!J61</f>
        <v>0</v>
      </c>
      <c r="K138" s="160">
        <f>ОИ4!K61</f>
        <v>0</v>
      </c>
      <c r="L138" s="160">
        <f>ОИ4!L61</f>
        <v>0</v>
      </c>
      <c r="M138" s="160">
        <f>ОИ4!M61</f>
        <v>0</v>
      </c>
      <c r="N138" s="160">
        <f>ОИ4!N61</f>
        <v>0</v>
      </c>
      <c r="O138" s="160">
        <f>ОИ4!O61</f>
        <v>0</v>
      </c>
      <c r="P138" s="160">
        <f>ОИ4!P61</f>
        <v>0</v>
      </c>
      <c r="Q138" s="160">
        <f>ОИ4!Q61</f>
        <v>0</v>
      </c>
      <c r="R138" s="160">
        <f>ОИ4!R61</f>
        <v>0.5095596616691026</v>
      </c>
    </row>
    <row r="139" spans="1:18" ht="15.75" x14ac:dyDescent="0.25">
      <c r="A139" s="84">
        <v>61</v>
      </c>
      <c r="B139" s="84" t="s">
        <v>61</v>
      </c>
      <c r="C139" s="160" t="e">
        <f>ОИ4!C62</f>
        <v>#REF!</v>
      </c>
      <c r="D139" s="160" t="e">
        <f>ОИ4!D62</f>
        <v>#REF!</v>
      </c>
      <c r="E139" s="160">
        <f>ОИ4!E62</f>
        <v>0</v>
      </c>
      <c r="F139" s="160">
        <f>ОИ4!F62</f>
        <v>0</v>
      </c>
      <c r="G139" s="160">
        <f>ОИ4!G62</f>
        <v>0</v>
      </c>
      <c r="H139" s="160">
        <f>ОИ4!H62</f>
        <v>0</v>
      </c>
      <c r="I139" s="160">
        <f>ОИ4!I62</f>
        <v>0</v>
      </c>
      <c r="J139" s="160">
        <f>ОИ4!J62</f>
        <v>0</v>
      </c>
      <c r="K139" s="160">
        <f>ОИ4!K62</f>
        <v>0</v>
      </c>
      <c r="L139" s="160">
        <f>ОИ4!L62</f>
        <v>0</v>
      </c>
      <c r="M139" s="160">
        <f>ОИ4!M62</f>
        <v>0</v>
      </c>
      <c r="N139" s="160">
        <f>ОИ4!N62</f>
        <v>0</v>
      </c>
      <c r="O139" s="160">
        <f>ОИ4!O62</f>
        <v>0</v>
      </c>
      <c r="P139" s="160">
        <f>ОИ4!P62</f>
        <v>0</v>
      </c>
      <c r="Q139" s="160">
        <f>ОИ4!Q62</f>
        <v>0</v>
      </c>
      <c r="R139" s="160">
        <f>ОИ4!R62</f>
        <v>0.46893477256648497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R178"/>
  <sheetViews>
    <sheetView topLeftCell="A175" zoomScale="70" zoomScaleNormal="70" workbookViewId="0">
      <selection activeCell="C167" sqref="C167:R178"/>
    </sheetView>
  </sheetViews>
  <sheetFormatPr defaultRowHeight="15" x14ac:dyDescent="0.25"/>
  <cols>
    <col min="2" max="2" width="23.7109375" customWidth="1"/>
    <col min="3" max="3" width="14.140625" customWidth="1"/>
    <col min="4" max="4" width="14.28515625" customWidth="1"/>
    <col min="5" max="5" width="14.140625" customWidth="1"/>
    <col min="6" max="18" width="11.85546875" bestFit="1" customWidth="1"/>
  </cols>
  <sheetData>
    <row r="1" spans="1:5" ht="80.25" customHeight="1" x14ac:dyDescent="0.25">
      <c r="A1" s="85" t="s">
        <v>0</v>
      </c>
      <c r="B1" s="84" t="s">
        <v>83</v>
      </c>
      <c r="C1" s="159" t="s">
        <v>202</v>
      </c>
      <c r="D1" s="159" t="s">
        <v>203</v>
      </c>
      <c r="E1" s="159" t="s">
        <v>204</v>
      </c>
    </row>
    <row r="2" spans="1:5" ht="15.75" x14ac:dyDescent="0.25">
      <c r="A2" s="85">
        <v>62</v>
      </c>
      <c r="B2" s="84" t="s">
        <v>62</v>
      </c>
      <c r="C2" s="151">
        <f>'13.1н'!B63</f>
        <v>0.5438949157765095</v>
      </c>
      <c r="D2" s="151">
        <f>'13.2н'!B63</f>
        <v>0.48637102965052875</v>
      </c>
      <c r="E2" s="151">
        <f>'13.3н'!B63</f>
        <v>9.8659673879452695E-2</v>
      </c>
    </row>
    <row r="3" spans="1:5" ht="15.75" x14ac:dyDescent="0.25">
      <c r="A3" s="85">
        <v>63</v>
      </c>
      <c r="B3" s="84" t="s">
        <v>63</v>
      </c>
      <c r="C3" s="151">
        <f>'13.1н'!B64</f>
        <v>0.42838860824695929</v>
      </c>
      <c r="D3" s="151">
        <f>'13.2н'!B64</f>
        <v>0.67892218510543834</v>
      </c>
      <c r="E3" s="151">
        <f>'13.3н'!B64</f>
        <v>0.17421919649137263</v>
      </c>
    </row>
    <row r="4" spans="1:5" ht="15.75" x14ac:dyDescent="0.25">
      <c r="A4" s="85">
        <v>64</v>
      </c>
      <c r="B4" s="84" t="s">
        <v>64</v>
      </c>
      <c r="C4" s="151">
        <f>'13.1н'!B65</f>
        <v>0.3152362801112597</v>
      </c>
      <c r="D4" s="151">
        <f>'13.2н'!B65</f>
        <v>0.66333285191769298</v>
      </c>
      <c r="E4" s="151">
        <f>'13.3н'!B65</f>
        <v>2.8819124875972078E-2</v>
      </c>
    </row>
    <row r="5" spans="1:5" ht="15.75" x14ac:dyDescent="0.25">
      <c r="A5" s="85">
        <v>65</v>
      </c>
      <c r="B5" s="84" t="s">
        <v>65</v>
      </c>
      <c r="C5" s="151">
        <f>'13.1н'!B66</f>
        <v>0.36481467102617299</v>
      </c>
      <c r="D5" s="151">
        <f>'13.2н'!B66</f>
        <v>0.70080843684898875</v>
      </c>
      <c r="E5" s="151">
        <f>'13.3н'!B66</f>
        <v>0.24546919487775695</v>
      </c>
    </row>
    <row r="6" spans="1:5" ht="15.75" x14ac:dyDescent="0.25">
      <c r="A6" s="85">
        <v>66</v>
      </c>
      <c r="B6" s="84" t="s">
        <v>66</v>
      </c>
      <c r="C6" s="151">
        <f>'13.1н'!B67</f>
        <v>0.54612191867746185</v>
      </c>
      <c r="D6" s="151">
        <f>'13.2н'!B67</f>
        <v>0.71118423260312047</v>
      </c>
      <c r="E6" s="151">
        <f>'13.3н'!B67</f>
        <v>0.32266269196477743</v>
      </c>
    </row>
    <row r="7" spans="1:5" ht="15.75" x14ac:dyDescent="0.25">
      <c r="A7" s="85">
        <v>67</v>
      </c>
      <c r="B7" s="84" t="s">
        <v>73</v>
      </c>
      <c r="C7" s="151">
        <f>'13.1н'!B68</f>
        <v>0.41239923397671013</v>
      </c>
      <c r="D7" s="151">
        <f>'13.2н'!B68</f>
        <v>0.69088961907705981</v>
      </c>
      <c r="E7" s="151">
        <f>'13.3н'!B68</f>
        <v>0.25856336334104485</v>
      </c>
    </row>
    <row r="8" spans="1:5" ht="15.75" x14ac:dyDescent="0.25">
      <c r="A8" s="85">
        <v>68</v>
      </c>
      <c r="B8" s="84" t="s">
        <v>67</v>
      </c>
      <c r="C8" s="151">
        <f>'13.1н'!B69</f>
        <v>0.67615229438742752</v>
      </c>
      <c r="D8" s="151">
        <f>'13.2н'!B69</f>
        <v>0.78778076024498778</v>
      </c>
      <c r="E8" s="151">
        <f>'13.3н'!B69</f>
        <v>0.4217613518743486</v>
      </c>
    </row>
    <row r="9" spans="1:5" ht="15.75" x14ac:dyDescent="0.25">
      <c r="A9" s="85">
        <v>69</v>
      </c>
      <c r="B9" s="84" t="s">
        <v>68</v>
      </c>
      <c r="C9" s="151">
        <f>'13.1н'!B70</f>
        <v>0.67389937514806764</v>
      </c>
      <c r="D9" s="151">
        <f>'13.2н'!B70</f>
        <v>0.73572513430419928</v>
      </c>
      <c r="E9" s="151">
        <f>'13.3н'!B70</f>
        <v>0.47511603240966932</v>
      </c>
    </row>
    <row r="10" spans="1:5" ht="15.75" x14ac:dyDescent="0.25">
      <c r="A10" s="85">
        <v>70</v>
      </c>
      <c r="B10" s="84" t="s">
        <v>69</v>
      </c>
      <c r="C10" s="151">
        <f>'13.1н'!B71</f>
        <v>0.36056076720936958</v>
      </c>
      <c r="D10" s="151">
        <f>'13.2н'!B71</f>
        <v>0.70474395063733453</v>
      </c>
      <c r="E10" s="151">
        <f>'13.3н'!B71</f>
        <v>0.3955894830308217</v>
      </c>
    </row>
    <row r="11" spans="1:5" ht="15.75" x14ac:dyDescent="0.25">
      <c r="A11" s="85">
        <v>71</v>
      </c>
      <c r="B11" s="84" t="s">
        <v>192</v>
      </c>
      <c r="C11" s="151">
        <f>'13.1н'!B72</f>
        <v>0.52489903545211714</v>
      </c>
      <c r="D11" s="151">
        <f>'13.2н'!B72</f>
        <v>0.815536485165551</v>
      </c>
      <c r="E11" s="151">
        <f>'13.3н'!B72</f>
        <v>0.51516209418278225</v>
      </c>
    </row>
    <row r="12" spans="1:5" ht="15.75" x14ac:dyDescent="0.25">
      <c r="A12" s="85">
        <v>72</v>
      </c>
      <c r="B12" s="84" t="s">
        <v>71</v>
      </c>
      <c r="C12" s="151">
        <f>'13.1н'!B73</f>
        <v>0.7093465283144198</v>
      </c>
      <c r="D12" s="151">
        <f>'13.2н'!B73</f>
        <v>0.75143459846658012</v>
      </c>
      <c r="E12" s="151">
        <f>'13.3н'!B73</f>
        <v>0.37667089260959397</v>
      </c>
    </row>
    <row r="13" spans="1:5" ht="15.75" x14ac:dyDescent="0.25">
      <c r="A13" s="85">
        <v>73</v>
      </c>
      <c r="B13" s="84" t="s">
        <v>72</v>
      </c>
      <c r="C13" s="151">
        <f>'13.1н'!B74</f>
        <v>0.6901440554350956</v>
      </c>
      <c r="D13" s="151">
        <f>'13.2н'!B74</f>
        <v>0.75186438095204444</v>
      </c>
      <c r="E13" s="151">
        <f>'13.3н'!B74</f>
        <v>0.45253539727914521</v>
      </c>
    </row>
    <row r="16" spans="1:5" ht="15.75" thickBot="1" x14ac:dyDescent="0.3"/>
    <row r="17" spans="1:5" ht="81.75" customHeight="1" thickBot="1" x14ac:dyDescent="0.3">
      <c r="A17" s="85" t="s">
        <v>0</v>
      </c>
      <c r="B17" s="84" t="s">
        <v>83</v>
      </c>
      <c r="C17" s="54" t="s">
        <v>206</v>
      </c>
      <c r="D17" s="54" t="s">
        <v>104</v>
      </c>
      <c r="E17" s="54" t="s">
        <v>106</v>
      </c>
    </row>
    <row r="18" spans="1:5" ht="15.75" x14ac:dyDescent="0.25">
      <c r="A18" s="85">
        <v>62</v>
      </c>
      <c r="B18" s="84" t="s">
        <v>62</v>
      </c>
      <c r="C18" s="151">
        <f>'14.1н'!B63</f>
        <v>4.355334099593218E-2</v>
      </c>
      <c r="D18" s="151">
        <f>'14.2н'!B63</f>
        <v>0.38092274733665371</v>
      </c>
      <c r="E18" s="151">
        <f>'14.3н'!B63</f>
        <v>1.1424576571225375E-2</v>
      </c>
    </row>
    <row r="19" spans="1:5" ht="15.75" x14ac:dyDescent="0.25">
      <c r="A19" s="85">
        <v>63</v>
      </c>
      <c r="B19" s="84" t="s">
        <v>63</v>
      </c>
      <c r="C19" s="151">
        <f>'14.1н'!B64</f>
        <v>0.12844645698535886</v>
      </c>
      <c r="D19" s="151">
        <f>'14.2н'!B64</f>
        <v>0.54128064739425741</v>
      </c>
      <c r="E19" s="151">
        <f>'14.3н'!B64</f>
        <v>6.4718993227976887E-5</v>
      </c>
    </row>
    <row r="20" spans="1:5" ht="15.75" x14ac:dyDescent="0.25">
      <c r="A20" s="85">
        <v>64</v>
      </c>
      <c r="B20" s="84" t="s">
        <v>64</v>
      </c>
      <c r="C20" s="151">
        <f>'14.1н'!B65</f>
        <v>0.26858455984405383</v>
      </c>
      <c r="D20" s="151">
        <f>'14.2н'!B65</f>
        <v>0.38154329771561485</v>
      </c>
      <c r="E20" s="151">
        <f>'14.3н'!B65</f>
        <v>4.7531719719767182E-68</v>
      </c>
    </row>
    <row r="21" spans="1:5" ht="15.75" x14ac:dyDescent="0.25">
      <c r="A21" s="85">
        <v>65</v>
      </c>
      <c r="B21" s="84" t="s">
        <v>65</v>
      </c>
      <c r="C21" s="151">
        <f>'14.1н'!B66</f>
        <v>4.2978832844356704E-2</v>
      </c>
      <c r="D21" s="151">
        <f>'14.2н'!B66</f>
        <v>2.7494431689929281E-24</v>
      </c>
      <c r="E21" s="151">
        <f>'14.3н'!B66</f>
        <v>9.6491126758053042E-78</v>
      </c>
    </row>
    <row r="22" spans="1:5" ht="15.75" x14ac:dyDescent="0.25">
      <c r="A22" s="85">
        <v>66</v>
      </c>
      <c r="B22" s="84" t="s">
        <v>66</v>
      </c>
      <c r="C22" s="151">
        <f>'14.1н'!B67</f>
        <v>0.54099837433497144</v>
      </c>
      <c r="D22" s="151">
        <f>'14.2н'!B67</f>
        <v>0.33958464854877718</v>
      </c>
      <c r="E22" s="151">
        <f>'14.3н'!B67</f>
        <v>1.4382893080301259E-3</v>
      </c>
    </row>
    <row r="23" spans="1:5" ht="15.75" x14ac:dyDescent="0.25">
      <c r="A23" s="85">
        <v>67</v>
      </c>
      <c r="B23" s="84" t="s">
        <v>73</v>
      </c>
      <c r="C23" s="151">
        <f>'14.1н'!B68</f>
        <v>5.33789150690007E-2</v>
      </c>
      <c r="D23" s="151">
        <f>'14.2н'!B68</f>
        <v>1.7632043614509959E-6</v>
      </c>
      <c r="E23" s="151">
        <f>'14.3н'!B68</f>
        <v>2.2944315638719227E-44</v>
      </c>
    </row>
    <row r="24" spans="1:5" ht="15.75" x14ac:dyDescent="0.25">
      <c r="A24" s="85">
        <v>68</v>
      </c>
      <c r="B24" s="84" t="s">
        <v>67</v>
      </c>
      <c r="C24" s="151">
        <f>'14.1н'!B69</f>
        <v>0.16886689818185602</v>
      </c>
      <c r="D24" s="151">
        <f>'14.2н'!B69</f>
        <v>0.29459602970412097</v>
      </c>
      <c r="E24" s="151">
        <f>'14.3н'!B69</f>
        <v>2.2419473805057377E-2</v>
      </c>
    </row>
    <row r="25" spans="1:5" ht="15.75" x14ac:dyDescent="0.25">
      <c r="A25" s="85">
        <v>69</v>
      </c>
      <c r="B25" s="84" t="s">
        <v>68</v>
      </c>
      <c r="C25" s="151">
        <f>'14.1н'!B70</f>
        <v>0.37635826819710333</v>
      </c>
      <c r="D25" s="151">
        <f>'14.2н'!B70</f>
        <v>0.28231848759765704</v>
      </c>
      <c r="E25" s="151">
        <f>'14.3н'!B70</f>
        <v>1.1433512770244436E-11</v>
      </c>
    </row>
    <row r="26" spans="1:5" ht="15.75" x14ac:dyDescent="0.25">
      <c r="A26" s="85">
        <v>70</v>
      </c>
      <c r="B26" s="84" t="s">
        <v>69</v>
      </c>
      <c r="C26" s="151">
        <f>'14.1н'!B71</f>
        <v>0.15023347886231864</v>
      </c>
      <c r="D26" s="151">
        <f>'14.2н'!B71</f>
        <v>0.34017469478369383</v>
      </c>
      <c r="E26" s="151">
        <f>'14.3н'!B71</f>
        <v>5.3500616298355328E-4</v>
      </c>
    </row>
    <row r="27" spans="1:5" ht="15.75" x14ac:dyDescent="0.25">
      <c r="A27" s="85">
        <v>71</v>
      </c>
      <c r="B27" s="84" t="s">
        <v>192</v>
      </c>
      <c r="C27" s="151">
        <f>'14.1н'!B72</f>
        <v>0.22345361170963121</v>
      </c>
      <c r="D27" s="151">
        <f>'14.2н'!B72</f>
        <v>0.20724867037355052</v>
      </c>
      <c r="E27" s="151">
        <f>'14.3н'!B72</f>
        <v>7.5778312492592393E-3</v>
      </c>
    </row>
    <row r="28" spans="1:5" ht="15.75" x14ac:dyDescent="0.25">
      <c r="A28" s="85">
        <v>72</v>
      </c>
      <c r="B28" s="84" t="s">
        <v>71</v>
      </c>
      <c r="C28" s="151">
        <f>'14.1н'!B73</f>
        <v>0.32076090409205005</v>
      </c>
      <c r="D28" s="151">
        <f>'14.2н'!B73</f>
        <v>0.20114849619295719</v>
      </c>
      <c r="E28" s="151">
        <f>'14.3н'!B73</f>
        <v>0.25334342003366633</v>
      </c>
    </row>
    <row r="29" spans="1:5" ht="15.75" x14ac:dyDescent="0.25">
      <c r="A29" s="85">
        <v>73</v>
      </c>
      <c r="B29" s="84" t="s">
        <v>72</v>
      </c>
      <c r="C29" s="151">
        <f>'14.1н'!B74</f>
        <v>0.61470692027411944</v>
      </c>
      <c r="D29" s="151">
        <f>'14.2н'!B74</f>
        <v>0.34993613004744389</v>
      </c>
      <c r="E29" s="151">
        <f>'14.3н'!B74</f>
        <v>2.4005539214850529E-3</v>
      </c>
    </row>
    <row r="36" spans="1:5" ht="15.75" thickBot="1" x14ac:dyDescent="0.3"/>
    <row r="37" spans="1:5" ht="45.75" thickBot="1" x14ac:dyDescent="0.3">
      <c r="A37" s="85" t="s">
        <v>0</v>
      </c>
      <c r="B37" s="84" t="s">
        <v>83</v>
      </c>
      <c r="C37" s="54" t="s">
        <v>208</v>
      </c>
      <c r="D37" s="54" t="s">
        <v>209</v>
      </c>
      <c r="E37" s="54" t="s">
        <v>210</v>
      </c>
    </row>
    <row r="38" spans="1:5" ht="15.75" x14ac:dyDescent="0.25">
      <c r="A38" s="85">
        <v>62</v>
      </c>
      <c r="B38" s="84" t="s">
        <v>62</v>
      </c>
      <c r="C38" s="151">
        <f>'15.1н'!B63</f>
        <v>0.3033223955993602</v>
      </c>
      <c r="D38" s="151">
        <f>'15.2н'!B63</f>
        <v>0.18103508838579949</v>
      </c>
      <c r="E38" s="151">
        <f>'15.3н'!B63</f>
        <v>0.21691360099887513</v>
      </c>
    </row>
    <row r="39" spans="1:5" ht="15.75" x14ac:dyDescent="0.25">
      <c r="A39" s="85">
        <v>63</v>
      </c>
      <c r="B39" s="84" t="s">
        <v>63</v>
      </c>
      <c r="C39" s="151">
        <f>'15.1н'!B64</f>
        <v>0.44558664288073108</v>
      </c>
      <c r="D39" s="151">
        <f>'15.2н'!B64</f>
        <v>0.46026436530319642</v>
      </c>
      <c r="E39" s="151">
        <f>'15.3н'!B64</f>
        <v>0.34873858260884716</v>
      </c>
    </row>
    <row r="40" spans="1:5" ht="15.75" x14ac:dyDescent="0.25">
      <c r="A40" s="85">
        <v>64</v>
      </c>
      <c r="B40" s="84" t="s">
        <v>64</v>
      </c>
      <c r="C40" s="151">
        <f>'15.1н'!B65</f>
        <v>0.12256138876608229</v>
      </c>
      <c r="D40" s="151">
        <f>'15.2н'!B65</f>
        <v>5.6703893509851049E-2</v>
      </c>
      <c r="E40" s="151">
        <f>'15.3н'!B65</f>
        <v>0.10094176505060534</v>
      </c>
    </row>
    <row r="41" spans="1:5" ht="15.75" x14ac:dyDescent="0.25">
      <c r="A41" s="85">
        <v>65</v>
      </c>
      <c r="B41" s="84" t="s">
        <v>65</v>
      </c>
      <c r="C41" s="151">
        <f>'15.1н'!B66</f>
        <v>0.39866125084760279</v>
      </c>
      <c r="D41" s="151">
        <f>'15.2н'!B66</f>
        <v>0.46081265721720432</v>
      </c>
      <c r="E41" s="151">
        <f>'15.3н'!B66</f>
        <v>0.28616643047387386</v>
      </c>
    </row>
    <row r="42" spans="1:5" ht="15.75" x14ac:dyDescent="0.25">
      <c r="A42" s="85">
        <v>66</v>
      </c>
      <c r="B42" s="84" t="s">
        <v>66</v>
      </c>
      <c r="C42" s="151">
        <f>'15.1н'!B67</f>
        <v>0.34952121282705728</v>
      </c>
      <c r="D42" s="151">
        <f>'15.2н'!B67</f>
        <v>0.12589157457492683</v>
      </c>
      <c r="E42" s="151">
        <f>'15.3н'!B67</f>
        <v>0.34252389447290704</v>
      </c>
    </row>
    <row r="43" spans="1:5" ht="15.75" x14ac:dyDescent="0.25">
      <c r="A43" s="85">
        <v>67</v>
      </c>
      <c r="B43" s="84" t="s">
        <v>73</v>
      </c>
      <c r="C43" s="151">
        <f>'15.1н'!B68</f>
        <v>0.37526094264230125</v>
      </c>
      <c r="D43" s="151">
        <f>'15.2н'!B68</f>
        <v>0.37999603468529713</v>
      </c>
      <c r="E43" s="151">
        <f>'15.3н'!B68</f>
        <v>0.36057011480395923</v>
      </c>
    </row>
    <row r="44" spans="1:5" ht="15.75" x14ac:dyDescent="0.25">
      <c r="A44" s="85">
        <v>68</v>
      </c>
      <c r="B44" s="84" t="s">
        <v>67</v>
      </c>
      <c r="C44" s="151">
        <f>'15.1н'!B69</f>
        <v>0.44038683404387813</v>
      </c>
      <c r="D44" s="151">
        <f>'15.2н'!B69</f>
        <v>0.4034524508407023</v>
      </c>
      <c r="E44" s="151">
        <f>'15.3н'!B69</f>
        <v>0.45600801662370571</v>
      </c>
    </row>
    <row r="45" spans="1:5" ht="15.75" x14ac:dyDescent="0.25">
      <c r="A45" s="85">
        <v>69</v>
      </c>
      <c r="B45" s="84" t="s">
        <v>68</v>
      </c>
      <c r="C45" s="151">
        <f>'15.1н'!B70</f>
        <v>0.37556891416083116</v>
      </c>
      <c r="D45" s="151">
        <f>'15.2н'!B70</f>
        <v>0.23440846772815693</v>
      </c>
      <c r="E45" s="151">
        <f>'15.3н'!B70</f>
        <v>0.34474734279369823</v>
      </c>
    </row>
    <row r="46" spans="1:5" ht="15.75" x14ac:dyDescent="0.25">
      <c r="A46" s="85">
        <v>70</v>
      </c>
      <c r="B46" s="84" t="s">
        <v>69</v>
      </c>
      <c r="C46" s="151">
        <f>'15.1н'!B71</f>
        <v>0.34815060500338801</v>
      </c>
      <c r="D46" s="151">
        <f>'15.2н'!B71</f>
        <v>0.31130186789555292</v>
      </c>
      <c r="E46" s="151">
        <f>'15.3н'!B71</f>
        <v>0.37557271554053223</v>
      </c>
    </row>
    <row r="47" spans="1:5" ht="15.75" x14ac:dyDescent="0.25">
      <c r="A47" s="85">
        <v>71</v>
      </c>
      <c r="B47" s="84" t="s">
        <v>192</v>
      </c>
      <c r="C47" s="151">
        <f>'15.1н'!B72</f>
        <v>0.44064353572164688</v>
      </c>
      <c r="D47" s="151">
        <f>'15.2н'!B72</f>
        <v>0.44490416224460033</v>
      </c>
      <c r="E47" s="151">
        <f>'15.3н'!B72</f>
        <v>0.44552746262164639</v>
      </c>
    </row>
    <row r="48" spans="1:5" ht="15.75" x14ac:dyDescent="0.25">
      <c r="A48" s="85">
        <v>72</v>
      </c>
      <c r="B48" s="84" t="s">
        <v>71</v>
      </c>
      <c r="C48" s="151">
        <f>'15.1н'!B73</f>
        <v>0.4192918495939168</v>
      </c>
      <c r="D48" s="151">
        <f>'15.2н'!B73</f>
        <v>0.37043246982827693</v>
      </c>
      <c r="E48" s="151">
        <f>'15.3н'!B73</f>
        <v>0.40675580017958723</v>
      </c>
    </row>
    <row r="49" spans="1:5" ht="15.75" x14ac:dyDescent="0.25">
      <c r="A49" s="85">
        <v>73</v>
      </c>
      <c r="B49" s="84" t="s">
        <v>72</v>
      </c>
      <c r="C49" s="151">
        <f>'15.1н'!B74</f>
        <v>0.36990340443761838</v>
      </c>
      <c r="D49" s="151">
        <f>'15.2н'!B74</f>
        <v>0.26963319074181102</v>
      </c>
      <c r="E49" s="151">
        <f>'15.3н'!B74</f>
        <v>0.39330621706031516</v>
      </c>
    </row>
    <row r="57" spans="1:5" ht="15.75" thickBot="1" x14ac:dyDescent="0.3"/>
    <row r="58" spans="1:5" ht="63.75" thickBot="1" x14ac:dyDescent="0.3">
      <c r="A58" s="85" t="s">
        <v>0</v>
      </c>
      <c r="B58" s="84" t="s">
        <v>83</v>
      </c>
      <c r="C58" s="54" t="s">
        <v>212</v>
      </c>
      <c r="D58" s="159" t="s">
        <v>136</v>
      </c>
      <c r="E58" s="54" t="s">
        <v>213</v>
      </c>
    </row>
    <row r="59" spans="1:5" ht="15.75" x14ac:dyDescent="0.25">
      <c r="A59" s="85">
        <v>62</v>
      </c>
      <c r="B59" s="84" t="s">
        <v>62</v>
      </c>
      <c r="C59" s="151">
        <f>'16.1н'!B63</f>
        <v>0.3410449269749391</v>
      </c>
      <c r="D59" s="151">
        <f>'16.2н'!B63</f>
        <v>0.45162930573483778</v>
      </c>
      <c r="E59" s="151">
        <f>'16.3н'!B63</f>
        <v>0.45192856919555047</v>
      </c>
    </row>
    <row r="60" spans="1:5" ht="15.75" x14ac:dyDescent="0.25">
      <c r="A60" s="85">
        <v>63</v>
      </c>
      <c r="B60" s="84" t="s">
        <v>63</v>
      </c>
      <c r="C60" s="151">
        <f>'16.1н'!B64</f>
        <v>0.21308111459767151</v>
      </c>
      <c r="D60" s="151">
        <f>'16.2н'!B64</f>
        <v>0.45490473724858332</v>
      </c>
      <c r="E60" s="151">
        <f>'16.3н'!B64</f>
        <v>0.52973154717964765</v>
      </c>
    </row>
    <row r="61" spans="1:5" ht="15.75" x14ac:dyDescent="0.25">
      <c r="A61" s="85">
        <v>64</v>
      </c>
      <c r="B61" s="84" t="s">
        <v>64</v>
      </c>
      <c r="C61" s="151">
        <f>'16.1н'!B65</f>
        <v>0.27583776437995178</v>
      </c>
      <c r="D61" s="151">
        <f>'16.2н'!B65</f>
        <v>0.29766226616309388</v>
      </c>
      <c r="E61" s="151">
        <f>'16.3н'!B65</f>
        <v>0.45931347703523795</v>
      </c>
    </row>
    <row r="62" spans="1:5" ht="15.75" x14ac:dyDescent="0.25">
      <c r="A62" s="85">
        <v>65</v>
      </c>
      <c r="B62" s="84" t="s">
        <v>65</v>
      </c>
      <c r="C62" s="151">
        <f>'16.1н'!B66</f>
        <v>0.44921752323723491</v>
      </c>
      <c r="D62" s="151">
        <f>'16.2н'!B66</f>
        <v>0.51742786615868108</v>
      </c>
      <c r="E62" s="151">
        <f>'16.3н'!B66</f>
        <v>0.35187884454383445</v>
      </c>
    </row>
    <row r="63" spans="1:5" ht="15.75" x14ac:dyDescent="0.25">
      <c r="A63" s="85">
        <v>66</v>
      </c>
      <c r="B63" s="84" t="s">
        <v>66</v>
      </c>
      <c r="C63" s="151">
        <f>'16.1н'!B67</f>
        <v>0.29993293689265993</v>
      </c>
      <c r="D63" s="151">
        <f>'16.2н'!B67</f>
        <v>0.504126503180508</v>
      </c>
      <c r="E63" s="151">
        <f>'16.3н'!B67</f>
        <v>0.47005161511840921</v>
      </c>
    </row>
    <row r="64" spans="1:5" ht="15.75" x14ac:dyDescent="0.25">
      <c r="A64" s="85">
        <v>67</v>
      </c>
      <c r="B64" s="84" t="s">
        <v>73</v>
      </c>
      <c r="C64" s="151">
        <f>'16.1н'!B68</f>
        <v>7.9315684824483354E-2</v>
      </c>
      <c r="D64" s="151">
        <f>'16.2н'!B68</f>
        <v>0.45162930573483778</v>
      </c>
      <c r="E64" s="151">
        <f>'16.3н'!B68</f>
        <v>0.49037679516448823</v>
      </c>
    </row>
    <row r="65" spans="1:18" ht="15.75" x14ac:dyDescent="0.25">
      <c r="A65" s="85">
        <v>68</v>
      </c>
      <c r="B65" s="84" t="s">
        <v>67</v>
      </c>
      <c r="C65" s="151">
        <f>'16.1н'!B69</f>
        <v>0.38803991631147611</v>
      </c>
      <c r="D65" s="151">
        <f>'16.2н'!B69</f>
        <v>0.51218930543723784</v>
      </c>
      <c r="E65" s="151">
        <f>'16.3н'!B69</f>
        <v>0.54336743126302911</v>
      </c>
    </row>
    <row r="66" spans="1:18" ht="15.75" x14ac:dyDescent="0.25">
      <c r="A66" s="85">
        <v>69</v>
      </c>
      <c r="B66" s="84" t="s">
        <v>68</v>
      </c>
      <c r="C66" s="151">
        <f>'16.1н'!B70</f>
        <v>0.39444301322470748</v>
      </c>
      <c r="D66" s="151">
        <f>'16.2н'!B70</f>
        <v>0.51086278633504734</v>
      </c>
      <c r="E66" s="151">
        <f>'16.3н'!B70</f>
        <v>0.37149857228423716</v>
      </c>
    </row>
    <row r="67" spans="1:18" ht="15.75" x14ac:dyDescent="0.25">
      <c r="A67" s="85">
        <v>70</v>
      </c>
      <c r="B67" s="84" t="s">
        <v>69</v>
      </c>
      <c r="C67" s="151">
        <f>'16.1н'!B71</f>
        <v>0.25092063611730037</v>
      </c>
      <c r="D67" s="151">
        <f>'16.2н'!B71</f>
        <v>0.51086278633504734</v>
      </c>
      <c r="E67" s="151">
        <f>'16.3н'!B71</f>
        <v>0.44816604806892785</v>
      </c>
    </row>
    <row r="68" spans="1:18" ht="15.75" x14ac:dyDescent="0.25">
      <c r="A68" s="85">
        <v>71</v>
      </c>
      <c r="B68" s="84" t="s">
        <v>192</v>
      </c>
      <c r="C68" s="151">
        <f>'16.1н'!B72</f>
        <v>0.53748457882302991</v>
      </c>
      <c r="D68" s="151">
        <f>'16.2н'!B72</f>
        <v>0.52000729716759797</v>
      </c>
      <c r="E68" s="151">
        <f>'16.3н'!B72</f>
        <v>0.45192856919555047</v>
      </c>
    </row>
    <row r="69" spans="1:18" ht="15.75" x14ac:dyDescent="0.25">
      <c r="A69" s="85">
        <v>72</v>
      </c>
      <c r="B69" s="84" t="s">
        <v>71</v>
      </c>
      <c r="C69" s="151">
        <f>'16.1н'!B73</f>
        <v>0.2176934168856966</v>
      </c>
      <c r="D69" s="151">
        <f>'16.2н'!B73</f>
        <v>0.51218930543723784</v>
      </c>
      <c r="E69" s="151">
        <f>'16.3н'!B73</f>
        <v>0.46293735614364523</v>
      </c>
    </row>
    <row r="70" spans="1:18" ht="15.75" x14ac:dyDescent="0.25">
      <c r="A70" s="85">
        <v>73</v>
      </c>
      <c r="B70" s="84" t="s">
        <v>72</v>
      </c>
      <c r="C70" s="151">
        <f>'16.1н'!B74</f>
        <v>0.35860427740246714</v>
      </c>
      <c r="D70" s="151">
        <f>'16.2н'!B74</f>
        <v>0.50818915745547655</v>
      </c>
      <c r="E70" s="151">
        <f>'16.3н'!B74</f>
        <v>0.44049706175048847</v>
      </c>
    </row>
    <row r="80" spans="1:18" ht="15.75" x14ac:dyDescent="0.25">
      <c r="A80" s="84" t="s">
        <v>0</v>
      </c>
      <c r="B80" s="84"/>
      <c r="C80" s="84">
        <v>2005</v>
      </c>
      <c r="D80" s="84">
        <v>2006</v>
      </c>
      <c r="E80" s="84">
        <v>2007</v>
      </c>
      <c r="F80" s="84">
        <v>2008</v>
      </c>
      <c r="G80" s="84">
        <v>2009</v>
      </c>
      <c r="H80" s="84">
        <v>2010</v>
      </c>
      <c r="I80" s="84">
        <v>2011</v>
      </c>
      <c r="J80" s="84">
        <v>2012</v>
      </c>
      <c r="K80" s="84">
        <v>2013</v>
      </c>
      <c r="L80" s="84">
        <v>2014</v>
      </c>
      <c r="M80" s="84">
        <v>2015</v>
      </c>
      <c r="N80" s="84">
        <v>2016</v>
      </c>
      <c r="O80" s="84">
        <v>2017</v>
      </c>
      <c r="P80" s="84">
        <v>2018</v>
      </c>
      <c r="Q80" s="84">
        <v>2019</v>
      </c>
      <c r="R80" s="84">
        <v>2020</v>
      </c>
    </row>
    <row r="81" spans="1:18" ht="15.75" x14ac:dyDescent="0.25">
      <c r="A81" s="161">
        <v>62</v>
      </c>
      <c r="B81" s="161" t="s">
        <v>62</v>
      </c>
      <c r="C81" s="155" t="e">
        <f>ОИ1!C63</f>
        <v>#REF!</v>
      </c>
      <c r="D81" s="155" t="e">
        <f>ОИ1!D63</f>
        <v>#REF!</v>
      </c>
      <c r="E81" s="155">
        <f>ОИ1!E63</f>
        <v>0</v>
      </c>
      <c r="F81" s="155">
        <f>ОИ1!F63</f>
        <v>0</v>
      </c>
      <c r="G81" s="155">
        <f>ОИ1!G63</f>
        <v>0</v>
      </c>
      <c r="H81" s="155">
        <f>ОИ1!H63</f>
        <v>0</v>
      </c>
      <c r="I81" s="155">
        <f>ОИ1!I63</f>
        <v>0</v>
      </c>
      <c r="J81" s="155">
        <f>ОИ1!J63</f>
        <v>0</v>
      </c>
      <c r="K81" s="155">
        <f>ОИ1!K63</f>
        <v>0</v>
      </c>
      <c r="L81" s="155">
        <f>ОИ1!L63</f>
        <v>0</v>
      </c>
      <c r="M81" s="155">
        <f>ОИ1!M63</f>
        <v>0</v>
      </c>
      <c r="N81" s="155">
        <f>ОИ1!N63</f>
        <v>0</v>
      </c>
      <c r="O81" s="155">
        <f>ОИ1!O63</f>
        <v>0</v>
      </c>
      <c r="P81" s="155">
        <f>ОИ1!P63</f>
        <v>0</v>
      </c>
      <c r="Q81" s="155">
        <f>ОИ1!Q63</f>
        <v>0</v>
      </c>
      <c r="R81" s="155">
        <f>ОИ1!R63</f>
        <v>0.37630853976883033</v>
      </c>
    </row>
    <row r="82" spans="1:18" ht="15.75" x14ac:dyDescent="0.25">
      <c r="A82" s="161">
        <v>63</v>
      </c>
      <c r="B82" s="161" t="s">
        <v>63</v>
      </c>
      <c r="C82" s="155" t="e">
        <f>ОИ1!C64</f>
        <v>#REF!</v>
      </c>
      <c r="D82" s="155" t="e">
        <f>ОИ1!D64</f>
        <v>#REF!</v>
      </c>
      <c r="E82" s="155">
        <f>ОИ1!E64</f>
        <v>0</v>
      </c>
      <c r="F82" s="155">
        <f>ОИ1!F64</f>
        <v>0</v>
      </c>
      <c r="G82" s="155">
        <f>ОИ1!G64</f>
        <v>0</v>
      </c>
      <c r="H82" s="155">
        <f>ОИ1!H64</f>
        <v>0</v>
      </c>
      <c r="I82" s="155">
        <f>ОИ1!I64</f>
        <v>0</v>
      </c>
      <c r="J82" s="155">
        <f>ОИ1!J64</f>
        <v>0</v>
      </c>
      <c r="K82" s="155">
        <f>ОИ1!K64</f>
        <v>0</v>
      </c>
      <c r="L82" s="155">
        <f>ОИ1!L64</f>
        <v>0</v>
      </c>
      <c r="M82" s="155">
        <f>ОИ1!M64</f>
        <v>0</v>
      </c>
      <c r="N82" s="155">
        <f>ОИ1!N64</f>
        <v>0</v>
      </c>
      <c r="O82" s="155">
        <f>ОИ1!O64</f>
        <v>0</v>
      </c>
      <c r="P82" s="155">
        <f>ОИ1!P64</f>
        <v>0</v>
      </c>
      <c r="Q82" s="155">
        <f>ОИ1!Q64</f>
        <v>0</v>
      </c>
      <c r="R82" s="155">
        <f>ОИ1!R64</f>
        <v>0.42717666328125675</v>
      </c>
    </row>
    <row r="83" spans="1:18" ht="15.75" x14ac:dyDescent="0.25">
      <c r="A83" s="161">
        <v>64</v>
      </c>
      <c r="B83" s="161" t="s">
        <v>64</v>
      </c>
      <c r="C83" s="155" t="e">
        <f>ОИ1!C65</f>
        <v>#REF!</v>
      </c>
      <c r="D83" s="155" t="e">
        <f>ОИ1!D65</f>
        <v>#REF!</v>
      </c>
      <c r="E83" s="155">
        <f>ОИ1!E65</f>
        <v>0</v>
      </c>
      <c r="F83" s="155">
        <f>ОИ1!F65</f>
        <v>0</v>
      </c>
      <c r="G83" s="155">
        <f>ОИ1!G65</f>
        <v>0</v>
      </c>
      <c r="H83" s="155">
        <f>ОИ1!H65</f>
        <v>0</v>
      </c>
      <c r="I83" s="155">
        <f>ОИ1!I65</f>
        <v>0</v>
      </c>
      <c r="J83" s="155">
        <f>ОИ1!J65</f>
        <v>0</v>
      </c>
      <c r="K83" s="155">
        <f>ОИ1!K65</f>
        <v>0</v>
      </c>
      <c r="L83" s="155">
        <f>ОИ1!L65</f>
        <v>0</v>
      </c>
      <c r="M83" s="155">
        <f>ОИ1!M65</f>
        <v>0</v>
      </c>
      <c r="N83" s="155">
        <f>ОИ1!N65</f>
        <v>0</v>
      </c>
      <c r="O83" s="155">
        <f>ОИ1!O65</f>
        <v>0</v>
      </c>
      <c r="P83" s="155">
        <f>ОИ1!P65</f>
        <v>0</v>
      </c>
      <c r="Q83" s="155">
        <f>ОИ1!Q65</f>
        <v>0</v>
      </c>
      <c r="R83" s="155">
        <f>ОИ1!R65</f>
        <v>0.33579608563497493</v>
      </c>
    </row>
    <row r="84" spans="1:18" ht="15.75" x14ac:dyDescent="0.25">
      <c r="A84" s="161">
        <v>65</v>
      </c>
      <c r="B84" s="161" t="s">
        <v>65</v>
      </c>
      <c r="C84" s="155" t="e">
        <f>ОИ1!C66</f>
        <v>#REF!</v>
      </c>
      <c r="D84" s="155" t="e">
        <f>ОИ1!D66</f>
        <v>#REF!</v>
      </c>
      <c r="E84" s="155">
        <f>ОИ1!E66</f>
        <v>0</v>
      </c>
      <c r="F84" s="155">
        <f>ОИ1!F66</f>
        <v>0</v>
      </c>
      <c r="G84" s="155">
        <f>ОИ1!G66</f>
        <v>0</v>
      </c>
      <c r="H84" s="155">
        <f>ОИ1!H66</f>
        <v>0</v>
      </c>
      <c r="I84" s="155">
        <f>ОИ1!I66</f>
        <v>0</v>
      </c>
      <c r="J84" s="155">
        <f>ОИ1!J66</f>
        <v>0</v>
      </c>
      <c r="K84" s="155">
        <f>ОИ1!K66</f>
        <v>0</v>
      </c>
      <c r="L84" s="155">
        <f>ОИ1!L66</f>
        <v>0</v>
      </c>
      <c r="M84" s="155">
        <f>ОИ1!M66</f>
        <v>0</v>
      </c>
      <c r="N84" s="155">
        <f>ОИ1!N66</f>
        <v>0</v>
      </c>
      <c r="O84" s="155">
        <f>ОИ1!O66</f>
        <v>0</v>
      </c>
      <c r="P84" s="155">
        <f>ОИ1!P66</f>
        <v>0</v>
      </c>
      <c r="Q84" s="155">
        <f>ОИ1!Q66</f>
        <v>0</v>
      </c>
      <c r="R84" s="155">
        <f>ОИ1!R66</f>
        <v>0.4370307675843062</v>
      </c>
    </row>
    <row r="85" spans="1:18" ht="15.75" x14ac:dyDescent="0.25">
      <c r="A85" s="161">
        <v>66</v>
      </c>
      <c r="B85" s="161" t="s">
        <v>66</v>
      </c>
      <c r="C85" s="155" t="e">
        <f>ОИ1!C67</f>
        <v>#REF!</v>
      </c>
      <c r="D85" s="155" t="e">
        <f>ОИ1!D67</f>
        <v>#REF!</v>
      </c>
      <c r="E85" s="155">
        <f>ОИ1!E67</f>
        <v>0</v>
      </c>
      <c r="F85" s="155">
        <f>ОИ1!F67</f>
        <v>0</v>
      </c>
      <c r="G85" s="155">
        <f>ОИ1!G67</f>
        <v>0</v>
      </c>
      <c r="H85" s="155">
        <f>ОИ1!H67</f>
        <v>0</v>
      </c>
      <c r="I85" s="155">
        <f>ОИ1!I67</f>
        <v>0</v>
      </c>
      <c r="J85" s="155">
        <f>ОИ1!J67</f>
        <v>0</v>
      </c>
      <c r="K85" s="155">
        <f>ОИ1!K67</f>
        <v>0</v>
      </c>
      <c r="L85" s="155">
        <f>ОИ1!L67</f>
        <v>0</v>
      </c>
      <c r="M85" s="155">
        <f>ОИ1!M67</f>
        <v>0</v>
      </c>
      <c r="N85" s="155">
        <f>ОИ1!N67</f>
        <v>0</v>
      </c>
      <c r="O85" s="155">
        <f>ОИ1!O67</f>
        <v>0</v>
      </c>
      <c r="P85" s="155">
        <f>ОИ1!P67</f>
        <v>0</v>
      </c>
      <c r="Q85" s="155">
        <f>ОИ1!Q67</f>
        <v>0</v>
      </c>
      <c r="R85" s="155">
        <f>ОИ1!R67</f>
        <v>0.52665628108178664</v>
      </c>
    </row>
    <row r="86" spans="1:18" ht="15.75" x14ac:dyDescent="0.25">
      <c r="A86" s="161">
        <v>67</v>
      </c>
      <c r="B86" s="161" t="s">
        <v>73</v>
      </c>
      <c r="C86" s="155" t="e">
        <f>ОИ1!C68</f>
        <v>#REF!</v>
      </c>
      <c r="D86" s="155" t="e">
        <f>ОИ1!D68</f>
        <v>#REF!</v>
      </c>
      <c r="E86" s="155">
        <f>ОИ1!E68</f>
        <v>0</v>
      </c>
      <c r="F86" s="155">
        <f>ОИ1!F68</f>
        <v>0</v>
      </c>
      <c r="G86" s="155">
        <f>ОИ1!G68</f>
        <v>0</v>
      </c>
      <c r="H86" s="155">
        <f>ОИ1!H68</f>
        <v>0</v>
      </c>
      <c r="I86" s="155">
        <f>ОИ1!I68</f>
        <v>0</v>
      </c>
      <c r="J86" s="155">
        <f>ОИ1!J68</f>
        <v>0</v>
      </c>
      <c r="K86" s="155">
        <f>ОИ1!K68</f>
        <v>0</v>
      </c>
      <c r="L86" s="155">
        <f>ОИ1!L68</f>
        <v>0</v>
      </c>
      <c r="M86" s="155">
        <f>ОИ1!M68</f>
        <v>0</v>
      </c>
      <c r="N86" s="155">
        <f>ОИ1!N68</f>
        <v>0</v>
      </c>
      <c r="O86" s="155">
        <f>ОИ1!O68</f>
        <v>0</v>
      </c>
      <c r="P86" s="155">
        <f>ОИ1!P68</f>
        <v>0</v>
      </c>
      <c r="Q86" s="155">
        <f>ОИ1!Q68</f>
        <v>0</v>
      </c>
      <c r="R86" s="155">
        <f>ОИ1!R68</f>
        <v>0.45395073879827158</v>
      </c>
    </row>
    <row r="87" spans="1:18" ht="15.75" x14ac:dyDescent="0.25">
      <c r="A87" s="161">
        <v>68</v>
      </c>
      <c r="B87" s="161" t="s">
        <v>67</v>
      </c>
      <c r="C87" s="155" t="e">
        <f>ОИ1!C69</f>
        <v>#REF!</v>
      </c>
      <c r="D87" s="155" t="e">
        <f>ОИ1!D69</f>
        <v>#REF!</v>
      </c>
      <c r="E87" s="155">
        <f>ОИ1!E69</f>
        <v>0</v>
      </c>
      <c r="F87" s="155">
        <f>ОИ1!F69</f>
        <v>0</v>
      </c>
      <c r="G87" s="155">
        <f>ОИ1!G69</f>
        <v>0</v>
      </c>
      <c r="H87" s="155">
        <f>ОИ1!H69</f>
        <v>0</v>
      </c>
      <c r="I87" s="155">
        <f>ОИ1!I69</f>
        <v>0</v>
      </c>
      <c r="J87" s="155">
        <f>ОИ1!J69</f>
        <v>0</v>
      </c>
      <c r="K87" s="155">
        <f>ОИ1!K69</f>
        <v>0</v>
      </c>
      <c r="L87" s="155">
        <f>ОИ1!L69</f>
        <v>0</v>
      </c>
      <c r="M87" s="155">
        <f>ОИ1!M69</f>
        <v>0</v>
      </c>
      <c r="N87" s="155">
        <f>ОИ1!N69</f>
        <v>0</v>
      </c>
      <c r="O87" s="155">
        <f>ОИ1!O69</f>
        <v>0</v>
      </c>
      <c r="P87" s="155">
        <f>ОИ1!P69</f>
        <v>0</v>
      </c>
      <c r="Q87" s="155">
        <f>ОИ1!Q69</f>
        <v>0</v>
      </c>
      <c r="R87" s="155">
        <f>ОИ1!R69</f>
        <v>0.6285648021689213</v>
      </c>
    </row>
    <row r="88" spans="1:18" ht="15.75" x14ac:dyDescent="0.25">
      <c r="A88" s="161">
        <v>69</v>
      </c>
      <c r="B88" s="161" t="s">
        <v>68</v>
      </c>
      <c r="C88" s="155" t="e">
        <f>ОИ1!C70</f>
        <v>#REF!</v>
      </c>
      <c r="D88" s="155" t="e">
        <f>ОИ1!D70</f>
        <v>#REF!</v>
      </c>
      <c r="E88" s="155">
        <f>ОИ1!E70</f>
        <v>0</v>
      </c>
      <c r="F88" s="155">
        <f>ОИ1!F70</f>
        <v>0</v>
      </c>
      <c r="G88" s="155">
        <f>ОИ1!G70</f>
        <v>0</v>
      </c>
      <c r="H88" s="155">
        <f>ОИ1!H70</f>
        <v>0</v>
      </c>
      <c r="I88" s="155">
        <f>ОИ1!I70</f>
        <v>0</v>
      </c>
      <c r="J88" s="155">
        <f>ОИ1!J70</f>
        <v>0</v>
      </c>
      <c r="K88" s="155">
        <f>ОИ1!K70</f>
        <v>0</v>
      </c>
      <c r="L88" s="155">
        <f>ОИ1!L70</f>
        <v>0</v>
      </c>
      <c r="M88" s="155">
        <f>ОИ1!M70</f>
        <v>0</v>
      </c>
      <c r="N88" s="155">
        <f>ОИ1!N70</f>
        <v>0</v>
      </c>
      <c r="O88" s="155">
        <f>ОИ1!O70</f>
        <v>0</v>
      </c>
      <c r="P88" s="155">
        <f>ОИ1!P70</f>
        <v>0</v>
      </c>
      <c r="Q88" s="155">
        <f>ОИ1!Q70</f>
        <v>0</v>
      </c>
      <c r="R88" s="155">
        <f>ОИ1!R70</f>
        <v>0.62824684728731206</v>
      </c>
    </row>
    <row r="89" spans="1:18" ht="15.75" x14ac:dyDescent="0.25">
      <c r="A89" s="161">
        <v>70</v>
      </c>
      <c r="B89" s="161" t="s">
        <v>69</v>
      </c>
      <c r="C89" s="155" t="e">
        <f>ОИ1!C71</f>
        <v>#REF!</v>
      </c>
      <c r="D89" s="155" t="e">
        <f>ОИ1!D71</f>
        <v>#REF!</v>
      </c>
      <c r="E89" s="155">
        <f>ОИ1!E71</f>
        <v>0</v>
      </c>
      <c r="F89" s="155">
        <f>ОИ1!F71</f>
        <v>0</v>
      </c>
      <c r="G89" s="155">
        <f>ОИ1!G71</f>
        <v>0</v>
      </c>
      <c r="H89" s="155">
        <f>ОИ1!H71</f>
        <v>0</v>
      </c>
      <c r="I89" s="155">
        <f>ОИ1!I71</f>
        <v>0</v>
      </c>
      <c r="J89" s="155">
        <f>ОИ1!J71</f>
        <v>0</v>
      </c>
      <c r="K89" s="155">
        <f>ОИ1!K71</f>
        <v>0</v>
      </c>
      <c r="L89" s="155">
        <f>ОИ1!L71</f>
        <v>0</v>
      </c>
      <c r="M89" s="155">
        <f>ОИ1!M71</f>
        <v>0</v>
      </c>
      <c r="N89" s="155">
        <f>ОИ1!N71</f>
        <v>0</v>
      </c>
      <c r="O89" s="155">
        <f>ОИ1!O71</f>
        <v>0</v>
      </c>
      <c r="P89" s="155">
        <f>ОИ1!P71</f>
        <v>0</v>
      </c>
      <c r="Q89" s="155">
        <f>ОИ1!Q71</f>
        <v>0</v>
      </c>
      <c r="R89" s="155">
        <f>ОИ1!R71</f>
        <v>0.48696473362584197</v>
      </c>
    </row>
    <row r="90" spans="1:18" ht="15.75" x14ac:dyDescent="0.25">
      <c r="A90" s="161">
        <v>71</v>
      </c>
      <c r="B90" s="161" t="s">
        <v>70</v>
      </c>
      <c r="C90" s="155" t="e">
        <f>ОИ1!C72</f>
        <v>#REF!</v>
      </c>
      <c r="D90" s="155" t="e">
        <f>ОИ1!D72</f>
        <v>#REF!</v>
      </c>
      <c r="E90" s="155">
        <f>ОИ1!E72</f>
        <v>0</v>
      </c>
      <c r="F90" s="155">
        <f>ОИ1!F72</f>
        <v>0</v>
      </c>
      <c r="G90" s="155">
        <f>ОИ1!G72</f>
        <v>0</v>
      </c>
      <c r="H90" s="155">
        <f>ОИ1!H72</f>
        <v>0</v>
      </c>
      <c r="I90" s="155">
        <f>ОИ1!I72</f>
        <v>0</v>
      </c>
      <c r="J90" s="155">
        <f>ОИ1!J72</f>
        <v>0</v>
      </c>
      <c r="K90" s="155">
        <f>ОИ1!K72</f>
        <v>0</v>
      </c>
      <c r="L90" s="155">
        <f>ОИ1!L72</f>
        <v>0</v>
      </c>
      <c r="M90" s="155">
        <f>ОИ1!M72</f>
        <v>0</v>
      </c>
      <c r="N90" s="155">
        <f>ОИ1!N72</f>
        <v>0</v>
      </c>
      <c r="O90" s="155">
        <f>ОИ1!O72</f>
        <v>0</v>
      </c>
      <c r="P90" s="155">
        <f>ОИ1!P72</f>
        <v>0</v>
      </c>
      <c r="Q90" s="155">
        <f>ОИ1!Q72</f>
        <v>0</v>
      </c>
      <c r="R90" s="155">
        <f>ОИ1!R72</f>
        <v>0.61853253826681687</v>
      </c>
    </row>
    <row r="91" spans="1:18" ht="15.75" x14ac:dyDescent="0.25">
      <c r="A91" s="161">
        <v>72</v>
      </c>
      <c r="B91" s="161" t="s">
        <v>71</v>
      </c>
      <c r="C91" s="155" t="e">
        <f>ОИ1!C73</f>
        <v>#REF!</v>
      </c>
      <c r="D91" s="155" t="e">
        <f>ОИ1!D73</f>
        <v>#REF!</v>
      </c>
      <c r="E91" s="155">
        <f>ОИ1!E73</f>
        <v>0</v>
      </c>
      <c r="F91" s="155">
        <f>ОИ1!F73</f>
        <v>0</v>
      </c>
      <c r="G91" s="155">
        <f>ОИ1!G73</f>
        <v>0</v>
      </c>
      <c r="H91" s="155">
        <f>ОИ1!H73</f>
        <v>0</v>
      </c>
      <c r="I91" s="155">
        <f>ОИ1!I73</f>
        <v>0</v>
      </c>
      <c r="J91" s="155">
        <f>ОИ1!J73</f>
        <v>0</v>
      </c>
      <c r="K91" s="155">
        <f>ОИ1!K73</f>
        <v>0</v>
      </c>
      <c r="L91" s="155">
        <f>ОИ1!L73</f>
        <v>0</v>
      </c>
      <c r="M91" s="155">
        <f>ОИ1!M73</f>
        <v>0</v>
      </c>
      <c r="N91" s="155">
        <f>ОИ1!N73</f>
        <v>0</v>
      </c>
      <c r="O91" s="155">
        <f>ОИ1!O73</f>
        <v>0</v>
      </c>
      <c r="P91" s="155">
        <f>ОИ1!P73</f>
        <v>0</v>
      </c>
      <c r="Q91" s="155">
        <f>ОИ1!Q73</f>
        <v>0</v>
      </c>
      <c r="R91" s="155">
        <f>ОИ1!R73</f>
        <v>0.61248400646353129</v>
      </c>
    </row>
    <row r="92" spans="1:18" ht="15.75" x14ac:dyDescent="0.25">
      <c r="A92" s="161">
        <v>73</v>
      </c>
      <c r="B92" s="161" t="s">
        <v>72</v>
      </c>
      <c r="C92" s="155" t="e">
        <f>ОИ1!C74</f>
        <v>#REF!</v>
      </c>
      <c r="D92" s="155" t="e">
        <f>ОИ1!D74</f>
        <v>#REF!</v>
      </c>
      <c r="E92" s="155">
        <f>ОИ1!E74</f>
        <v>0</v>
      </c>
      <c r="F92" s="155">
        <f>ОИ1!F74</f>
        <v>0</v>
      </c>
      <c r="G92" s="155">
        <f>ОИ1!G74</f>
        <v>0</v>
      </c>
      <c r="H92" s="155">
        <f>ОИ1!H74</f>
        <v>0</v>
      </c>
      <c r="I92" s="155">
        <f>ОИ1!I74</f>
        <v>0</v>
      </c>
      <c r="J92" s="155">
        <f>ОИ1!J74</f>
        <v>0</v>
      </c>
      <c r="K92" s="155">
        <f>ОИ1!K74</f>
        <v>0</v>
      </c>
      <c r="L92" s="155">
        <f>ОИ1!L74</f>
        <v>0</v>
      </c>
      <c r="M92" s="155">
        <f>ОИ1!M74</f>
        <v>0</v>
      </c>
      <c r="N92" s="155">
        <f>ОИ1!N74</f>
        <v>0</v>
      </c>
      <c r="O92" s="155">
        <f>ОИ1!O74</f>
        <v>0</v>
      </c>
      <c r="P92" s="155">
        <f>ОИ1!P74</f>
        <v>0</v>
      </c>
      <c r="Q92" s="155">
        <f>ОИ1!Q74</f>
        <v>0</v>
      </c>
      <c r="R92" s="155">
        <f>ОИ1!R74</f>
        <v>0.63151461122209518</v>
      </c>
    </row>
    <row r="95" spans="1:18" ht="21.75" customHeight="1" x14ac:dyDescent="0.25"/>
    <row r="96" spans="1:18" ht="20.25" customHeight="1" x14ac:dyDescent="0.25"/>
    <row r="97" spans="1:18" ht="21.75" customHeight="1" x14ac:dyDescent="0.25"/>
    <row r="98" spans="1:18" ht="18" customHeight="1" x14ac:dyDescent="0.25"/>
    <row r="99" spans="1:18" ht="36.75" customHeight="1" x14ac:dyDescent="0.25"/>
    <row r="100" spans="1:18" ht="32.25" customHeight="1" x14ac:dyDescent="0.25"/>
    <row r="101" spans="1:18" ht="34.5" customHeight="1" x14ac:dyDescent="0.25"/>
    <row r="102" spans="1:18" ht="27" customHeight="1" x14ac:dyDescent="0.25"/>
    <row r="103" spans="1:18" ht="48" customHeight="1" x14ac:dyDescent="0.25"/>
    <row r="109" spans="1:18" ht="15.75" x14ac:dyDescent="0.25">
      <c r="A109" s="84" t="s">
        <v>0</v>
      </c>
      <c r="B109" s="84"/>
      <c r="C109" s="84">
        <v>2005</v>
      </c>
      <c r="D109" s="84">
        <v>2006</v>
      </c>
      <c r="E109" s="84">
        <v>2007</v>
      </c>
      <c r="F109" s="84">
        <v>2008</v>
      </c>
      <c r="G109" s="84">
        <v>2009</v>
      </c>
      <c r="H109" s="84">
        <v>2010</v>
      </c>
      <c r="I109" s="84">
        <v>2011</v>
      </c>
      <c r="J109" s="84">
        <v>2012</v>
      </c>
      <c r="K109" s="84">
        <v>2013</v>
      </c>
      <c r="L109" s="84">
        <v>2014</v>
      </c>
      <c r="M109" s="84">
        <v>2015</v>
      </c>
      <c r="N109" s="84">
        <v>2016</v>
      </c>
      <c r="O109" s="84">
        <v>2017</v>
      </c>
      <c r="P109" s="84">
        <v>2018</v>
      </c>
      <c r="Q109" s="84">
        <v>2019</v>
      </c>
      <c r="R109" s="84">
        <v>2020</v>
      </c>
    </row>
    <row r="110" spans="1:18" ht="15.75" x14ac:dyDescent="0.25">
      <c r="A110" s="84">
        <v>62</v>
      </c>
      <c r="B110" s="84" t="s">
        <v>62</v>
      </c>
      <c r="C110" s="160">
        <f>ОИ2!C63</f>
        <v>0</v>
      </c>
      <c r="D110" s="160" t="e">
        <f>ОИ2!D63</f>
        <v>#REF!</v>
      </c>
      <c r="E110" s="160">
        <f>ОИ2!E63</f>
        <v>0</v>
      </c>
      <c r="F110" s="160">
        <f>ОИ2!F63</f>
        <v>0</v>
      </c>
      <c r="G110" s="160">
        <f>ОИ2!G63</f>
        <v>0</v>
      </c>
      <c r="H110" s="160">
        <f>ОИ2!H63</f>
        <v>0</v>
      </c>
      <c r="I110" s="160">
        <f>ОИ2!I63</f>
        <v>0</v>
      </c>
      <c r="J110" s="160">
        <f>ОИ2!J63</f>
        <v>0</v>
      </c>
      <c r="K110" s="160">
        <f>ОИ2!K63</f>
        <v>0</v>
      </c>
      <c r="L110" s="160">
        <f>ОИ2!L63</f>
        <v>0</v>
      </c>
      <c r="M110" s="160">
        <f>ОИ2!M63</f>
        <v>0</v>
      </c>
      <c r="N110" s="160">
        <f>ОИ2!N63</f>
        <v>0</v>
      </c>
      <c r="O110" s="160">
        <f>ОИ2!O63</f>
        <v>0</v>
      </c>
      <c r="P110" s="160">
        <f>ОИ2!P63</f>
        <v>0</v>
      </c>
      <c r="Q110" s="160">
        <f>ОИ2!Q63</f>
        <v>0</v>
      </c>
      <c r="R110" s="160">
        <f>ОИ2!R63</f>
        <v>0.14530022163460374</v>
      </c>
    </row>
    <row r="111" spans="1:18" ht="15.75" x14ac:dyDescent="0.25">
      <c r="A111" s="84">
        <v>63</v>
      </c>
      <c r="B111" s="84" t="s">
        <v>63</v>
      </c>
      <c r="C111" s="160" t="e">
        <f>ОИ2!C64</f>
        <v>#REF!</v>
      </c>
      <c r="D111" s="160" t="e">
        <f>ОИ2!D64</f>
        <v>#REF!</v>
      </c>
      <c r="E111" s="160">
        <f>ОИ2!E64</f>
        <v>0</v>
      </c>
      <c r="F111" s="160">
        <f>ОИ2!F64</f>
        <v>0</v>
      </c>
      <c r="G111" s="160">
        <f>ОИ2!G64</f>
        <v>0</v>
      </c>
      <c r="H111" s="160">
        <f>ОИ2!H64</f>
        <v>0</v>
      </c>
      <c r="I111" s="160">
        <f>ОИ2!I64</f>
        <v>0</v>
      </c>
      <c r="J111" s="160">
        <f>ОИ2!J64</f>
        <v>0</v>
      </c>
      <c r="K111" s="160">
        <f>ОИ2!K64</f>
        <v>0</v>
      </c>
      <c r="L111" s="160">
        <f>ОИ2!L64</f>
        <v>0</v>
      </c>
      <c r="M111" s="160">
        <f>ОИ2!M64</f>
        <v>0</v>
      </c>
      <c r="N111" s="160">
        <f>ОИ2!N64</f>
        <v>0</v>
      </c>
      <c r="O111" s="160">
        <f>ОИ2!O64</f>
        <v>0</v>
      </c>
      <c r="P111" s="160">
        <f>ОИ2!P64</f>
        <v>0</v>
      </c>
      <c r="Q111" s="160">
        <f>ОИ2!Q64</f>
        <v>0</v>
      </c>
      <c r="R111" s="160">
        <f>ОИ2!R64</f>
        <v>0.22326394112428141</v>
      </c>
    </row>
    <row r="112" spans="1:18" ht="15.75" x14ac:dyDescent="0.25">
      <c r="A112" s="84">
        <v>64</v>
      </c>
      <c r="B112" s="84" t="s">
        <v>64</v>
      </c>
      <c r="C112" s="160">
        <f>ОИ2!C65</f>
        <v>0</v>
      </c>
      <c r="D112" s="160" t="e">
        <f>ОИ2!D65</f>
        <v>#REF!</v>
      </c>
      <c r="E112" s="160">
        <f>ОИ2!E65</f>
        <v>0</v>
      </c>
      <c r="F112" s="160">
        <f>ОИ2!F65</f>
        <v>0</v>
      </c>
      <c r="G112" s="160">
        <f>ОИ2!G65</f>
        <v>0</v>
      </c>
      <c r="H112" s="160">
        <f>ОИ2!H65</f>
        <v>0</v>
      </c>
      <c r="I112" s="160">
        <f>ОИ2!I65</f>
        <v>0</v>
      </c>
      <c r="J112" s="160">
        <f>ОИ2!J65</f>
        <v>0</v>
      </c>
      <c r="K112" s="160">
        <f>ОИ2!K65</f>
        <v>0</v>
      </c>
      <c r="L112" s="160">
        <f>ОИ2!L65</f>
        <v>0</v>
      </c>
      <c r="M112" s="160">
        <f>ОИ2!M65</f>
        <v>0</v>
      </c>
      <c r="N112" s="160">
        <f>ОИ2!N65</f>
        <v>0</v>
      </c>
      <c r="O112" s="160">
        <f>ОИ2!O65</f>
        <v>0</v>
      </c>
      <c r="P112" s="160">
        <f>ОИ2!P65</f>
        <v>0</v>
      </c>
      <c r="Q112" s="160">
        <f>ОИ2!Q65</f>
        <v>0</v>
      </c>
      <c r="R112" s="160">
        <f>ОИ2!R65</f>
        <v>0.21670928585322291</v>
      </c>
    </row>
    <row r="113" spans="1:18" ht="15.75" x14ac:dyDescent="0.25">
      <c r="A113" s="84">
        <v>65</v>
      </c>
      <c r="B113" s="84" t="s">
        <v>65</v>
      </c>
      <c r="C113" s="160" t="e">
        <f>ОИ2!C66</f>
        <v>#REF!</v>
      </c>
      <c r="D113" s="160" t="e">
        <f>ОИ2!D66</f>
        <v>#REF!</v>
      </c>
      <c r="E113" s="160">
        <f>ОИ2!E66</f>
        <v>0</v>
      </c>
      <c r="F113" s="160">
        <f>ОИ2!F66</f>
        <v>0</v>
      </c>
      <c r="G113" s="160">
        <f>ОИ2!G66</f>
        <v>0</v>
      </c>
      <c r="H113" s="160">
        <f>ОИ2!H66</f>
        <v>0</v>
      </c>
      <c r="I113" s="160">
        <f>ОИ2!I66</f>
        <v>0</v>
      </c>
      <c r="J113" s="160">
        <f>ОИ2!J66</f>
        <v>0</v>
      </c>
      <c r="K113" s="160">
        <f>ОИ2!K66</f>
        <v>0</v>
      </c>
      <c r="L113" s="160">
        <f>ОИ2!L66</f>
        <v>0</v>
      </c>
      <c r="M113" s="160">
        <f>ОИ2!M66</f>
        <v>0</v>
      </c>
      <c r="N113" s="160">
        <f>ОИ2!N66</f>
        <v>0</v>
      </c>
      <c r="O113" s="160">
        <f>ОИ2!O66</f>
        <v>0</v>
      </c>
      <c r="P113" s="160">
        <f>ОИ2!P66</f>
        <v>0</v>
      </c>
      <c r="Q113" s="160">
        <f>ОИ2!Q66</f>
        <v>0</v>
      </c>
      <c r="R113" s="160">
        <f>ОИ2!R66</f>
        <v>1.4326277614785568E-2</v>
      </c>
    </row>
    <row r="114" spans="1:18" ht="15.75" x14ac:dyDescent="0.25">
      <c r="A114" s="84">
        <v>66</v>
      </c>
      <c r="B114" s="84" t="s">
        <v>66</v>
      </c>
      <c r="C114" s="160" t="e">
        <f>ОИ2!C67</f>
        <v>#REF!</v>
      </c>
      <c r="D114" s="160" t="e">
        <f>ОИ2!D67</f>
        <v>#REF!</v>
      </c>
      <c r="E114" s="160">
        <f>ОИ2!E67</f>
        <v>0</v>
      </c>
      <c r="F114" s="160">
        <f>ОИ2!F67</f>
        <v>0</v>
      </c>
      <c r="G114" s="160">
        <f>ОИ2!G67</f>
        <v>0</v>
      </c>
      <c r="H114" s="160">
        <f>ОИ2!H67</f>
        <v>0</v>
      </c>
      <c r="I114" s="160">
        <f>ОИ2!I67</f>
        <v>0</v>
      </c>
      <c r="J114" s="160">
        <f>ОИ2!J67</f>
        <v>0</v>
      </c>
      <c r="K114" s="160">
        <f>ОИ2!K67</f>
        <v>0</v>
      </c>
      <c r="L114" s="160">
        <f>ОИ2!L67</f>
        <v>0</v>
      </c>
      <c r="M114" s="160">
        <f>ОИ2!M67</f>
        <v>0</v>
      </c>
      <c r="N114" s="160">
        <f>ОИ2!N67</f>
        <v>0</v>
      </c>
      <c r="O114" s="160">
        <f>ОИ2!O67</f>
        <v>0</v>
      </c>
      <c r="P114" s="160">
        <f>ОИ2!P67</f>
        <v>0</v>
      </c>
      <c r="Q114" s="160">
        <f>ОИ2!Q67</f>
        <v>0</v>
      </c>
      <c r="R114" s="160">
        <f>ОИ2!R67</f>
        <v>0.29400710406392622</v>
      </c>
    </row>
    <row r="115" spans="1:18" ht="15.75" x14ac:dyDescent="0.25">
      <c r="A115" s="84">
        <v>67</v>
      </c>
      <c r="B115" s="84" t="s">
        <v>73</v>
      </c>
      <c r="C115" s="160" t="e">
        <f>ОИ2!C68</f>
        <v>#REF!</v>
      </c>
      <c r="D115" s="160" t="e">
        <f>ОИ2!D68</f>
        <v>#REF!</v>
      </c>
      <c r="E115" s="160">
        <f>ОИ2!E68</f>
        <v>0</v>
      </c>
      <c r="F115" s="160">
        <f>ОИ2!F68</f>
        <v>0</v>
      </c>
      <c r="G115" s="160">
        <f>ОИ2!G68</f>
        <v>0</v>
      </c>
      <c r="H115" s="160">
        <f>ОИ2!H68</f>
        <v>0</v>
      </c>
      <c r="I115" s="160">
        <f>ОИ2!I68</f>
        <v>0</v>
      </c>
      <c r="J115" s="160">
        <f>ОИ2!J68</f>
        <v>0</v>
      </c>
      <c r="K115" s="160">
        <f>ОИ2!K68</f>
        <v>0</v>
      </c>
      <c r="L115" s="160">
        <f>ОИ2!L68</f>
        <v>0</v>
      </c>
      <c r="M115" s="160">
        <f>ОИ2!M68</f>
        <v>0</v>
      </c>
      <c r="N115" s="160">
        <f>ОИ2!N68</f>
        <v>0</v>
      </c>
      <c r="O115" s="160">
        <f>ОИ2!O68</f>
        <v>0</v>
      </c>
      <c r="P115" s="160">
        <f>ОИ2!P68</f>
        <v>0</v>
      </c>
      <c r="Q115" s="160">
        <f>ОИ2!Q68</f>
        <v>0</v>
      </c>
      <c r="R115" s="160">
        <f>ОИ2!R68</f>
        <v>1.7793559424454052E-2</v>
      </c>
    </row>
    <row r="116" spans="1:18" ht="15.75" x14ac:dyDescent="0.25">
      <c r="A116" s="84">
        <v>68</v>
      </c>
      <c r="B116" s="84" t="s">
        <v>67</v>
      </c>
      <c r="C116" s="160" t="e">
        <f>ОИ2!C69</f>
        <v>#REF!</v>
      </c>
      <c r="D116" s="160" t="e">
        <f>ОИ2!D69</f>
        <v>#REF!</v>
      </c>
      <c r="E116" s="160">
        <f>ОИ2!E69</f>
        <v>0</v>
      </c>
      <c r="F116" s="160">
        <f>ОИ2!F69</f>
        <v>0</v>
      </c>
      <c r="G116" s="160">
        <f>ОИ2!G69</f>
        <v>0</v>
      </c>
      <c r="H116" s="160">
        <f>ОИ2!H69</f>
        <v>0</v>
      </c>
      <c r="I116" s="160">
        <f>ОИ2!I69</f>
        <v>0</v>
      </c>
      <c r="J116" s="160">
        <f>ОИ2!J69</f>
        <v>0</v>
      </c>
      <c r="K116" s="160">
        <f>ОИ2!K69</f>
        <v>0</v>
      </c>
      <c r="L116" s="160">
        <f>ОИ2!L69</f>
        <v>0</v>
      </c>
      <c r="M116" s="160">
        <f>ОИ2!M69</f>
        <v>0</v>
      </c>
      <c r="N116" s="160">
        <f>ОИ2!N69</f>
        <v>0</v>
      </c>
      <c r="O116" s="160">
        <f>ОИ2!O69</f>
        <v>0</v>
      </c>
      <c r="P116" s="160">
        <f>ОИ2!P69</f>
        <v>0</v>
      </c>
      <c r="Q116" s="160">
        <f>ОИ2!Q69</f>
        <v>0</v>
      </c>
      <c r="R116" s="160">
        <f>ОИ2!R69</f>
        <v>0.16196080056367812</v>
      </c>
    </row>
    <row r="117" spans="1:18" ht="15.75" x14ac:dyDescent="0.25">
      <c r="A117" s="84">
        <v>69</v>
      </c>
      <c r="B117" s="84" t="s">
        <v>68</v>
      </c>
      <c r="C117" s="160" t="e">
        <f>ОИ2!C70</f>
        <v>#REF!</v>
      </c>
      <c r="D117" s="160" t="e">
        <f>ОИ2!D70</f>
        <v>#REF!</v>
      </c>
      <c r="E117" s="160">
        <f>ОИ2!E70</f>
        <v>0</v>
      </c>
      <c r="F117" s="160">
        <f>ОИ2!F70</f>
        <v>0</v>
      </c>
      <c r="G117" s="160">
        <f>ОИ2!G70</f>
        <v>0</v>
      </c>
      <c r="H117" s="160">
        <f>ОИ2!H70</f>
        <v>0</v>
      </c>
      <c r="I117" s="160">
        <f>ОИ2!I70</f>
        <v>0</v>
      </c>
      <c r="J117" s="160">
        <f>ОИ2!J70</f>
        <v>0</v>
      </c>
      <c r="K117" s="160">
        <f>ОИ2!K70</f>
        <v>0</v>
      </c>
      <c r="L117" s="160">
        <f>ОИ2!L70</f>
        <v>0</v>
      </c>
      <c r="M117" s="160">
        <f>ОИ2!M70</f>
        <v>0</v>
      </c>
      <c r="N117" s="160">
        <f>ОИ2!N70</f>
        <v>0</v>
      </c>
      <c r="O117" s="160">
        <f>ОИ2!O70</f>
        <v>0</v>
      </c>
      <c r="P117" s="160">
        <f>ОИ2!P70</f>
        <v>0</v>
      </c>
      <c r="Q117" s="160">
        <f>ОИ2!Q70</f>
        <v>0</v>
      </c>
      <c r="R117" s="160">
        <f>ОИ2!R70</f>
        <v>0.21955891860206464</v>
      </c>
    </row>
    <row r="118" spans="1:18" ht="15.75" x14ac:dyDescent="0.25">
      <c r="A118" s="84">
        <v>70</v>
      </c>
      <c r="B118" s="84" t="s">
        <v>69</v>
      </c>
      <c r="C118" s="160" t="e">
        <f>ОИ2!C71</f>
        <v>#REF!</v>
      </c>
      <c r="D118" s="160" t="e">
        <f>ОИ2!D71</f>
        <v>#REF!</v>
      </c>
      <c r="E118" s="160">
        <f>ОИ2!E71</f>
        <v>0</v>
      </c>
      <c r="F118" s="160">
        <f>ОИ2!F71</f>
        <v>0</v>
      </c>
      <c r="G118" s="160">
        <f>ОИ2!G71</f>
        <v>0</v>
      </c>
      <c r="H118" s="160">
        <f>ОИ2!H71</f>
        <v>0</v>
      </c>
      <c r="I118" s="160">
        <f>ОИ2!I71</f>
        <v>0</v>
      </c>
      <c r="J118" s="160">
        <f>ОИ2!J71</f>
        <v>0</v>
      </c>
      <c r="K118" s="160">
        <f>ОИ2!K71</f>
        <v>0</v>
      </c>
      <c r="L118" s="160">
        <f>ОИ2!L71</f>
        <v>0</v>
      </c>
      <c r="M118" s="160">
        <f>ОИ2!M71</f>
        <v>0</v>
      </c>
      <c r="N118" s="160">
        <f>ОИ2!N71</f>
        <v>0</v>
      </c>
      <c r="O118" s="160">
        <f>ОИ2!O71</f>
        <v>0</v>
      </c>
      <c r="P118" s="160">
        <f>ОИ2!P71</f>
        <v>0</v>
      </c>
      <c r="Q118" s="160">
        <f>ОИ2!Q71</f>
        <v>0</v>
      </c>
      <c r="R118" s="160">
        <f>ОИ2!R71</f>
        <v>0.16364772660299867</v>
      </c>
    </row>
    <row r="119" spans="1:18" ht="15.75" x14ac:dyDescent="0.25">
      <c r="A119" s="84">
        <v>71</v>
      </c>
      <c r="B119" s="84" t="s">
        <v>70</v>
      </c>
      <c r="C119" s="160" t="e">
        <f>ОИ2!C72</f>
        <v>#REF!</v>
      </c>
      <c r="D119" s="160" t="e">
        <f>ОИ2!D72</f>
        <v>#REF!</v>
      </c>
      <c r="E119" s="160">
        <f>ОИ2!E72</f>
        <v>0</v>
      </c>
      <c r="F119" s="160">
        <f>ОИ2!F72</f>
        <v>0</v>
      </c>
      <c r="G119" s="160">
        <f>ОИ2!G72</f>
        <v>0</v>
      </c>
      <c r="H119" s="160">
        <f>ОИ2!H72</f>
        <v>0</v>
      </c>
      <c r="I119" s="160">
        <f>ОИ2!I72</f>
        <v>0</v>
      </c>
      <c r="J119" s="160">
        <f>ОИ2!J72</f>
        <v>0</v>
      </c>
      <c r="K119" s="160">
        <f>ОИ2!K72</f>
        <v>0</v>
      </c>
      <c r="L119" s="160">
        <f>ОИ2!L72</f>
        <v>0</v>
      </c>
      <c r="M119" s="160">
        <f>ОИ2!M72</f>
        <v>0</v>
      </c>
      <c r="N119" s="160">
        <f>ОИ2!N72</f>
        <v>0</v>
      </c>
      <c r="O119" s="160">
        <f>ОИ2!O72</f>
        <v>0</v>
      </c>
      <c r="P119" s="160">
        <f>ОИ2!P72</f>
        <v>0</v>
      </c>
      <c r="Q119" s="160">
        <f>ОИ2!Q72</f>
        <v>0</v>
      </c>
      <c r="R119" s="160">
        <f>ОИ2!R72</f>
        <v>0.14609337111081366</v>
      </c>
    </row>
    <row r="120" spans="1:18" ht="15.75" x14ac:dyDescent="0.25">
      <c r="A120" s="84">
        <v>72</v>
      </c>
      <c r="B120" s="84" t="s">
        <v>71</v>
      </c>
      <c r="C120" s="160" t="e">
        <f>ОИ2!C73</f>
        <v>#REF!</v>
      </c>
      <c r="D120" s="160" t="e">
        <f>ОИ2!D73</f>
        <v>#REF!</v>
      </c>
      <c r="E120" s="160">
        <f>ОИ2!E73</f>
        <v>0</v>
      </c>
      <c r="F120" s="160">
        <f>ОИ2!F73</f>
        <v>0</v>
      </c>
      <c r="G120" s="160">
        <f>ОИ2!G73</f>
        <v>0</v>
      </c>
      <c r="H120" s="160">
        <f>ОИ2!H73</f>
        <v>0</v>
      </c>
      <c r="I120" s="160">
        <f>ОИ2!I73</f>
        <v>0</v>
      </c>
      <c r="J120" s="160">
        <f>ОИ2!J73</f>
        <v>0</v>
      </c>
      <c r="K120" s="160">
        <f>ОИ2!K73</f>
        <v>0</v>
      </c>
      <c r="L120" s="160">
        <f>ОИ2!L73</f>
        <v>0</v>
      </c>
      <c r="M120" s="160">
        <f>ОИ2!M73</f>
        <v>0</v>
      </c>
      <c r="N120" s="160">
        <f>ОИ2!N73</f>
        <v>0</v>
      </c>
      <c r="O120" s="160">
        <f>ОИ2!O73</f>
        <v>0</v>
      </c>
      <c r="P120" s="160">
        <f>ОИ2!P73</f>
        <v>0</v>
      </c>
      <c r="Q120" s="160">
        <f>ОИ2!Q73</f>
        <v>0</v>
      </c>
      <c r="R120" s="160">
        <f>ОИ2!R73</f>
        <v>0.25841760677289116</v>
      </c>
    </row>
    <row r="121" spans="1:18" ht="15.75" x14ac:dyDescent="0.25">
      <c r="A121" s="84">
        <v>73</v>
      </c>
      <c r="B121" s="84" t="s">
        <v>72</v>
      </c>
      <c r="C121" s="160" t="e">
        <f>ОИ2!C74</f>
        <v>#REF!</v>
      </c>
      <c r="D121" s="160" t="e">
        <f>ОИ2!D74</f>
        <v>#REF!</v>
      </c>
      <c r="E121" s="160">
        <f>ОИ2!E74</f>
        <v>0</v>
      </c>
      <c r="F121" s="160">
        <f>ОИ2!F74</f>
        <v>0</v>
      </c>
      <c r="G121" s="160">
        <f>ОИ2!G74</f>
        <v>0</v>
      </c>
      <c r="H121" s="160">
        <f>ОИ2!H74</f>
        <v>0</v>
      </c>
      <c r="I121" s="160">
        <f>ОИ2!I74</f>
        <v>0</v>
      </c>
      <c r="J121" s="160">
        <f>ОИ2!J74</f>
        <v>0</v>
      </c>
      <c r="K121" s="160">
        <f>ОИ2!K74</f>
        <v>0</v>
      </c>
      <c r="L121" s="160">
        <f>ОИ2!L74</f>
        <v>0</v>
      </c>
      <c r="M121" s="160">
        <f>ОИ2!M74</f>
        <v>0</v>
      </c>
      <c r="N121" s="160">
        <f>ОИ2!N74</f>
        <v>0</v>
      </c>
      <c r="O121" s="160">
        <f>ОИ2!O74</f>
        <v>0</v>
      </c>
      <c r="P121" s="160">
        <f>ОИ2!P74</f>
        <v>0</v>
      </c>
      <c r="Q121" s="160">
        <f>ОИ2!Q74</f>
        <v>0</v>
      </c>
      <c r="R121" s="160">
        <f>ОИ2!R74</f>
        <v>0.32234786808101612</v>
      </c>
    </row>
    <row r="124" spans="1:18" ht="24.75" customHeight="1" x14ac:dyDescent="0.25"/>
    <row r="125" spans="1:18" ht="25.5" customHeight="1" x14ac:dyDescent="0.25"/>
    <row r="126" spans="1:18" ht="34.5" customHeight="1" x14ac:dyDescent="0.25"/>
    <row r="127" spans="1:18" ht="42.75" customHeight="1" x14ac:dyDescent="0.25"/>
    <row r="129" spans="1:18" ht="35.25" customHeight="1" x14ac:dyDescent="0.25"/>
    <row r="130" spans="1:18" ht="24.75" customHeight="1" x14ac:dyDescent="0.25"/>
    <row r="131" spans="1:18" ht="22.5" customHeight="1" x14ac:dyDescent="0.25"/>
    <row r="139" spans="1:18" ht="15.75" x14ac:dyDescent="0.25">
      <c r="A139" s="84" t="s">
        <v>0</v>
      </c>
      <c r="B139" s="84"/>
      <c r="C139" s="84">
        <v>2005</v>
      </c>
      <c r="D139" s="84">
        <v>2006</v>
      </c>
      <c r="E139" s="84">
        <v>2007</v>
      </c>
      <c r="F139" s="84">
        <v>2008</v>
      </c>
      <c r="G139" s="84">
        <v>2009</v>
      </c>
      <c r="H139" s="84">
        <v>2010</v>
      </c>
      <c r="I139" s="84">
        <v>2011</v>
      </c>
      <c r="J139" s="84">
        <v>2012</v>
      </c>
      <c r="K139" s="84">
        <v>2013</v>
      </c>
      <c r="L139" s="84">
        <v>2014</v>
      </c>
      <c r="M139" s="84">
        <v>2015</v>
      </c>
      <c r="N139" s="84">
        <v>2016</v>
      </c>
      <c r="O139" s="84">
        <v>2017</v>
      </c>
      <c r="P139" s="84">
        <v>2018</v>
      </c>
      <c r="Q139" s="84">
        <v>2019</v>
      </c>
      <c r="R139" s="84">
        <v>2020</v>
      </c>
    </row>
    <row r="140" spans="1:18" ht="15.75" x14ac:dyDescent="0.25">
      <c r="A140" s="84">
        <v>62</v>
      </c>
      <c r="B140" s="84" t="s">
        <v>62</v>
      </c>
      <c r="C140" s="160" t="e">
        <f>ОИ3!C63</f>
        <v>#REF!</v>
      </c>
      <c r="D140" s="160" t="e">
        <f>ОИ3!D63</f>
        <v>#REF!</v>
      </c>
      <c r="E140" s="160">
        <f>ОИ3!E63</f>
        <v>0</v>
      </c>
      <c r="F140" s="160">
        <f>ОИ3!F63</f>
        <v>0</v>
      </c>
      <c r="G140" s="160">
        <f>ОИ3!G63</f>
        <v>0</v>
      </c>
      <c r="H140" s="160">
        <f>ОИ3!H63</f>
        <v>0</v>
      </c>
      <c r="I140" s="160">
        <f>ОИ3!I63</f>
        <v>0</v>
      </c>
      <c r="J140" s="160">
        <f>ОИ3!J63</f>
        <v>0</v>
      </c>
      <c r="K140" s="160">
        <f>ОИ3!K63</f>
        <v>0</v>
      </c>
      <c r="L140" s="160">
        <f>ОИ3!L63</f>
        <v>0</v>
      </c>
      <c r="M140" s="160">
        <f>ОИ3!M63</f>
        <v>0</v>
      </c>
      <c r="N140" s="160">
        <f>ОИ3!N63</f>
        <v>0</v>
      </c>
      <c r="O140" s="160">
        <f>ОИ3!O63</f>
        <v>0</v>
      </c>
      <c r="P140" s="160">
        <f>ОИ3!P63</f>
        <v>0</v>
      </c>
      <c r="Q140" s="160">
        <f>ОИ3!Q63</f>
        <v>0</v>
      </c>
      <c r="R140" s="160">
        <f>ОИ3!R63</f>
        <v>0.2337570283280116</v>
      </c>
    </row>
    <row r="141" spans="1:18" ht="15.75" x14ac:dyDescent="0.25">
      <c r="A141" s="84">
        <v>63</v>
      </c>
      <c r="B141" s="84" t="s">
        <v>63</v>
      </c>
      <c r="C141" s="160" t="e">
        <f>ОИ3!C64</f>
        <v>#REF!</v>
      </c>
      <c r="D141" s="160" t="e">
        <f>ОИ3!D64</f>
        <v>#REF!</v>
      </c>
      <c r="E141" s="160">
        <f>ОИ3!E64</f>
        <v>0</v>
      </c>
      <c r="F141" s="160">
        <f>ОИ3!F64</f>
        <v>0</v>
      </c>
      <c r="G141" s="160">
        <f>ОИ3!G64</f>
        <v>0</v>
      </c>
      <c r="H141" s="160">
        <f>ОИ3!H64</f>
        <v>0</v>
      </c>
      <c r="I141" s="160">
        <f>ОИ3!I64</f>
        <v>0</v>
      </c>
      <c r="J141" s="160">
        <f>ОИ3!J64</f>
        <v>0</v>
      </c>
      <c r="K141" s="160">
        <f>ОИ3!K64</f>
        <v>0</v>
      </c>
      <c r="L141" s="160">
        <f>ОИ3!L64</f>
        <v>0</v>
      </c>
      <c r="M141" s="160">
        <f>ОИ3!M64</f>
        <v>0</v>
      </c>
      <c r="N141" s="160">
        <f>ОИ3!N64</f>
        <v>0</v>
      </c>
      <c r="O141" s="160">
        <f>ОИ3!O64</f>
        <v>0</v>
      </c>
      <c r="P141" s="160">
        <f>ОИ3!P64</f>
        <v>0</v>
      </c>
      <c r="Q141" s="160">
        <f>ОИ3!Q64</f>
        <v>0</v>
      </c>
      <c r="R141" s="160">
        <f>ОИ3!R64</f>
        <v>0.41819653026425824</v>
      </c>
    </row>
    <row r="142" spans="1:18" ht="15.75" x14ac:dyDescent="0.25">
      <c r="A142" s="84">
        <v>64</v>
      </c>
      <c r="B142" s="84" t="s">
        <v>64</v>
      </c>
      <c r="C142" s="160" t="e">
        <f>ОИ3!C65</f>
        <v>#REF!</v>
      </c>
      <c r="D142" s="160" t="e">
        <f>ОИ3!D65</f>
        <v>#REF!</v>
      </c>
      <c r="E142" s="160">
        <f>ОИ3!E65</f>
        <v>0</v>
      </c>
      <c r="F142" s="160">
        <f>ОИ3!F65</f>
        <v>0</v>
      </c>
      <c r="G142" s="160">
        <f>ОИ3!G65</f>
        <v>0</v>
      </c>
      <c r="H142" s="160">
        <f>ОИ3!H65</f>
        <v>0</v>
      </c>
      <c r="I142" s="160">
        <f>ОИ3!I65</f>
        <v>0</v>
      </c>
      <c r="J142" s="160">
        <f>ОИ3!J65</f>
        <v>0</v>
      </c>
      <c r="K142" s="160">
        <f>ОИ3!K65</f>
        <v>0</v>
      </c>
      <c r="L142" s="160">
        <f>ОИ3!L65</f>
        <v>0</v>
      </c>
      <c r="M142" s="160">
        <f>ОИ3!M65</f>
        <v>0</v>
      </c>
      <c r="N142" s="160">
        <f>ОИ3!N65</f>
        <v>0</v>
      </c>
      <c r="O142" s="160">
        <f>ОИ3!O65</f>
        <v>0</v>
      </c>
      <c r="P142" s="160">
        <f>ОИ3!P65</f>
        <v>0</v>
      </c>
      <c r="Q142" s="160">
        <f>ОИ3!Q65</f>
        <v>0</v>
      </c>
      <c r="R142" s="160">
        <f>ОИ3!R65</f>
        <v>9.3402349108846219E-2</v>
      </c>
    </row>
    <row r="143" spans="1:18" ht="15.75" x14ac:dyDescent="0.25">
      <c r="A143" s="84">
        <v>65</v>
      </c>
      <c r="B143" s="84" t="s">
        <v>65</v>
      </c>
      <c r="C143" s="160" t="e">
        <f>ОИ3!C66</f>
        <v>#REF!</v>
      </c>
      <c r="D143" s="160" t="e">
        <f>ОИ3!D66</f>
        <v>#REF!</v>
      </c>
      <c r="E143" s="160">
        <f>ОИ3!E66</f>
        <v>0</v>
      </c>
      <c r="F143" s="160">
        <f>ОИ3!F66</f>
        <v>0</v>
      </c>
      <c r="G143" s="160">
        <f>ОИ3!G66</f>
        <v>0</v>
      </c>
      <c r="H143" s="160">
        <f>ОИ3!H66</f>
        <v>0</v>
      </c>
      <c r="I143" s="160">
        <f>ОИ3!I66</f>
        <v>0</v>
      </c>
      <c r="J143" s="160">
        <f>ОИ3!J66</f>
        <v>0</v>
      </c>
      <c r="K143" s="160">
        <f>ОИ3!K66</f>
        <v>0</v>
      </c>
      <c r="L143" s="160">
        <f>ОИ3!L66</f>
        <v>0</v>
      </c>
      <c r="M143" s="160">
        <f>ОИ3!M66</f>
        <v>0</v>
      </c>
      <c r="N143" s="160">
        <f>ОИ3!N66</f>
        <v>0</v>
      </c>
      <c r="O143" s="160">
        <f>ОИ3!O66</f>
        <v>0</v>
      </c>
      <c r="P143" s="160">
        <f>ОИ3!P66</f>
        <v>0</v>
      </c>
      <c r="Q143" s="160">
        <f>ОИ3!Q66</f>
        <v>0</v>
      </c>
      <c r="R143" s="160">
        <f>ОИ3!R66</f>
        <v>0.38188011284622697</v>
      </c>
    </row>
    <row r="144" spans="1:18" ht="15.75" x14ac:dyDescent="0.25">
      <c r="A144" s="84">
        <v>66</v>
      </c>
      <c r="B144" s="84" t="s">
        <v>66</v>
      </c>
      <c r="C144" s="160" t="e">
        <f>ОИ3!C67</f>
        <v>#REF!</v>
      </c>
      <c r="D144" s="160" t="e">
        <f>ОИ3!D67</f>
        <v>#REF!</v>
      </c>
      <c r="E144" s="160">
        <f>ОИ3!E67</f>
        <v>0</v>
      </c>
      <c r="F144" s="160">
        <f>ОИ3!F67</f>
        <v>0</v>
      </c>
      <c r="G144" s="160">
        <f>ОИ3!G67</f>
        <v>0</v>
      </c>
      <c r="H144" s="160">
        <f>ОИ3!H67</f>
        <v>0</v>
      </c>
      <c r="I144" s="160">
        <f>ОИ3!I67</f>
        <v>0</v>
      </c>
      <c r="J144" s="160">
        <f>ОИ3!J67</f>
        <v>0</v>
      </c>
      <c r="K144" s="160">
        <f>ОИ3!K67</f>
        <v>0</v>
      </c>
      <c r="L144" s="160">
        <f>ОИ3!L67</f>
        <v>0</v>
      </c>
      <c r="M144" s="160">
        <f>ОИ3!M67</f>
        <v>0</v>
      </c>
      <c r="N144" s="160">
        <f>ОИ3!N67</f>
        <v>0</v>
      </c>
      <c r="O144" s="160">
        <f>ОИ3!O67</f>
        <v>0</v>
      </c>
      <c r="P144" s="160">
        <f>ОИ3!P67</f>
        <v>0</v>
      </c>
      <c r="Q144" s="160">
        <f>ОИ3!Q67</f>
        <v>0</v>
      </c>
      <c r="R144" s="160">
        <f>ОИ3!R67</f>
        <v>0.27264556062496376</v>
      </c>
    </row>
    <row r="145" spans="1:18" ht="15.75" x14ac:dyDescent="0.25">
      <c r="A145" s="84">
        <v>67</v>
      </c>
      <c r="B145" s="84" t="s">
        <v>73</v>
      </c>
      <c r="C145" s="160" t="e">
        <f>ОИ3!C68</f>
        <v>#REF!</v>
      </c>
      <c r="D145" s="160" t="e">
        <f>ОИ3!D68</f>
        <v>#REF!</v>
      </c>
      <c r="E145" s="160">
        <f>ОИ3!E68</f>
        <v>0</v>
      </c>
      <c r="F145" s="160">
        <f>ОИ3!F68</f>
        <v>0</v>
      </c>
      <c r="G145" s="160">
        <f>ОИ3!G68</f>
        <v>0</v>
      </c>
      <c r="H145" s="160">
        <f>ОИ3!H68</f>
        <v>0</v>
      </c>
      <c r="I145" s="160">
        <f>ОИ3!I68</f>
        <v>0</v>
      </c>
      <c r="J145" s="160">
        <f>ОИ3!J68</f>
        <v>0</v>
      </c>
      <c r="K145" s="160">
        <f>ОИ3!K68</f>
        <v>0</v>
      </c>
      <c r="L145" s="160">
        <f>ОИ3!L68</f>
        <v>0</v>
      </c>
      <c r="M145" s="160">
        <f>ОИ3!M68</f>
        <v>0</v>
      </c>
      <c r="N145" s="160">
        <f>ОИ3!N68</f>
        <v>0</v>
      </c>
      <c r="O145" s="160">
        <f>ОИ3!O68</f>
        <v>0</v>
      </c>
      <c r="P145" s="160">
        <f>ОИ3!P68</f>
        <v>0</v>
      </c>
      <c r="Q145" s="160">
        <f>ОИ3!Q68</f>
        <v>0</v>
      </c>
      <c r="R145" s="160">
        <f>ОИ3!R68</f>
        <v>0.37194236404385256</v>
      </c>
    </row>
    <row r="146" spans="1:18" ht="15.75" x14ac:dyDescent="0.25">
      <c r="A146" s="84">
        <v>68</v>
      </c>
      <c r="B146" s="84" t="s">
        <v>67</v>
      </c>
      <c r="C146" s="160" t="e">
        <f>ОИ3!C69</f>
        <v>#REF!</v>
      </c>
      <c r="D146" s="160" t="e">
        <f>ОИ3!D69</f>
        <v>#REF!</v>
      </c>
      <c r="E146" s="160">
        <f>ОИ3!E69</f>
        <v>0</v>
      </c>
      <c r="F146" s="160">
        <f>ОИ3!F69</f>
        <v>0</v>
      </c>
      <c r="G146" s="160">
        <f>ОИ3!G69</f>
        <v>0</v>
      </c>
      <c r="H146" s="160">
        <f>ОИ3!H69</f>
        <v>0</v>
      </c>
      <c r="I146" s="160">
        <f>ОИ3!I69</f>
        <v>0</v>
      </c>
      <c r="J146" s="160">
        <f>ОИ3!J69</f>
        <v>0</v>
      </c>
      <c r="K146" s="160">
        <f>ОИ3!K69</f>
        <v>0</v>
      </c>
      <c r="L146" s="160">
        <f>ОИ3!L69</f>
        <v>0</v>
      </c>
      <c r="M146" s="160">
        <f>ОИ3!M69</f>
        <v>0</v>
      </c>
      <c r="N146" s="160">
        <f>ОИ3!N69</f>
        <v>0</v>
      </c>
      <c r="O146" s="160">
        <f>ОИ3!O69</f>
        <v>0</v>
      </c>
      <c r="P146" s="160">
        <f>ОИ3!P69</f>
        <v>0</v>
      </c>
      <c r="Q146" s="160">
        <f>ОИ3!Q69</f>
        <v>0</v>
      </c>
      <c r="R146" s="160">
        <f>ОИ3!R69</f>
        <v>0.43328243383609538</v>
      </c>
    </row>
    <row r="147" spans="1:18" ht="15.75" x14ac:dyDescent="0.25">
      <c r="A147" s="84">
        <v>69</v>
      </c>
      <c r="B147" s="84" t="s">
        <v>68</v>
      </c>
      <c r="C147" s="160" t="e">
        <f>ОИ3!C70</f>
        <v>#REF!</v>
      </c>
      <c r="D147" s="160" t="e">
        <f>ОИ3!D70</f>
        <v>#REF!</v>
      </c>
      <c r="E147" s="160">
        <f>ОИ3!E70</f>
        <v>0</v>
      </c>
      <c r="F147" s="160">
        <f>ОИ3!F70</f>
        <v>0</v>
      </c>
      <c r="G147" s="160">
        <f>ОИ3!G70</f>
        <v>0</v>
      </c>
      <c r="H147" s="160">
        <f>ОИ3!H70</f>
        <v>0</v>
      </c>
      <c r="I147" s="160">
        <f>ОИ3!I70</f>
        <v>0</v>
      </c>
      <c r="J147" s="160">
        <f>ОИ3!J70</f>
        <v>0</v>
      </c>
      <c r="K147" s="160">
        <f>ОИ3!K70</f>
        <v>0</v>
      </c>
      <c r="L147" s="160">
        <f>ОИ3!L70</f>
        <v>0</v>
      </c>
      <c r="M147" s="160">
        <f>ОИ3!M70</f>
        <v>0</v>
      </c>
      <c r="N147" s="160">
        <f>ОИ3!N70</f>
        <v>0</v>
      </c>
      <c r="O147" s="160">
        <f>ОИ3!O70</f>
        <v>0</v>
      </c>
      <c r="P147" s="160">
        <f>ОИ3!P70</f>
        <v>0</v>
      </c>
      <c r="Q147" s="160">
        <f>ОИ3!Q70</f>
        <v>0</v>
      </c>
      <c r="R147" s="160">
        <f>ОИ3!R70</f>
        <v>0.31824157489422877</v>
      </c>
    </row>
    <row r="148" spans="1:18" ht="15.75" x14ac:dyDescent="0.25">
      <c r="A148" s="84">
        <v>70</v>
      </c>
      <c r="B148" s="84" t="s">
        <v>69</v>
      </c>
      <c r="C148" s="160" t="e">
        <f>ОИ3!C71</f>
        <v>#REF!</v>
      </c>
      <c r="D148" s="160" t="e">
        <f>ОИ3!D71</f>
        <v>#REF!</v>
      </c>
      <c r="E148" s="160">
        <f>ОИ3!E71</f>
        <v>0</v>
      </c>
      <c r="F148" s="160">
        <f>ОИ3!F71</f>
        <v>0</v>
      </c>
      <c r="G148" s="160">
        <f>ОИ3!G71</f>
        <v>0</v>
      </c>
      <c r="H148" s="160">
        <f>ОИ3!H71</f>
        <v>0</v>
      </c>
      <c r="I148" s="160">
        <f>ОИ3!I71</f>
        <v>0</v>
      </c>
      <c r="J148" s="160">
        <f>ОИ3!J71</f>
        <v>0</v>
      </c>
      <c r="K148" s="160">
        <f>ОИ3!K71</f>
        <v>0</v>
      </c>
      <c r="L148" s="160">
        <f>ОИ3!L71</f>
        <v>0</v>
      </c>
      <c r="M148" s="160">
        <f>ОИ3!M71</f>
        <v>0</v>
      </c>
      <c r="N148" s="160">
        <f>ОИ3!N71</f>
        <v>0</v>
      </c>
      <c r="O148" s="160">
        <f>ОИ3!O71</f>
        <v>0</v>
      </c>
      <c r="P148" s="160">
        <f>ОИ3!P71</f>
        <v>0</v>
      </c>
      <c r="Q148" s="160">
        <f>ОИ3!Q71</f>
        <v>0</v>
      </c>
      <c r="R148" s="160">
        <f>ОИ3!R71</f>
        <v>0.34500839614649109</v>
      </c>
    </row>
    <row r="149" spans="1:18" ht="15.75" x14ac:dyDescent="0.25">
      <c r="A149" s="84">
        <v>71</v>
      </c>
      <c r="B149" s="84" t="s">
        <v>70</v>
      </c>
      <c r="C149" s="160" t="e">
        <f>ОИ3!C72</f>
        <v>#REF!</v>
      </c>
      <c r="D149" s="160" t="e">
        <f>ОИ3!D72</f>
        <v>#REF!</v>
      </c>
      <c r="E149" s="160">
        <f>ОИ3!E72</f>
        <v>0</v>
      </c>
      <c r="F149" s="160">
        <f>ОИ3!F72</f>
        <v>0</v>
      </c>
      <c r="G149" s="160">
        <f>ОИ3!G72</f>
        <v>0</v>
      </c>
      <c r="H149" s="160">
        <f>ОИ3!H72</f>
        <v>0</v>
      </c>
      <c r="I149" s="160">
        <f>ОИ3!I72</f>
        <v>0</v>
      </c>
      <c r="J149" s="160">
        <f>ОИ3!J72</f>
        <v>0</v>
      </c>
      <c r="K149" s="160">
        <f>ОИ3!K72</f>
        <v>0</v>
      </c>
      <c r="L149" s="160">
        <f>ОИ3!L72</f>
        <v>0</v>
      </c>
      <c r="M149" s="160">
        <f>ОИ3!M72</f>
        <v>0</v>
      </c>
      <c r="N149" s="160">
        <f>ОИ3!N72</f>
        <v>0</v>
      </c>
      <c r="O149" s="160">
        <f>ОИ3!O72</f>
        <v>0</v>
      </c>
      <c r="P149" s="160">
        <f>ОИ3!P72</f>
        <v>0</v>
      </c>
      <c r="Q149" s="160">
        <f>ОИ3!Q72</f>
        <v>0</v>
      </c>
      <c r="R149" s="160">
        <f>ОИ3!R72</f>
        <v>0.44369172019596453</v>
      </c>
    </row>
    <row r="150" spans="1:18" ht="15.75" x14ac:dyDescent="0.25">
      <c r="A150" s="84">
        <v>72</v>
      </c>
      <c r="B150" s="84" t="s">
        <v>71</v>
      </c>
      <c r="C150" s="160" t="e">
        <f>ОИ3!C73</f>
        <v>#REF!</v>
      </c>
      <c r="D150" s="160" t="e">
        <f>ОИ3!D73</f>
        <v>#REF!</v>
      </c>
      <c r="E150" s="160">
        <f>ОИ3!E73</f>
        <v>0</v>
      </c>
      <c r="F150" s="160">
        <f>ОИ3!F73</f>
        <v>0</v>
      </c>
      <c r="G150" s="160">
        <f>ОИ3!G73</f>
        <v>0</v>
      </c>
      <c r="H150" s="160">
        <f>ОИ3!H73</f>
        <v>0</v>
      </c>
      <c r="I150" s="160">
        <f>ОИ3!I73</f>
        <v>0</v>
      </c>
      <c r="J150" s="160">
        <f>ОИ3!J73</f>
        <v>0</v>
      </c>
      <c r="K150" s="160">
        <f>ОИ3!K73</f>
        <v>0</v>
      </c>
      <c r="L150" s="160">
        <f>ОИ3!L73</f>
        <v>0</v>
      </c>
      <c r="M150" s="160">
        <f>ОИ3!M73</f>
        <v>0</v>
      </c>
      <c r="N150" s="160">
        <f>ОИ3!N73</f>
        <v>0</v>
      </c>
      <c r="O150" s="160">
        <f>ОИ3!O73</f>
        <v>0</v>
      </c>
      <c r="P150" s="160">
        <f>ОИ3!P73</f>
        <v>0</v>
      </c>
      <c r="Q150" s="160">
        <f>ОИ3!Q73</f>
        <v>0</v>
      </c>
      <c r="R150" s="160">
        <f>ОИ3!R73</f>
        <v>0.39882670653392699</v>
      </c>
    </row>
    <row r="151" spans="1:18" ht="15.75" x14ac:dyDescent="0.25">
      <c r="A151" s="84">
        <v>73</v>
      </c>
      <c r="B151" s="84" t="s">
        <v>72</v>
      </c>
      <c r="C151" s="160" t="e">
        <f>ОИ3!C74</f>
        <v>#REF!</v>
      </c>
      <c r="D151" s="160" t="e">
        <f>ОИ3!D74</f>
        <v>#REF!</v>
      </c>
      <c r="E151" s="160">
        <f>ОИ3!E74</f>
        <v>0</v>
      </c>
      <c r="F151" s="160">
        <f>ОИ3!F74</f>
        <v>0</v>
      </c>
      <c r="G151" s="160">
        <f>ОИ3!G74</f>
        <v>0</v>
      </c>
      <c r="H151" s="160">
        <f>ОИ3!H74</f>
        <v>0</v>
      </c>
      <c r="I151" s="160">
        <f>ОИ3!I74</f>
        <v>0</v>
      </c>
      <c r="J151" s="160">
        <f>ОИ3!J74</f>
        <v>0</v>
      </c>
      <c r="K151" s="160">
        <f>ОИ3!K74</f>
        <v>0</v>
      </c>
      <c r="L151" s="160">
        <f>ОИ3!L74</f>
        <v>0</v>
      </c>
      <c r="M151" s="160">
        <f>ОИ3!M74</f>
        <v>0</v>
      </c>
      <c r="N151" s="160">
        <f>ОИ3!N74</f>
        <v>0</v>
      </c>
      <c r="O151" s="160">
        <f>ОИ3!O74</f>
        <v>0</v>
      </c>
      <c r="P151" s="160">
        <f>ОИ3!P74</f>
        <v>0</v>
      </c>
      <c r="Q151" s="160">
        <f>ОИ3!Q74</f>
        <v>0</v>
      </c>
      <c r="R151" s="160">
        <f>ОИ3!R74</f>
        <v>0.34428093741324822</v>
      </c>
    </row>
    <row r="154" spans="1:18" ht="30.75" customHeight="1" x14ac:dyDescent="0.25"/>
    <row r="155" spans="1:18" ht="33" customHeight="1" x14ac:dyDescent="0.25"/>
    <row r="156" spans="1:18" ht="40.5" customHeight="1" x14ac:dyDescent="0.25"/>
    <row r="158" spans="1:18" ht="29.25" customHeight="1" x14ac:dyDescent="0.25"/>
    <row r="160" spans="1:18" ht="29.25" customHeight="1" x14ac:dyDescent="0.25"/>
    <row r="161" spans="1:18" ht="26.25" customHeight="1" x14ac:dyDescent="0.25"/>
    <row r="162" spans="1:18" ht="21.75" customHeight="1" x14ac:dyDescent="0.25"/>
    <row r="163" spans="1:18" ht="29.25" customHeight="1" x14ac:dyDescent="0.25"/>
    <row r="164" spans="1:18" ht="30" customHeight="1" x14ac:dyDescent="0.25"/>
    <row r="166" spans="1:18" ht="15.75" x14ac:dyDescent="0.25">
      <c r="A166" s="84" t="s">
        <v>0</v>
      </c>
      <c r="B166" s="84"/>
      <c r="C166" s="84">
        <v>2005</v>
      </c>
      <c r="D166" s="84">
        <v>2006</v>
      </c>
      <c r="E166" s="84">
        <v>2007</v>
      </c>
      <c r="F166" s="84">
        <v>2008</v>
      </c>
      <c r="G166" s="84">
        <v>2009</v>
      </c>
      <c r="H166" s="84">
        <v>2010</v>
      </c>
      <c r="I166" s="84">
        <v>2011</v>
      </c>
      <c r="J166" s="84">
        <v>2012</v>
      </c>
      <c r="K166" s="84">
        <v>2013</v>
      </c>
      <c r="L166" s="84">
        <v>2014</v>
      </c>
      <c r="M166" s="84">
        <v>2015</v>
      </c>
      <c r="N166" s="84">
        <v>2016</v>
      </c>
      <c r="O166" s="84">
        <v>2017</v>
      </c>
      <c r="P166" s="84">
        <v>2018</v>
      </c>
      <c r="Q166" s="84">
        <v>2019</v>
      </c>
      <c r="R166" s="84">
        <v>2020</v>
      </c>
    </row>
    <row r="167" spans="1:18" ht="15.75" x14ac:dyDescent="0.25">
      <c r="A167" s="84">
        <v>62</v>
      </c>
      <c r="B167" s="84" t="s">
        <v>62</v>
      </c>
      <c r="C167" s="160" t="e">
        <f>ОИ4!C63</f>
        <v>#REF!</v>
      </c>
      <c r="D167" s="160" t="e">
        <f>ОИ4!D63</f>
        <v>#REF!</v>
      </c>
      <c r="E167" s="160">
        <f>ОИ4!E63</f>
        <v>0</v>
      </c>
      <c r="F167" s="160">
        <f>ОИ4!F63</f>
        <v>0</v>
      </c>
      <c r="G167" s="160">
        <f>ОИ4!G63</f>
        <v>0</v>
      </c>
      <c r="H167" s="160">
        <f>ОИ4!H63</f>
        <v>0</v>
      </c>
      <c r="I167" s="160">
        <f>ОИ4!I63</f>
        <v>0</v>
      </c>
      <c r="J167" s="160">
        <f>ОИ4!J63</f>
        <v>0</v>
      </c>
      <c r="K167" s="160">
        <f>ОИ4!K63</f>
        <v>0</v>
      </c>
      <c r="L167" s="160">
        <f>ОИ4!L63</f>
        <v>0</v>
      </c>
      <c r="M167" s="160">
        <f>ОИ4!M63</f>
        <v>0</v>
      </c>
      <c r="N167" s="160">
        <f>ОИ4!N63</f>
        <v>0</v>
      </c>
      <c r="O167" s="160">
        <f>ОИ4!O63</f>
        <v>0</v>
      </c>
      <c r="P167" s="160">
        <f>ОИ4!P63</f>
        <v>0</v>
      </c>
      <c r="Q167" s="160">
        <f>ОИ4!Q63</f>
        <v>0</v>
      </c>
      <c r="R167" s="160">
        <f>ОИ4!R63</f>
        <v>0.41486760063510913</v>
      </c>
    </row>
    <row r="168" spans="1:18" ht="15.75" x14ac:dyDescent="0.25">
      <c r="A168" s="84">
        <v>63</v>
      </c>
      <c r="B168" s="84" t="s">
        <v>63</v>
      </c>
      <c r="C168" s="160" t="e">
        <f>ОИ4!C64</f>
        <v>#REF!</v>
      </c>
      <c r="D168" s="160" t="e">
        <f>ОИ4!D64</f>
        <v>#REF!</v>
      </c>
      <c r="E168" s="160">
        <f>ОИ4!E64</f>
        <v>0</v>
      </c>
      <c r="F168" s="160">
        <f>ОИ4!F64</f>
        <v>0</v>
      </c>
      <c r="G168" s="160">
        <f>ОИ4!G64</f>
        <v>0</v>
      </c>
      <c r="H168" s="160">
        <f>ОИ4!H64</f>
        <v>0</v>
      </c>
      <c r="I168" s="160">
        <f>ОИ4!I64</f>
        <v>0</v>
      </c>
      <c r="J168" s="160">
        <f>ОИ4!J64</f>
        <v>0</v>
      </c>
      <c r="K168" s="160">
        <f>ОИ4!K64</f>
        <v>0</v>
      </c>
      <c r="L168" s="160">
        <f>ОИ4!L64</f>
        <v>0</v>
      </c>
      <c r="M168" s="160">
        <f>ОИ4!M64</f>
        <v>0</v>
      </c>
      <c r="N168" s="160">
        <f>ОИ4!N64</f>
        <v>0</v>
      </c>
      <c r="O168" s="160">
        <f>ОИ4!O64</f>
        <v>0</v>
      </c>
      <c r="P168" s="160">
        <f>ОИ4!P64</f>
        <v>0</v>
      </c>
      <c r="Q168" s="160">
        <f>ОИ4!Q64</f>
        <v>0</v>
      </c>
      <c r="R168" s="160">
        <f>ОИ4!R64</f>
        <v>0.39923913300863417</v>
      </c>
    </row>
    <row r="169" spans="1:18" ht="15.75" x14ac:dyDescent="0.25">
      <c r="A169" s="84">
        <v>64</v>
      </c>
      <c r="B169" s="84" t="s">
        <v>64</v>
      </c>
      <c r="C169" s="160" t="e">
        <f>ОИ4!C65</f>
        <v>#REF!</v>
      </c>
      <c r="D169" s="160" t="e">
        <f>ОИ4!D65</f>
        <v>#REF!</v>
      </c>
      <c r="E169" s="160">
        <f>ОИ4!E65</f>
        <v>0</v>
      </c>
      <c r="F169" s="160">
        <f>ОИ4!F65</f>
        <v>0</v>
      </c>
      <c r="G169" s="160">
        <f>ОИ4!G65</f>
        <v>0</v>
      </c>
      <c r="H169" s="160">
        <f>ОИ4!H65</f>
        <v>0</v>
      </c>
      <c r="I169" s="160">
        <f>ОИ4!I65</f>
        <v>0</v>
      </c>
      <c r="J169" s="160">
        <f>ОИ4!J65</f>
        <v>0</v>
      </c>
      <c r="K169" s="160">
        <f>ОИ4!K65</f>
        <v>0</v>
      </c>
      <c r="L169" s="160">
        <f>ОИ4!L65</f>
        <v>0</v>
      </c>
      <c r="M169" s="160">
        <f>ОИ4!M65</f>
        <v>0</v>
      </c>
      <c r="N169" s="160">
        <f>ОИ4!N65</f>
        <v>0</v>
      </c>
      <c r="O169" s="160">
        <f>ОИ4!O65</f>
        <v>0</v>
      </c>
      <c r="P169" s="160">
        <f>ОИ4!P65</f>
        <v>0</v>
      </c>
      <c r="Q169" s="160">
        <f>ОИ4!Q65</f>
        <v>0</v>
      </c>
      <c r="R169" s="160">
        <f>ОИ4!R65</f>
        <v>0.34427116919276118</v>
      </c>
    </row>
    <row r="170" spans="1:18" ht="15.75" x14ac:dyDescent="0.25">
      <c r="A170" s="84">
        <v>65</v>
      </c>
      <c r="B170" s="84" t="s">
        <v>65</v>
      </c>
      <c r="C170" s="160" t="e">
        <f>ОИ4!C66</f>
        <v>#REF!</v>
      </c>
      <c r="D170" s="160" t="e">
        <f>ОИ4!D66</f>
        <v>#REF!</v>
      </c>
      <c r="E170" s="160">
        <f>ОИ4!E66</f>
        <v>0</v>
      </c>
      <c r="F170" s="160">
        <f>ОИ4!F66</f>
        <v>0</v>
      </c>
      <c r="G170" s="160">
        <f>ОИ4!G66</f>
        <v>0</v>
      </c>
      <c r="H170" s="160">
        <f>ОИ4!H66</f>
        <v>0</v>
      </c>
      <c r="I170" s="160">
        <f>ОИ4!I66</f>
        <v>0</v>
      </c>
      <c r="J170" s="160">
        <f>ОИ4!J66</f>
        <v>0</v>
      </c>
      <c r="K170" s="160">
        <f>ОИ4!K66</f>
        <v>0</v>
      </c>
      <c r="L170" s="160">
        <f>ОИ4!L66</f>
        <v>0</v>
      </c>
      <c r="M170" s="160">
        <f>ОИ4!M66</f>
        <v>0</v>
      </c>
      <c r="N170" s="160">
        <f>ОИ4!N66</f>
        <v>0</v>
      </c>
      <c r="O170" s="160">
        <f>ОИ4!O66</f>
        <v>0</v>
      </c>
      <c r="P170" s="160">
        <f>ОИ4!P66</f>
        <v>0</v>
      </c>
      <c r="Q170" s="160">
        <f>ОИ4!Q66</f>
        <v>0</v>
      </c>
      <c r="R170" s="160">
        <f>ОИ4!R66</f>
        <v>0.43950807797991676</v>
      </c>
    </row>
    <row r="171" spans="1:18" ht="15.75" x14ac:dyDescent="0.25">
      <c r="A171" s="84">
        <v>66</v>
      </c>
      <c r="B171" s="84" t="s">
        <v>66</v>
      </c>
      <c r="C171" s="160" t="e">
        <f>ОИ4!C67</f>
        <v>#REF!</v>
      </c>
      <c r="D171" s="160" t="e">
        <f>ОИ4!D67</f>
        <v>#REF!</v>
      </c>
      <c r="E171" s="160">
        <f>ОИ4!E67</f>
        <v>0</v>
      </c>
      <c r="F171" s="160">
        <f>ОИ4!F67</f>
        <v>0</v>
      </c>
      <c r="G171" s="160">
        <f>ОИ4!G67</f>
        <v>0</v>
      </c>
      <c r="H171" s="160">
        <f>ОИ4!H67</f>
        <v>0</v>
      </c>
      <c r="I171" s="160">
        <f>ОИ4!I67</f>
        <v>0</v>
      </c>
      <c r="J171" s="160">
        <f>ОИ4!J67</f>
        <v>0</v>
      </c>
      <c r="K171" s="160">
        <f>ОИ4!K67</f>
        <v>0</v>
      </c>
      <c r="L171" s="160">
        <f>ОИ4!L67</f>
        <v>0</v>
      </c>
      <c r="M171" s="160">
        <f>ОИ4!M67</f>
        <v>0</v>
      </c>
      <c r="N171" s="160">
        <f>ОИ4!N67</f>
        <v>0</v>
      </c>
      <c r="O171" s="160">
        <f>ОИ4!O67</f>
        <v>0</v>
      </c>
      <c r="P171" s="160">
        <f>ОИ4!P67</f>
        <v>0</v>
      </c>
      <c r="Q171" s="160">
        <f>ОИ4!Q67</f>
        <v>0</v>
      </c>
      <c r="R171" s="160">
        <f>ОИ4!R67</f>
        <v>0.42470368506385903</v>
      </c>
    </row>
    <row r="172" spans="1:18" ht="15.75" x14ac:dyDescent="0.25">
      <c r="A172" s="84">
        <v>67</v>
      </c>
      <c r="B172" s="84" t="s">
        <v>73</v>
      </c>
      <c r="C172" s="160" t="e">
        <f>ОИ4!C68</f>
        <v>#REF!</v>
      </c>
      <c r="D172" s="160" t="e">
        <f>ОИ4!D68</f>
        <v>#REF!</v>
      </c>
      <c r="E172" s="160">
        <f>ОИ4!E68</f>
        <v>0</v>
      </c>
      <c r="F172" s="160">
        <f>ОИ4!F68</f>
        <v>0</v>
      </c>
      <c r="G172" s="160">
        <f>ОИ4!G68</f>
        <v>0</v>
      </c>
      <c r="H172" s="160">
        <f>ОИ4!H68</f>
        <v>0</v>
      </c>
      <c r="I172" s="160">
        <f>ОИ4!I68</f>
        <v>0</v>
      </c>
      <c r="J172" s="160">
        <f>ОИ4!J68</f>
        <v>0</v>
      </c>
      <c r="K172" s="160">
        <f>ОИ4!K68</f>
        <v>0</v>
      </c>
      <c r="L172" s="160">
        <f>ОИ4!L68</f>
        <v>0</v>
      </c>
      <c r="M172" s="160">
        <f>ОИ4!M68</f>
        <v>0</v>
      </c>
      <c r="N172" s="160">
        <f>ОИ4!N68</f>
        <v>0</v>
      </c>
      <c r="O172" s="160">
        <f>ОИ4!O68</f>
        <v>0</v>
      </c>
      <c r="P172" s="160">
        <f>ОИ4!P68</f>
        <v>0</v>
      </c>
      <c r="Q172" s="160">
        <f>ОИ4!Q68</f>
        <v>0</v>
      </c>
      <c r="R172" s="160">
        <f>ОИ4!R68</f>
        <v>0.34044059524126974</v>
      </c>
    </row>
    <row r="173" spans="1:18" ht="15.75" x14ac:dyDescent="0.25">
      <c r="A173" s="84">
        <v>68</v>
      </c>
      <c r="B173" s="84" t="s">
        <v>67</v>
      </c>
      <c r="C173" s="160" t="e">
        <f>ОИ4!C69</f>
        <v>#REF!</v>
      </c>
      <c r="D173" s="160" t="e">
        <f>ОИ4!D69</f>
        <v>#REF!</v>
      </c>
      <c r="E173" s="160">
        <f>ОИ4!E69</f>
        <v>0</v>
      </c>
      <c r="F173" s="160">
        <f>ОИ4!F69</f>
        <v>0</v>
      </c>
      <c r="G173" s="160">
        <f>ОИ4!G69</f>
        <v>0</v>
      </c>
      <c r="H173" s="160">
        <f>ОИ4!H69</f>
        <v>0</v>
      </c>
      <c r="I173" s="160">
        <f>ОИ4!I69</f>
        <v>0</v>
      </c>
      <c r="J173" s="160">
        <f>ОИ4!J69</f>
        <v>0</v>
      </c>
      <c r="K173" s="160">
        <f>ОИ4!K69</f>
        <v>0</v>
      </c>
      <c r="L173" s="160">
        <f>ОИ4!L69</f>
        <v>0</v>
      </c>
      <c r="M173" s="160">
        <f>ОИ4!M69</f>
        <v>0</v>
      </c>
      <c r="N173" s="160">
        <f>ОИ4!N69</f>
        <v>0</v>
      </c>
      <c r="O173" s="160">
        <f>ОИ4!O69</f>
        <v>0</v>
      </c>
      <c r="P173" s="160">
        <f>ОИ4!P69</f>
        <v>0</v>
      </c>
      <c r="Q173" s="160">
        <f>ОИ4!Q69</f>
        <v>0</v>
      </c>
      <c r="R173" s="160">
        <f>ОИ4!R69</f>
        <v>0.48119888433724772</v>
      </c>
    </row>
    <row r="174" spans="1:18" ht="15.75" x14ac:dyDescent="0.25">
      <c r="A174" s="84">
        <v>69</v>
      </c>
      <c r="B174" s="84" t="s">
        <v>68</v>
      </c>
      <c r="C174" s="160" t="e">
        <f>ОИ4!C70</f>
        <v>#REF!</v>
      </c>
      <c r="D174" s="160" t="e">
        <f>ОИ4!D70</f>
        <v>#REF!</v>
      </c>
      <c r="E174" s="160">
        <f>ОИ4!E70</f>
        <v>0</v>
      </c>
      <c r="F174" s="160">
        <f>ОИ4!F70</f>
        <v>0</v>
      </c>
      <c r="G174" s="160">
        <f>ОИ4!G70</f>
        <v>0</v>
      </c>
      <c r="H174" s="160">
        <f>ОИ4!H70</f>
        <v>0</v>
      </c>
      <c r="I174" s="160">
        <f>ОИ4!I70</f>
        <v>0</v>
      </c>
      <c r="J174" s="160">
        <f>ОИ4!J70</f>
        <v>0</v>
      </c>
      <c r="K174" s="160">
        <f>ОИ4!K70</f>
        <v>0</v>
      </c>
      <c r="L174" s="160">
        <f>ОИ4!L70</f>
        <v>0</v>
      </c>
      <c r="M174" s="160">
        <f>ОИ4!M70</f>
        <v>0</v>
      </c>
      <c r="N174" s="160">
        <f>ОИ4!N70</f>
        <v>0</v>
      </c>
      <c r="O174" s="160">
        <f>ОИ4!O70</f>
        <v>0</v>
      </c>
      <c r="P174" s="160">
        <f>ОИ4!P70</f>
        <v>0</v>
      </c>
      <c r="Q174" s="160">
        <f>ОИ4!Q70</f>
        <v>0</v>
      </c>
      <c r="R174" s="160">
        <f>ОИ4!R70</f>
        <v>0.4256014572813307</v>
      </c>
    </row>
    <row r="175" spans="1:18" ht="15.75" x14ac:dyDescent="0.25">
      <c r="A175" s="84">
        <v>70</v>
      </c>
      <c r="B175" s="84" t="s">
        <v>69</v>
      </c>
      <c r="C175" s="160" t="e">
        <f>ОИ4!C71</f>
        <v>#REF!</v>
      </c>
      <c r="D175" s="160" t="e">
        <f>ОИ4!D71</f>
        <v>#REF!</v>
      </c>
      <c r="E175" s="160">
        <f>ОИ4!E71</f>
        <v>0</v>
      </c>
      <c r="F175" s="160">
        <f>ОИ4!F71</f>
        <v>0</v>
      </c>
      <c r="G175" s="160">
        <f>ОИ4!G71</f>
        <v>0</v>
      </c>
      <c r="H175" s="160">
        <f>ОИ4!H71</f>
        <v>0</v>
      </c>
      <c r="I175" s="160">
        <f>ОИ4!I71</f>
        <v>0</v>
      </c>
      <c r="J175" s="160">
        <f>ОИ4!J71</f>
        <v>0</v>
      </c>
      <c r="K175" s="160">
        <f>ОИ4!K71</f>
        <v>0</v>
      </c>
      <c r="L175" s="160">
        <f>ОИ4!L71</f>
        <v>0</v>
      </c>
      <c r="M175" s="160">
        <f>ОИ4!M71</f>
        <v>0</v>
      </c>
      <c r="N175" s="160">
        <f>ОИ4!N71</f>
        <v>0</v>
      </c>
      <c r="O175" s="160">
        <f>ОИ4!O71</f>
        <v>0</v>
      </c>
      <c r="P175" s="160">
        <f>ОИ4!P71</f>
        <v>0</v>
      </c>
      <c r="Q175" s="160">
        <f>ОИ4!Q71</f>
        <v>0</v>
      </c>
      <c r="R175" s="160">
        <f>ОИ4!R71</f>
        <v>0.40331649017375848</v>
      </c>
    </row>
    <row r="176" spans="1:18" ht="15.75" x14ac:dyDescent="0.25">
      <c r="A176" s="84">
        <v>71</v>
      </c>
      <c r="B176" s="84" t="s">
        <v>70</v>
      </c>
      <c r="C176" s="160" t="e">
        <f>ОИ4!C72</f>
        <v>#REF!</v>
      </c>
      <c r="D176" s="160" t="e">
        <f>ОИ4!D72</f>
        <v>#REF!</v>
      </c>
      <c r="E176" s="160">
        <f>ОИ4!E72</f>
        <v>0</v>
      </c>
      <c r="F176" s="160">
        <f>ОИ4!F72</f>
        <v>0</v>
      </c>
      <c r="G176" s="160">
        <f>ОИ4!G72</f>
        <v>0</v>
      </c>
      <c r="H176" s="160">
        <f>ОИ4!H72</f>
        <v>0</v>
      </c>
      <c r="I176" s="160">
        <f>ОИ4!I72</f>
        <v>0</v>
      </c>
      <c r="J176" s="160">
        <f>ОИ4!J72</f>
        <v>0</v>
      </c>
      <c r="K176" s="160">
        <f>ОИ4!K72</f>
        <v>0</v>
      </c>
      <c r="L176" s="160">
        <f>ОИ4!L72</f>
        <v>0</v>
      </c>
      <c r="M176" s="160">
        <f>ОИ4!M72</f>
        <v>0</v>
      </c>
      <c r="N176" s="160">
        <f>ОИ4!N72</f>
        <v>0</v>
      </c>
      <c r="O176" s="160">
        <f>ОИ4!O72</f>
        <v>0</v>
      </c>
      <c r="P176" s="160">
        <f>ОИ4!P72</f>
        <v>0</v>
      </c>
      <c r="Q176" s="160">
        <f>ОИ4!Q72</f>
        <v>0</v>
      </c>
      <c r="R176" s="160">
        <f>ОИ4!R72</f>
        <v>0.50314014839539267</v>
      </c>
    </row>
    <row r="177" spans="1:18" ht="15.75" x14ac:dyDescent="0.25">
      <c r="A177" s="84">
        <v>72</v>
      </c>
      <c r="B177" s="84" t="s">
        <v>71</v>
      </c>
      <c r="C177" s="160" t="e">
        <f>ОИ4!C73</f>
        <v>#REF!</v>
      </c>
      <c r="D177" s="160" t="e">
        <f>ОИ4!D73</f>
        <v>#REF!</v>
      </c>
      <c r="E177" s="160">
        <f>ОИ4!E73</f>
        <v>0</v>
      </c>
      <c r="F177" s="160">
        <f>ОИ4!F73</f>
        <v>0</v>
      </c>
      <c r="G177" s="160">
        <f>ОИ4!G73</f>
        <v>0</v>
      </c>
      <c r="H177" s="160">
        <f>ОИ4!H73</f>
        <v>0</v>
      </c>
      <c r="I177" s="160">
        <f>ОИ4!I73</f>
        <v>0</v>
      </c>
      <c r="J177" s="160">
        <f>ОИ4!J73</f>
        <v>0</v>
      </c>
      <c r="K177" s="160">
        <f>ОИ4!K73</f>
        <v>0</v>
      </c>
      <c r="L177" s="160">
        <f>ОИ4!L73</f>
        <v>0</v>
      </c>
      <c r="M177" s="160">
        <f>ОИ4!M73</f>
        <v>0</v>
      </c>
      <c r="N177" s="160">
        <f>ОИ4!N73</f>
        <v>0</v>
      </c>
      <c r="O177" s="160">
        <f>ОИ4!O73</f>
        <v>0</v>
      </c>
      <c r="P177" s="160">
        <f>ОИ4!P73</f>
        <v>0</v>
      </c>
      <c r="Q177" s="160">
        <f>ОИ4!Q73</f>
        <v>0</v>
      </c>
      <c r="R177" s="160">
        <f>ОИ4!R73</f>
        <v>0.39760669282219324</v>
      </c>
    </row>
    <row r="178" spans="1:18" ht="15.75" x14ac:dyDescent="0.25">
      <c r="A178" s="84">
        <v>73</v>
      </c>
      <c r="B178" s="84" t="s">
        <v>72</v>
      </c>
      <c r="C178" s="160" t="e">
        <f>ОИ4!C74</f>
        <v>#REF!</v>
      </c>
      <c r="D178" s="160" t="e">
        <f>ОИ4!D74</f>
        <v>#REF!</v>
      </c>
      <c r="E178" s="160">
        <f>ОИ4!E74</f>
        <v>0</v>
      </c>
      <c r="F178" s="160">
        <f>ОИ4!F74</f>
        <v>0</v>
      </c>
      <c r="G178" s="160">
        <f>ОИ4!G74</f>
        <v>0</v>
      </c>
      <c r="H178" s="160">
        <f>ОИ4!H74</f>
        <v>0</v>
      </c>
      <c r="I178" s="160">
        <f>ОИ4!I74</f>
        <v>0</v>
      </c>
      <c r="J178" s="160">
        <f>ОИ4!J74</f>
        <v>0</v>
      </c>
      <c r="K178" s="160">
        <f>ОИ4!K74</f>
        <v>0</v>
      </c>
      <c r="L178" s="160">
        <f>ОИ4!L74</f>
        <v>0</v>
      </c>
      <c r="M178" s="160">
        <f>ОИ4!M74</f>
        <v>0</v>
      </c>
      <c r="N178" s="160">
        <f>ОИ4!N74</f>
        <v>0</v>
      </c>
      <c r="O178" s="160">
        <f>ОИ4!O74</f>
        <v>0</v>
      </c>
      <c r="P178" s="160">
        <f>ОИ4!P74</f>
        <v>0</v>
      </c>
      <c r="Q178" s="160">
        <f>ОИ4!Q74</f>
        <v>0</v>
      </c>
      <c r="R178" s="160">
        <f>ОИ4!R74</f>
        <v>0.43576349886947741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R160"/>
  <sheetViews>
    <sheetView topLeftCell="A160" zoomScale="70" zoomScaleNormal="70" workbookViewId="0">
      <selection activeCell="C152" sqref="C152"/>
    </sheetView>
  </sheetViews>
  <sheetFormatPr defaultRowHeight="15" x14ac:dyDescent="0.25"/>
  <cols>
    <col min="2" max="2" width="31.28515625" customWidth="1"/>
    <col min="3" max="3" width="15.7109375" customWidth="1"/>
    <col min="4" max="4" width="15.42578125" customWidth="1"/>
    <col min="5" max="5" width="16.28515625" customWidth="1"/>
    <col min="6" max="18" width="11.85546875" bestFit="1" customWidth="1"/>
  </cols>
  <sheetData>
    <row r="1" spans="1:5" ht="93.75" customHeight="1" x14ac:dyDescent="0.25">
      <c r="A1" s="85" t="s">
        <v>0</v>
      </c>
      <c r="B1" s="166" t="s">
        <v>83</v>
      </c>
      <c r="C1" s="159" t="s">
        <v>202</v>
      </c>
      <c r="D1" s="159" t="s">
        <v>203</v>
      </c>
      <c r="E1" s="159" t="s">
        <v>204</v>
      </c>
    </row>
    <row r="2" spans="1:5" ht="15.75" x14ac:dyDescent="0.25">
      <c r="A2" s="85">
        <v>74</v>
      </c>
      <c r="B2" s="84" t="s">
        <v>74</v>
      </c>
      <c r="C2" s="167">
        <f>'13.1н'!B75</f>
        <v>0.58373695975035977</v>
      </c>
      <c r="D2" s="167">
        <f>'13.2н'!B75</f>
        <v>0.84810505863106855</v>
      </c>
      <c r="E2" s="167">
        <f>'13.3н'!B75</f>
        <v>0.45561935793518826</v>
      </c>
    </row>
    <row r="3" spans="1:5" ht="15.75" x14ac:dyDescent="0.25">
      <c r="A3" s="85">
        <v>75</v>
      </c>
      <c r="B3" s="84" t="s">
        <v>75</v>
      </c>
      <c r="C3" s="167">
        <f>'13.1н'!B76</f>
        <v>0.50116381674418253</v>
      </c>
      <c r="D3" s="167">
        <f>'13.2н'!B76</f>
        <v>0.81245665183170046</v>
      </c>
      <c r="E3" s="167">
        <f>'13.3н'!B76</f>
        <v>0.67670349823361586</v>
      </c>
    </row>
    <row r="4" spans="1:5" ht="15.75" x14ac:dyDescent="0.25">
      <c r="A4" s="85">
        <v>76</v>
      </c>
      <c r="B4" s="84" t="s">
        <v>76</v>
      </c>
      <c r="C4" s="167">
        <f>'13.1н'!B77</f>
        <v>0.47640525958045526</v>
      </c>
      <c r="D4" s="167">
        <f>'13.2н'!B77</f>
        <v>0.79064502271023984</v>
      </c>
      <c r="E4" s="167">
        <f>'13.3н'!B77</f>
        <v>0.5593460806254178</v>
      </c>
    </row>
    <row r="5" spans="1:5" ht="15.75" x14ac:dyDescent="0.25">
      <c r="A5" s="85">
        <v>77</v>
      </c>
      <c r="B5" s="84" t="s">
        <v>77</v>
      </c>
      <c r="C5" s="167">
        <f>'13.1н'!B78</f>
        <v>0.60970405767289793</v>
      </c>
      <c r="D5" s="167">
        <f>'13.2н'!B78</f>
        <v>0.80904798310504289</v>
      </c>
      <c r="E5" s="167">
        <f>'13.3н'!B78</f>
        <v>0.5679348229302803</v>
      </c>
    </row>
    <row r="6" spans="1:5" ht="15.75" x14ac:dyDescent="0.25">
      <c r="A6" s="85">
        <v>78</v>
      </c>
      <c r="B6" s="84" t="s">
        <v>78</v>
      </c>
      <c r="C6" s="167">
        <f>'13.1н'!B79</f>
        <v>0.22683447724182354</v>
      </c>
      <c r="D6" s="167">
        <f>'13.2н'!B79</f>
        <v>0.78157802042743452</v>
      </c>
      <c r="E6" s="167">
        <f>'13.3н'!B79</f>
        <v>0.45995837888527519</v>
      </c>
    </row>
    <row r="7" spans="1:5" ht="15.75" x14ac:dyDescent="0.25">
      <c r="A7" s="85">
        <v>79</v>
      </c>
      <c r="B7" s="84" t="s">
        <v>79</v>
      </c>
      <c r="C7" s="167">
        <f>'13.1н'!B80</f>
        <v>0.41824417447925583</v>
      </c>
      <c r="D7" s="167">
        <f>'13.2н'!B80</f>
        <v>0.86228265818099303</v>
      </c>
      <c r="E7" s="167">
        <f>'13.3н'!B80</f>
        <v>0.76309277687832766</v>
      </c>
    </row>
    <row r="8" spans="1:5" ht="15.75" x14ac:dyDescent="0.25">
      <c r="A8" s="85">
        <v>80</v>
      </c>
      <c r="B8" s="84" t="s">
        <v>80</v>
      </c>
      <c r="C8" s="167">
        <f>'13.1н'!B81</f>
        <v>0.66848575307621239</v>
      </c>
      <c r="D8" s="167">
        <f>'13.2н'!B81</f>
        <v>0.84219449821520143</v>
      </c>
      <c r="E8" s="167">
        <f>'13.3н'!B81</f>
        <v>0.72599039307363999</v>
      </c>
    </row>
    <row r="9" spans="1:5" ht="15.75" x14ac:dyDescent="0.25">
      <c r="A9" s="85">
        <v>81</v>
      </c>
      <c r="B9" s="84" t="s">
        <v>81</v>
      </c>
      <c r="C9" s="167">
        <f>'13.1н'!B82</f>
        <v>0.45646271626319562</v>
      </c>
      <c r="D9" s="167">
        <f>'13.2н'!B82</f>
        <v>0.65466387998229059</v>
      </c>
      <c r="E9" s="167">
        <f>'13.3н'!B82</f>
        <v>0.31011408610964364</v>
      </c>
    </row>
    <row r="10" spans="1:5" ht="15.75" x14ac:dyDescent="0.25">
      <c r="A10" s="85">
        <v>82</v>
      </c>
      <c r="B10" s="84" t="s">
        <v>82</v>
      </c>
      <c r="C10" s="167">
        <f>'13.1н'!B83</f>
        <v>0.65216914017184213</v>
      </c>
      <c r="D10" s="167">
        <f>'13.2н'!B83</f>
        <v>0.85632309837563036</v>
      </c>
      <c r="E10" s="167">
        <f>'13.3н'!B83</f>
        <v>0.64283741766663793</v>
      </c>
    </row>
    <row r="15" spans="1:5" ht="15.75" thickBot="1" x14ac:dyDescent="0.3"/>
    <row r="16" spans="1:5" ht="60.75" thickBot="1" x14ac:dyDescent="0.3">
      <c r="A16" s="85" t="s">
        <v>0</v>
      </c>
      <c r="B16" s="84" t="s">
        <v>83</v>
      </c>
      <c r="C16" s="54" t="s">
        <v>206</v>
      </c>
      <c r="D16" s="54" t="s">
        <v>104</v>
      </c>
      <c r="E16" s="54" t="s">
        <v>106</v>
      </c>
    </row>
    <row r="17" spans="1:5" ht="15.75" x14ac:dyDescent="0.25">
      <c r="A17" s="85">
        <v>74</v>
      </c>
      <c r="B17" s="84" t="s">
        <v>74</v>
      </c>
      <c r="C17" s="167">
        <f>'14.1н'!B75</f>
        <v>0.24949790057946908</v>
      </c>
      <c r="D17" s="167">
        <f>'14.2н'!B75</f>
        <v>2.228150456019835E-2</v>
      </c>
      <c r="E17" s="167">
        <f>'14.3н'!B75</f>
        <v>1.0153721785489467E-9</v>
      </c>
    </row>
    <row r="18" spans="1:5" ht="15.75" x14ac:dyDescent="0.25">
      <c r="A18" s="85">
        <v>75</v>
      </c>
      <c r="B18" s="84" t="s">
        <v>75</v>
      </c>
      <c r="C18" s="167">
        <f>'14.1н'!B76</f>
        <v>0.39213580643425988</v>
      </c>
      <c r="D18" s="167">
        <f>'14.2н'!B76</f>
        <v>0.12064610391288416</v>
      </c>
      <c r="E18" s="167">
        <f>'14.3н'!B76</f>
        <v>9.7343243619825567E-4</v>
      </c>
    </row>
    <row r="19" spans="1:5" ht="15.75" x14ac:dyDescent="0.25">
      <c r="A19" s="85">
        <v>76</v>
      </c>
      <c r="B19" s="84" t="s">
        <v>76</v>
      </c>
      <c r="C19" s="167">
        <f>'14.1н'!B77</f>
        <v>0.18766179779329176</v>
      </c>
      <c r="D19" s="167">
        <f>'14.2н'!B77</f>
        <v>3.776658922121668E-2</v>
      </c>
      <c r="E19" s="167">
        <f>'14.3н'!B77</f>
        <v>4.3063098750426568E-4</v>
      </c>
    </row>
    <row r="20" spans="1:5" ht="15.75" x14ac:dyDescent="0.25">
      <c r="A20" s="85">
        <v>77</v>
      </c>
      <c r="B20" s="84" t="s">
        <v>77</v>
      </c>
      <c r="C20" s="167">
        <f>'14.1н'!B78</f>
        <v>0.13112053191537931</v>
      </c>
      <c r="D20" s="167">
        <f>'14.2н'!B78</f>
        <v>0.74879019881215858</v>
      </c>
      <c r="E20" s="167">
        <f>'14.3н'!B78</f>
        <v>0.38523112180990476</v>
      </c>
    </row>
    <row r="21" spans="1:5" ht="15.75" x14ac:dyDescent="0.25">
      <c r="A21" s="85">
        <v>78</v>
      </c>
      <c r="B21" s="84" t="s">
        <v>78</v>
      </c>
      <c r="C21" s="167">
        <f>'14.1н'!B79</f>
        <v>0.16612542869735017</v>
      </c>
      <c r="D21" s="167">
        <f>'14.2н'!B79</f>
        <v>2.4176305695125079E-3</v>
      </c>
      <c r="E21" s="167">
        <f>'14.3н'!B79</f>
        <v>1.1826115459733925E-10</v>
      </c>
    </row>
    <row r="22" spans="1:5" ht="15.75" x14ac:dyDescent="0.25">
      <c r="A22" s="85">
        <v>79</v>
      </c>
      <c r="B22" s="84" t="s">
        <v>79</v>
      </c>
      <c r="C22" s="167">
        <f>'14.1н'!B80</f>
        <v>0.28149520759593444</v>
      </c>
      <c r="D22" s="167">
        <f>'14.2н'!B80</f>
        <v>1.1537554301607376E-6</v>
      </c>
      <c r="E22" s="167">
        <f>'14.3н'!B80</f>
        <v>2.7061190800195712E-27</v>
      </c>
    </row>
    <row r="23" spans="1:5" ht="15.75" x14ac:dyDescent="0.25">
      <c r="A23" s="85">
        <v>80</v>
      </c>
      <c r="B23" s="84" t="s">
        <v>80</v>
      </c>
      <c r="C23" s="167">
        <f>'14.1н'!B81</f>
        <v>8.3320037691214002E-2</v>
      </c>
      <c r="D23" s="167">
        <f>'14.2н'!B81</f>
        <v>0.59487242740220958</v>
      </c>
      <c r="E23" s="167">
        <f>'14.3н'!B81</f>
        <v>6.9505858693848999E-11</v>
      </c>
    </row>
    <row r="24" spans="1:5" ht="15.75" x14ac:dyDescent="0.25">
      <c r="A24" s="85">
        <v>81</v>
      </c>
      <c r="B24" s="84" t="s">
        <v>81</v>
      </c>
      <c r="C24" s="167">
        <f>'14.1н'!B82</f>
        <v>0.11384980785589069</v>
      </c>
      <c r="D24" s="167">
        <f>'14.2н'!B82</f>
        <v>1.9374651472463054E-2</v>
      </c>
      <c r="E24" s="167">
        <f>'14.3н'!B82</f>
        <v>4.1389046043843976E-8</v>
      </c>
    </row>
    <row r="25" spans="1:5" ht="15.75" x14ac:dyDescent="0.25">
      <c r="A25" s="85">
        <v>82</v>
      </c>
      <c r="B25" s="84" t="s">
        <v>82</v>
      </c>
      <c r="C25" s="167">
        <f>'14.1н'!B83</f>
        <v>0.1665229704045661</v>
      </c>
      <c r="D25" s="167">
        <f>'14.2н'!B83</f>
        <v>1.0103597305002785E-14</v>
      </c>
      <c r="E25" s="167">
        <f>'14.3н'!B83</f>
        <v>5.6799129236739634E-15</v>
      </c>
    </row>
    <row r="35" spans="1:5" ht="15.75" thickBot="1" x14ac:dyDescent="0.3"/>
    <row r="36" spans="1:5" ht="45.75" thickBot="1" x14ac:dyDescent="0.3">
      <c r="A36" s="85" t="s">
        <v>0</v>
      </c>
      <c r="B36" s="84" t="s">
        <v>83</v>
      </c>
      <c r="C36" s="54" t="s">
        <v>208</v>
      </c>
      <c r="D36" s="54" t="s">
        <v>209</v>
      </c>
      <c r="E36" s="54" t="s">
        <v>210</v>
      </c>
    </row>
    <row r="37" spans="1:5" ht="15.75" x14ac:dyDescent="0.25">
      <c r="A37" s="85">
        <v>74</v>
      </c>
      <c r="B37" s="84" t="s">
        <v>74</v>
      </c>
      <c r="C37" s="167">
        <f>'15.1н'!B75</f>
        <v>0.52512268909837223</v>
      </c>
      <c r="D37" s="167">
        <f>'15.2н'!B75</f>
        <v>0.69605965085033239</v>
      </c>
      <c r="E37" s="167">
        <f>'15.3н'!B75</f>
        <v>0.55487983415428654</v>
      </c>
    </row>
    <row r="38" spans="1:5" ht="15.75" x14ac:dyDescent="0.25">
      <c r="A38" s="85">
        <v>75</v>
      </c>
      <c r="B38" s="84" t="s">
        <v>75</v>
      </c>
      <c r="C38" s="167">
        <f>'15.1н'!B76</f>
        <v>0.45024787613020578</v>
      </c>
      <c r="D38" s="167">
        <f>'15.2н'!B76</f>
        <v>0.67314456335548833</v>
      </c>
      <c r="E38" s="167">
        <f>'15.3н'!B76</f>
        <v>0.61667771114999603</v>
      </c>
    </row>
    <row r="39" spans="1:5" ht="15.75" x14ac:dyDescent="0.25">
      <c r="A39" s="85">
        <v>76</v>
      </c>
      <c r="B39" s="84" t="s">
        <v>76</v>
      </c>
      <c r="C39" s="167">
        <f>'15.1н'!B77</f>
        <v>0.49614663879793414</v>
      </c>
      <c r="D39" s="167">
        <f>'15.2н'!B77</f>
        <v>0.33310920651791071</v>
      </c>
      <c r="E39" s="167">
        <f>'15.3н'!B77</f>
        <v>0.52978123201577199</v>
      </c>
    </row>
    <row r="40" spans="1:5" ht="15.75" x14ac:dyDescent="0.25">
      <c r="A40" s="85">
        <v>77</v>
      </c>
      <c r="B40" s="84" t="s">
        <v>77</v>
      </c>
      <c r="C40" s="167">
        <f>'15.1н'!B78</f>
        <v>0.55937115857555453</v>
      </c>
      <c r="D40" s="167">
        <f>'15.2н'!B78</f>
        <v>0.54168410071169559</v>
      </c>
      <c r="E40" s="167">
        <f>'15.3н'!B78</f>
        <v>0.61012498274830307</v>
      </c>
    </row>
    <row r="41" spans="1:5" ht="15.75" x14ac:dyDescent="0.25">
      <c r="A41" s="85">
        <v>78</v>
      </c>
      <c r="B41" s="84" t="s">
        <v>78</v>
      </c>
      <c r="C41" s="167">
        <f>'15.1н'!B79</f>
        <v>0.51766462507054678</v>
      </c>
      <c r="D41" s="167">
        <f>'15.2н'!B79</f>
        <v>0.38939376406818926</v>
      </c>
      <c r="E41" s="167">
        <f>'15.3н'!B79</f>
        <v>0.47264797694282285</v>
      </c>
    </row>
    <row r="42" spans="1:5" ht="15.75" x14ac:dyDescent="0.25">
      <c r="A42" s="85">
        <v>79</v>
      </c>
      <c r="B42" s="84" t="s">
        <v>79</v>
      </c>
      <c r="C42" s="167">
        <f>'15.1н'!B80</f>
        <v>0.51847502095328246</v>
      </c>
      <c r="D42" s="167">
        <f>'15.2н'!B80</f>
        <v>0.67993136329095827</v>
      </c>
      <c r="E42" s="167">
        <f>'15.3н'!B80</f>
        <v>0.65263211788278397</v>
      </c>
    </row>
    <row r="43" spans="1:5" ht="15.75" x14ac:dyDescent="0.25">
      <c r="A43" s="85">
        <v>80</v>
      </c>
      <c r="B43" s="84" t="s">
        <v>80</v>
      </c>
      <c r="C43" s="167">
        <f>'15.1н'!B81</f>
        <v>0.62088659679141245</v>
      </c>
      <c r="D43" s="167">
        <f>'15.2н'!B81</f>
        <v>0.63397621858727149</v>
      </c>
      <c r="E43" s="167">
        <f>'15.3н'!B81</f>
        <v>0.63995331668217426</v>
      </c>
    </row>
    <row r="44" spans="1:5" ht="15.75" x14ac:dyDescent="0.25">
      <c r="A44" s="85">
        <v>81</v>
      </c>
      <c r="B44" s="84" t="s">
        <v>81</v>
      </c>
      <c r="C44" s="167">
        <f>'15.1н'!B82</f>
        <v>0.38260858358652627</v>
      </c>
      <c r="D44" s="167">
        <f>'15.2н'!B82</f>
        <v>0.1667214840296849</v>
      </c>
      <c r="E44" s="167">
        <f>'15.3н'!B82</f>
        <v>0.43276487509035311</v>
      </c>
    </row>
    <row r="45" spans="1:5" ht="15.75" x14ac:dyDescent="0.25">
      <c r="A45" s="85">
        <v>82</v>
      </c>
      <c r="B45" s="84" t="s">
        <v>82</v>
      </c>
      <c r="C45" s="167">
        <f>'15.1н'!B83</f>
        <v>0.47531001761063962</v>
      </c>
      <c r="D45" s="167">
        <f>'15.2н'!B83</f>
        <v>0.78120374363865164</v>
      </c>
      <c r="E45" s="167">
        <f>'15.3н'!B83</f>
        <v>0.58265724724950907</v>
      </c>
    </row>
    <row r="56" spans="1:5" ht="15.75" thickBot="1" x14ac:dyDescent="0.3"/>
    <row r="57" spans="1:5" ht="48" thickBot="1" x14ac:dyDescent="0.3">
      <c r="A57" s="85" t="s">
        <v>0</v>
      </c>
      <c r="B57" s="84" t="s">
        <v>83</v>
      </c>
      <c r="C57" s="54" t="s">
        <v>212</v>
      </c>
      <c r="D57" s="159" t="s">
        <v>136</v>
      </c>
      <c r="E57" s="54" t="s">
        <v>213</v>
      </c>
    </row>
    <row r="58" spans="1:5" ht="15.75" x14ac:dyDescent="0.25">
      <c r="A58" s="85">
        <v>74</v>
      </c>
      <c r="B58" s="84" t="s">
        <v>74</v>
      </c>
      <c r="C58" s="167">
        <f>'16.1н'!B75</f>
        <v>0.44812748902363209</v>
      </c>
      <c r="D58" s="167">
        <f>'16.2н'!B75</f>
        <v>0.47836051388547446</v>
      </c>
      <c r="E58" s="167">
        <f>'16.3н'!B75</f>
        <v>0.5062272740493825</v>
      </c>
    </row>
    <row r="59" spans="1:5" ht="15.75" x14ac:dyDescent="0.25">
      <c r="A59" s="85">
        <v>75</v>
      </c>
      <c r="B59" s="84" t="s">
        <v>75</v>
      </c>
      <c r="C59" s="167">
        <f>'16.1н'!B76</f>
        <v>0.13788563964525236</v>
      </c>
      <c r="D59" s="167">
        <f>'16.2н'!B76</f>
        <v>0.51742786615868108</v>
      </c>
      <c r="E59" s="167">
        <f>'16.3н'!B76</f>
        <v>0.53527814533843776</v>
      </c>
    </row>
    <row r="60" spans="1:5" ht="15.75" x14ac:dyDescent="0.25">
      <c r="A60" s="85">
        <v>76</v>
      </c>
      <c r="B60" s="84" t="s">
        <v>76</v>
      </c>
      <c r="C60" s="167">
        <f>'16.1н'!B77</f>
        <v>0.28602849191334712</v>
      </c>
      <c r="D60" s="167">
        <f>'16.2н'!B77</f>
        <v>0.48576597057680293</v>
      </c>
      <c r="E60" s="167">
        <f>'16.3н'!B77</f>
        <v>0.44049706175048847</v>
      </c>
    </row>
    <row r="61" spans="1:5" ht="15.75" x14ac:dyDescent="0.25">
      <c r="A61" s="85">
        <v>77</v>
      </c>
      <c r="B61" s="84" t="s">
        <v>77</v>
      </c>
      <c r="C61" s="167">
        <f>'16.1н'!B78</f>
        <v>8.5332303754973873E-2</v>
      </c>
      <c r="D61" s="167">
        <f>'16.2н'!B78</f>
        <v>0.49580827356017332</v>
      </c>
      <c r="E61" s="167">
        <f>'16.3н'!B78</f>
        <v>0.51230956021217355</v>
      </c>
    </row>
    <row r="62" spans="1:5" ht="15.75" x14ac:dyDescent="0.25">
      <c r="A62" s="85">
        <v>78</v>
      </c>
      <c r="B62" s="84" t="s">
        <v>78</v>
      </c>
      <c r="C62" s="167">
        <f>'16.1н'!B79</f>
        <v>0.11399063270744875</v>
      </c>
      <c r="D62" s="167">
        <f>'16.2н'!B79</f>
        <v>0.51350902535438625</v>
      </c>
      <c r="E62" s="167">
        <f>'16.3н'!B79</f>
        <v>0.4735434224363147</v>
      </c>
    </row>
    <row r="63" spans="1:5" ht="15.75" x14ac:dyDescent="0.25">
      <c r="A63" s="85">
        <v>79</v>
      </c>
      <c r="B63" s="84" t="s">
        <v>79</v>
      </c>
      <c r="C63" s="167">
        <f>'16.1н'!B80</f>
        <v>1.2422938848011048E-3</v>
      </c>
      <c r="D63" s="167">
        <f>'16.2н'!B80</f>
        <v>0.55465395299042941</v>
      </c>
      <c r="E63" s="167">
        <f>'16.3н'!B80</f>
        <v>0.55626573804824342</v>
      </c>
    </row>
    <row r="64" spans="1:5" ht="15.75" x14ac:dyDescent="0.25">
      <c r="A64" s="85">
        <v>80</v>
      </c>
      <c r="B64" s="84" t="s">
        <v>80</v>
      </c>
      <c r="C64" s="167">
        <f>'16.1н'!B81</f>
        <v>0.61970739570041888</v>
      </c>
      <c r="D64" s="167">
        <f>'16.2н'!B81</f>
        <v>0.53854651288448685</v>
      </c>
      <c r="E64" s="167">
        <f>'16.3н'!B81</f>
        <v>0.37624481090234912</v>
      </c>
    </row>
    <row r="65" spans="1:18" ht="15.75" x14ac:dyDescent="0.25">
      <c r="A65" s="85">
        <v>81</v>
      </c>
      <c r="B65" s="84" t="s">
        <v>81</v>
      </c>
      <c r="C65" s="167">
        <f>'16.1н'!B82</f>
        <v>7.7642991965018423E-3</v>
      </c>
      <c r="D65" s="167">
        <f>'16.2н'!B82</f>
        <v>0.49011541083617383</v>
      </c>
      <c r="E65" s="167">
        <f>'16.3н'!B82</f>
        <v>0.40778549174138751</v>
      </c>
    </row>
    <row r="66" spans="1:18" ht="15.75" x14ac:dyDescent="0.25">
      <c r="A66" s="85">
        <v>82</v>
      </c>
      <c r="B66" s="84" t="s">
        <v>82</v>
      </c>
      <c r="C66" s="167">
        <f>'16.1н'!B83</f>
        <v>1.9788201212326217E-5</v>
      </c>
      <c r="D66" s="167">
        <f>'16.2н'!B83</f>
        <v>0.4872234921846178</v>
      </c>
      <c r="E66" s="167">
        <f>'16.3н'!B83</f>
        <v>0.5152977723760046</v>
      </c>
    </row>
    <row r="80" spans="1:18" ht="15.75" x14ac:dyDescent="0.25">
      <c r="A80" s="84" t="s">
        <v>0</v>
      </c>
      <c r="B80" s="84"/>
      <c r="C80" s="84">
        <v>2005</v>
      </c>
      <c r="D80" s="84">
        <v>2006</v>
      </c>
      <c r="E80" s="84">
        <v>2007</v>
      </c>
      <c r="F80" s="84">
        <v>2008</v>
      </c>
      <c r="G80" s="84">
        <v>2009</v>
      </c>
      <c r="H80" s="84">
        <v>2010</v>
      </c>
      <c r="I80" s="84">
        <v>2011</v>
      </c>
      <c r="J80" s="84">
        <v>2012</v>
      </c>
      <c r="K80" s="84">
        <v>2013</v>
      </c>
      <c r="L80" s="84">
        <v>2014</v>
      </c>
      <c r="M80" s="84">
        <v>2015</v>
      </c>
      <c r="N80" s="84">
        <v>2016</v>
      </c>
      <c r="O80" s="84">
        <v>2017</v>
      </c>
      <c r="P80" s="84">
        <v>2018</v>
      </c>
      <c r="Q80" s="84">
        <v>2019</v>
      </c>
      <c r="R80" s="84">
        <v>2020</v>
      </c>
    </row>
    <row r="81" spans="1:18" ht="15.75" x14ac:dyDescent="0.25">
      <c r="A81" s="161">
        <v>74</v>
      </c>
      <c r="B81" s="161" t="s">
        <v>74</v>
      </c>
      <c r="C81" s="155" t="e">
        <f>ОИ1!C75</f>
        <v>#REF!</v>
      </c>
      <c r="D81" s="155" t="e">
        <f>ОИ1!D75</f>
        <v>#REF!</v>
      </c>
      <c r="E81" s="155">
        <f>ОИ1!E75</f>
        <v>0</v>
      </c>
      <c r="F81" s="155">
        <f>ОИ1!F75</f>
        <v>0</v>
      </c>
      <c r="G81" s="155">
        <f>ОИ1!G75</f>
        <v>0</v>
      </c>
      <c r="H81" s="155">
        <f>ОИ1!H75</f>
        <v>0</v>
      </c>
      <c r="I81" s="155">
        <f>ОИ1!I75</f>
        <v>0</v>
      </c>
      <c r="J81" s="155">
        <f>ОИ1!J75</f>
        <v>0</v>
      </c>
      <c r="K81" s="155">
        <f>ОИ1!K75</f>
        <v>0</v>
      </c>
      <c r="L81" s="155">
        <f>ОИ1!L75</f>
        <v>0</v>
      </c>
      <c r="M81" s="155">
        <f>ОИ1!M75</f>
        <v>0</v>
      </c>
      <c r="N81" s="155">
        <f>ОИ1!N75</f>
        <v>0</v>
      </c>
      <c r="O81" s="155">
        <f>ОИ1!O75</f>
        <v>0</v>
      </c>
      <c r="P81" s="155">
        <f>ОИ1!P75</f>
        <v>0</v>
      </c>
      <c r="Q81" s="155">
        <f>ОИ1!Q75</f>
        <v>0</v>
      </c>
      <c r="R81" s="155">
        <f>ОИ1!R75</f>
        <v>0.6291537921055389</v>
      </c>
    </row>
    <row r="82" spans="1:18" ht="15.75" x14ac:dyDescent="0.25">
      <c r="A82" s="161">
        <v>75</v>
      </c>
      <c r="B82" s="161" t="s">
        <v>75</v>
      </c>
      <c r="C82" s="155" t="e">
        <f>ОИ1!C76</f>
        <v>#REF!</v>
      </c>
      <c r="D82" s="155" t="e">
        <f>ОИ1!D76</f>
        <v>#REF!</v>
      </c>
      <c r="E82" s="155">
        <f>ОИ1!E76</f>
        <v>0</v>
      </c>
      <c r="F82" s="155">
        <f>ОИ1!F76</f>
        <v>0</v>
      </c>
      <c r="G82" s="155">
        <f>ОИ1!G76</f>
        <v>0</v>
      </c>
      <c r="H82" s="155">
        <f>ОИ1!H76</f>
        <v>0</v>
      </c>
      <c r="I82" s="155">
        <f>ОИ1!I76</f>
        <v>0</v>
      </c>
      <c r="J82" s="155">
        <f>ОИ1!J76</f>
        <v>0</v>
      </c>
      <c r="K82" s="155">
        <f>ОИ1!K76</f>
        <v>0</v>
      </c>
      <c r="L82" s="155">
        <f>ОИ1!L76</f>
        <v>0</v>
      </c>
      <c r="M82" s="155">
        <f>ОИ1!M76</f>
        <v>0</v>
      </c>
      <c r="N82" s="155">
        <f>ОИ1!N76</f>
        <v>0</v>
      </c>
      <c r="O82" s="155">
        <f>ОИ1!O76</f>
        <v>0</v>
      </c>
      <c r="P82" s="155">
        <f>ОИ1!P76</f>
        <v>0</v>
      </c>
      <c r="Q82" s="155">
        <f>ОИ1!Q76</f>
        <v>0</v>
      </c>
      <c r="R82" s="155">
        <f>ОИ1!R76</f>
        <v>0.66344132226983288</v>
      </c>
    </row>
    <row r="83" spans="1:18" ht="15.75" x14ac:dyDescent="0.25">
      <c r="A83" s="161">
        <v>76</v>
      </c>
      <c r="B83" s="161" t="s">
        <v>76</v>
      </c>
      <c r="C83" s="155" t="e">
        <f>ОИ1!C77</f>
        <v>#REF!</v>
      </c>
      <c r="D83" s="155" t="e">
        <f>ОИ1!D77</f>
        <v>#REF!</v>
      </c>
      <c r="E83" s="155">
        <f>ОИ1!E77</f>
        <v>0</v>
      </c>
      <c r="F83" s="155">
        <f>ОИ1!F77</f>
        <v>0</v>
      </c>
      <c r="G83" s="155">
        <f>ОИ1!G77</f>
        <v>0</v>
      </c>
      <c r="H83" s="155">
        <f>ОИ1!H77</f>
        <v>0</v>
      </c>
      <c r="I83" s="155">
        <f>ОИ1!I77</f>
        <v>0</v>
      </c>
      <c r="J83" s="155">
        <f>ОИ1!J77</f>
        <v>0</v>
      </c>
      <c r="K83" s="155">
        <f>ОИ1!K77</f>
        <v>0</v>
      </c>
      <c r="L83" s="155">
        <f>ОИ1!L77</f>
        <v>0</v>
      </c>
      <c r="M83" s="155">
        <f>ОИ1!M77</f>
        <v>0</v>
      </c>
      <c r="N83" s="155">
        <f>ОИ1!N77</f>
        <v>0</v>
      </c>
      <c r="O83" s="155">
        <f>ОИ1!O77</f>
        <v>0</v>
      </c>
      <c r="P83" s="155">
        <f>ОИ1!P77</f>
        <v>0</v>
      </c>
      <c r="Q83" s="155">
        <f>ОИ1!Q77</f>
        <v>0</v>
      </c>
      <c r="R83" s="155">
        <f>ОИ1!R77</f>
        <v>0.60879878763870432</v>
      </c>
    </row>
    <row r="84" spans="1:18" ht="15.75" x14ac:dyDescent="0.25">
      <c r="A84" s="161">
        <v>77</v>
      </c>
      <c r="B84" s="161" t="s">
        <v>77</v>
      </c>
      <c r="C84" s="155" t="e">
        <f>ОИ1!C78</f>
        <v>#REF!</v>
      </c>
      <c r="D84" s="155" t="e">
        <f>ОИ1!D78</f>
        <v>#REF!</v>
      </c>
      <c r="E84" s="155">
        <f>ОИ1!E78</f>
        <v>0</v>
      </c>
      <c r="F84" s="155">
        <f>ОИ1!F78</f>
        <v>0</v>
      </c>
      <c r="G84" s="155">
        <f>ОИ1!G78</f>
        <v>0</v>
      </c>
      <c r="H84" s="155">
        <f>ОИ1!H78</f>
        <v>0</v>
      </c>
      <c r="I84" s="155">
        <f>ОИ1!I78</f>
        <v>0</v>
      </c>
      <c r="J84" s="155">
        <f>ОИ1!J78</f>
        <v>0</v>
      </c>
      <c r="K84" s="155">
        <f>ОИ1!K78</f>
        <v>0</v>
      </c>
      <c r="L84" s="155">
        <f>ОИ1!L78</f>
        <v>0</v>
      </c>
      <c r="M84" s="155">
        <f>ОИ1!M78</f>
        <v>0</v>
      </c>
      <c r="N84" s="155">
        <f>ОИ1!N78</f>
        <v>0</v>
      </c>
      <c r="O84" s="155">
        <f>ОИ1!O78</f>
        <v>0</v>
      </c>
      <c r="P84" s="155">
        <f>ОИ1!P78</f>
        <v>0</v>
      </c>
      <c r="Q84" s="155">
        <f>ОИ1!Q78</f>
        <v>0</v>
      </c>
      <c r="R84" s="155">
        <f>ОИ1!R78</f>
        <v>0.662228954569407</v>
      </c>
    </row>
    <row r="85" spans="1:18" ht="15.75" x14ac:dyDescent="0.25">
      <c r="A85" s="161">
        <v>78</v>
      </c>
      <c r="B85" s="161" t="s">
        <v>78</v>
      </c>
      <c r="C85" s="155" t="e">
        <f>ОИ1!C79</f>
        <v>#REF!</v>
      </c>
      <c r="D85" s="155" t="e">
        <f>ОИ1!D79</f>
        <v>#REF!</v>
      </c>
      <c r="E85" s="155">
        <f>ОИ1!E79</f>
        <v>0</v>
      </c>
      <c r="F85" s="155">
        <f>ОИ1!F79</f>
        <v>0</v>
      </c>
      <c r="G85" s="155">
        <f>ОИ1!G79</f>
        <v>0</v>
      </c>
      <c r="H85" s="155">
        <f>ОИ1!H79</f>
        <v>0</v>
      </c>
      <c r="I85" s="155">
        <f>ОИ1!I79</f>
        <v>0</v>
      </c>
      <c r="J85" s="155">
        <f>ОИ1!J79</f>
        <v>0</v>
      </c>
      <c r="K85" s="155">
        <f>ОИ1!K79</f>
        <v>0</v>
      </c>
      <c r="L85" s="155">
        <f>ОИ1!L79</f>
        <v>0</v>
      </c>
      <c r="M85" s="155">
        <f>ОИ1!M79</f>
        <v>0</v>
      </c>
      <c r="N85" s="155">
        <f>ОИ1!N79</f>
        <v>0</v>
      </c>
      <c r="O85" s="155">
        <f>ОИ1!O79</f>
        <v>0</v>
      </c>
      <c r="P85" s="155">
        <f>ОИ1!P79</f>
        <v>0</v>
      </c>
      <c r="Q85" s="155">
        <f>ОИ1!Q79</f>
        <v>0</v>
      </c>
      <c r="R85" s="155">
        <f>ОИ1!R79</f>
        <v>0.48945695885151114</v>
      </c>
    </row>
    <row r="86" spans="1:18" ht="15.75" x14ac:dyDescent="0.25">
      <c r="A86" s="161">
        <v>79</v>
      </c>
      <c r="B86" s="161" t="s">
        <v>79</v>
      </c>
      <c r="C86" s="155" t="e">
        <f>ОИ1!C80</f>
        <v>#REF!</v>
      </c>
      <c r="D86" s="155" t="e">
        <f>ОИ1!D80</f>
        <v>#REF!</v>
      </c>
      <c r="E86" s="155">
        <f>ОИ1!E80</f>
        <v>0</v>
      </c>
      <c r="F86" s="155">
        <f>ОИ1!F80</f>
        <v>0</v>
      </c>
      <c r="G86" s="155">
        <f>ОИ1!G80</f>
        <v>0</v>
      </c>
      <c r="H86" s="155">
        <f>ОИ1!H80</f>
        <v>0</v>
      </c>
      <c r="I86" s="155">
        <f>ОИ1!I80</f>
        <v>0</v>
      </c>
      <c r="J86" s="155">
        <f>ОИ1!J80</f>
        <v>0</v>
      </c>
      <c r="K86" s="155">
        <f>ОИ1!K80</f>
        <v>0</v>
      </c>
      <c r="L86" s="155">
        <f>ОИ1!L80</f>
        <v>0</v>
      </c>
      <c r="M86" s="155">
        <f>ОИ1!M80</f>
        <v>0</v>
      </c>
      <c r="N86" s="155">
        <f>ОИ1!N80</f>
        <v>0</v>
      </c>
      <c r="O86" s="155">
        <f>ОИ1!O80</f>
        <v>0</v>
      </c>
      <c r="P86" s="155">
        <f>ОИ1!P80</f>
        <v>0</v>
      </c>
      <c r="Q86" s="155">
        <f>ОИ1!Q80</f>
        <v>0</v>
      </c>
      <c r="R86" s="155">
        <f>ОИ1!R80</f>
        <v>0.6812065365128589</v>
      </c>
    </row>
    <row r="87" spans="1:18" ht="15.75" x14ac:dyDescent="0.25">
      <c r="A87" s="161">
        <v>80</v>
      </c>
      <c r="B87" s="161" t="s">
        <v>80</v>
      </c>
      <c r="C87" s="155" t="e">
        <f>ОИ1!C81</f>
        <v>#REF!</v>
      </c>
      <c r="D87" s="155" t="e">
        <f>ОИ1!D81</f>
        <v>#REF!</v>
      </c>
      <c r="E87" s="155">
        <f>ОИ1!E81</f>
        <v>0</v>
      </c>
      <c r="F87" s="155">
        <f>ОИ1!F81</f>
        <v>0</v>
      </c>
      <c r="G87" s="155">
        <f>ОИ1!G81</f>
        <v>0</v>
      </c>
      <c r="H87" s="155">
        <f>ОИ1!H81</f>
        <v>0</v>
      </c>
      <c r="I87" s="155">
        <f>ОИ1!I81</f>
        <v>0</v>
      </c>
      <c r="J87" s="155">
        <f>ОИ1!J81</f>
        <v>0</v>
      </c>
      <c r="K87" s="155">
        <f>ОИ1!K81</f>
        <v>0</v>
      </c>
      <c r="L87" s="155">
        <f>ОИ1!L81</f>
        <v>0</v>
      </c>
      <c r="M87" s="155">
        <f>ОИ1!M81</f>
        <v>0</v>
      </c>
      <c r="N87" s="155">
        <f>ОИ1!N81</f>
        <v>0</v>
      </c>
      <c r="O87" s="155">
        <f>ОИ1!O81</f>
        <v>0</v>
      </c>
      <c r="P87" s="155">
        <f>ОИ1!P81</f>
        <v>0</v>
      </c>
      <c r="Q87" s="155">
        <f>ОИ1!Q81</f>
        <v>0</v>
      </c>
      <c r="R87" s="155">
        <f>ОИ1!R81</f>
        <v>0.74555688145501797</v>
      </c>
    </row>
    <row r="88" spans="1:18" ht="15.75" x14ac:dyDescent="0.25">
      <c r="A88" s="161">
        <v>81</v>
      </c>
      <c r="B88" s="161" t="s">
        <v>81</v>
      </c>
      <c r="C88" s="155" t="e">
        <f>ОИ1!C82</f>
        <v>#REF!</v>
      </c>
      <c r="D88" s="155" t="e">
        <f>ОИ1!D82</f>
        <v>#REF!</v>
      </c>
      <c r="E88" s="155">
        <f>ОИ1!E82</f>
        <v>0</v>
      </c>
      <c r="F88" s="155">
        <f>ОИ1!F82</f>
        <v>0</v>
      </c>
      <c r="G88" s="155">
        <f>ОИ1!G82</f>
        <v>0</v>
      </c>
      <c r="H88" s="155">
        <f>ОИ1!H82</f>
        <v>0</v>
      </c>
      <c r="I88" s="155">
        <f>ОИ1!I82</f>
        <v>0</v>
      </c>
      <c r="J88" s="155">
        <f>ОИ1!J82</f>
        <v>0</v>
      </c>
      <c r="K88" s="155">
        <f>ОИ1!K82</f>
        <v>0</v>
      </c>
      <c r="L88" s="155">
        <f>ОИ1!L82</f>
        <v>0</v>
      </c>
      <c r="M88" s="155">
        <f>ОИ1!M82</f>
        <v>0</v>
      </c>
      <c r="N88" s="155">
        <f>ОИ1!N82</f>
        <v>0</v>
      </c>
      <c r="O88" s="155">
        <f>ОИ1!O82</f>
        <v>0</v>
      </c>
      <c r="P88" s="155">
        <f>ОИ1!P82</f>
        <v>0</v>
      </c>
      <c r="Q88" s="155">
        <f>ОИ1!Q82</f>
        <v>0</v>
      </c>
      <c r="R88" s="155">
        <f>ОИ1!R82</f>
        <v>0.47374689411837662</v>
      </c>
    </row>
    <row r="89" spans="1:18" ht="15.75" x14ac:dyDescent="0.25">
      <c r="A89" s="161">
        <v>82</v>
      </c>
      <c r="B89" s="161" t="s">
        <v>82</v>
      </c>
      <c r="C89" s="155" t="e">
        <f>ОИ1!C83</f>
        <v>#REF!</v>
      </c>
      <c r="D89" s="155" t="e">
        <f>ОИ1!D83</f>
        <v>#REF!</v>
      </c>
      <c r="E89" s="155">
        <f>ОИ1!E83</f>
        <v>0</v>
      </c>
      <c r="F89" s="155">
        <f>ОИ1!F83</f>
        <v>0</v>
      </c>
      <c r="G89" s="155">
        <f>ОИ1!G83</f>
        <v>0</v>
      </c>
      <c r="H89" s="155">
        <f>ОИ1!H83</f>
        <v>0</v>
      </c>
      <c r="I89" s="155">
        <f>ОИ1!I83</f>
        <v>0</v>
      </c>
      <c r="J89" s="155">
        <f>ОИ1!J83</f>
        <v>0</v>
      </c>
      <c r="K89" s="155">
        <f>ОИ1!K83</f>
        <v>0</v>
      </c>
      <c r="L89" s="155">
        <f>ОИ1!L83</f>
        <v>0</v>
      </c>
      <c r="M89" s="155">
        <f>ОИ1!M83</f>
        <v>0</v>
      </c>
      <c r="N89" s="155">
        <f>ОИ1!N83</f>
        <v>0</v>
      </c>
      <c r="O89" s="155">
        <f>ОИ1!O83</f>
        <v>0</v>
      </c>
      <c r="P89" s="155">
        <f>ОИ1!P83</f>
        <v>0</v>
      </c>
      <c r="Q89" s="155">
        <f>ОИ1!Q83</f>
        <v>0</v>
      </c>
      <c r="R89" s="155">
        <f>ОИ1!R83</f>
        <v>0.71710988540470344</v>
      </c>
    </row>
    <row r="93" spans="1:18" ht="30.75" customHeight="1" x14ac:dyDescent="0.25"/>
    <row r="94" spans="1:18" ht="34.5" customHeight="1" x14ac:dyDescent="0.25"/>
    <row r="95" spans="1:18" ht="30" customHeight="1" x14ac:dyDescent="0.25"/>
    <row r="97" spans="1:18" ht="30.75" customHeight="1" x14ac:dyDescent="0.25"/>
    <row r="98" spans="1:18" ht="30" customHeight="1" x14ac:dyDescent="0.25"/>
    <row r="99" spans="1:18" ht="30" customHeight="1" x14ac:dyDescent="0.25"/>
    <row r="100" spans="1:18" ht="34.5" customHeight="1" x14ac:dyDescent="0.25"/>
    <row r="101" spans="1:18" ht="23.25" customHeight="1" x14ac:dyDescent="0.25"/>
    <row r="103" spans="1:18" ht="15.75" x14ac:dyDescent="0.25">
      <c r="A103" s="84" t="s">
        <v>0</v>
      </c>
      <c r="B103" s="84"/>
      <c r="C103" s="84">
        <v>2005</v>
      </c>
      <c r="D103" s="84">
        <v>2006</v>
      </c>
      <c r="E103" s="84">
        <v>2007</v>
      </c>
      <c r="F103" s="84">
        <v>2008</v>
      </c>
      <c r="G103" s="84">
        <v>2009</v>
      </c>
      <c r="H103" s="84">
        <v>2010</v>
      </c>
      <c r="I103" s="84">
        <v>2011</v>
      </c>
      <c r="J103" s="84">
        <v>2012</v>
      </c>
      <c r="K103" s="84">
        <v>2013</v>
      </c>
      <c r="L103" s="84">
        <v>2014</v>
      </c>
      <c r="M103" s="84">
        <v>2015</v>
      </c>
      <c r="N103" s="84">
        <v>2016</v>
      </c>
      <c r="O103" s="84">
        <v>2017</v>
      </c>
      <c r="P103" s="84">
        <v>2018</v>
      </c>
      <c r="Q103" s="84">
        <v>2019</v>
      </c>
      <c r="R103" s="84">
        <v>2020</v>
      </c>
    </row>
    <row r="104" spans="1:18" ht="15.75" x14ac:dyDescent="0.25">
      <c r="A104" s="84">
        <v>74</v>
      </c>
      <c r="B104" s="84" t="s">
        <v>74</v>
      </c>
      <c r="C104" s="160" t="e">
        <f>ОИ2!C75</f>
        <v>#REF!</v>
      </c>
      <c r="D104" s="160" t="e">
        <f>ОИ2!D75</f>
        <v>#REF!</v>
      </c>
      <c r="E104" s="160">
        <f>ОИ2!E75</f>
        <v>0</v>
      </c>
      <c r="F104" s="160">
        <f>ОИ2!F75</f>
        <v>0</v>
      </c>
      <c r="G104" s="160">
        <f>ОИ2!G75</f>
        <v>0</v>
      </c>
      <c r="H104" s="160">
        <f>ОИ2!H75</f>
        <v>0</v>
      </c>
      <c r="I104" s="160">
        <f>ОИ2!I75</f>
        <v>0</v>
      </c>
      <c r="J104" s="160">
        <f>ОИ2!J75</f>
        <v>0</v>
      </c>
      <c r="K104" s="160">
        <f>ОИ2!K75</f>
        <v>0</v>
      </c>
      <c r="L104" s="160">
        <f>ОИ2!L75</f>
        <v>0</v>
      </c>
      <c r="M104" s="160">
        <f>ОИ2!M75</f>
        <v>0</v>
      </c>
      <c r="N104" s="160">
        <f>ОИ2!N75</f>
        <v>0</v>
      </c>
      <c r="O104" s="160">
        <f>ОИ2!O75</f>
        <v>0</v>
      </c>
      <c r="P104" s="160">
        <f>ОИ2!P75</f>
        <v>0</v>
      </c>
      <c r="Q104" s="160">
        <f>ОИ2!Q75</f>
        <v>0</v>
      </c>
      <c r="R104" s="160">
        <f>ОИ2!R75</f>
        <v>9.0593135385013193E-2</v>
      </c>
    </row>
    <row r="105" spans="1:18" ht="15.75" x14ac:dyDescent="0.25">
      <c r="A105" s="84">
        <v>75</v>
      </c>
      <c r="B105" s="84" t="s">
        <v>75</v>
      </c>
      <c r="C105" s="160" t="e">
        <f>ОИ2!C76</f>
        <v>#REF!</v>
      </c>
      <c r="D105" s="160" t="e">
        <f>ОИ2!D76</f>
        <v>#REF!</v>
      </c>
      <c r="E105" s="160">
        <f>ОИ2!E76</f>
        <v>0</v>
      </c>
      <c r="F105" s="160">
        <f>ОИ2!F76</f>
        <v>0</v>
      </c>
      <c r="G105" s="160">
        <f>ОИ2!G76</f>
        <v>0</v>
      </c>
      <c r="H105" s="160">
        <f>ОИ2!H76</f>
        <v>0</v>
      </c>
      <c r="I105" s="160">
        <f>ОИ2!I76</f>
        <v>0</v>
      </c>
      <c r="J105" s="160">
        <f>ОИ2!J76</f>
        <v>0</v>
      </c>
      <c r="K105" s="160">
        <f>ОИ2!K76</f>
        <v>0</v>
      </c>
      <c r="L105" s="160">
        <f>ОИ2!L76</f>
        <v>0</v>
      </c>
      <c r="M105" s="160">
        <f>ОИ2!M76</f>
        <v>0</v>
      </c>
      <c r="N105" s="160">
        <f>ОИ2!N76</f>
        <v>0</v>
      </c>
      <c r="O105" s="160">
        <f>ОИ2!O76</f>
        <v>0</v>
      </c>
      <c r="P105" s="160">
        <f>ОИ2!P76</f>
        <v>0</v>
      </c>
      <c r="Q105" s="160">
        <f>ОИ2!Q76</f>
        <v>0</v>
      </c>
      <c r="R105" s="160">
        <f>ОИ2!R76</f>
        <v>0.17125178092778079</v>
      </c>
    </row>
    <row r="106" spans="1:18" ht="15.75" x14ac:dyDescent="0.25">
      <c r="A106" s="84">
        <v>76</v>
      </c>
      <c r="B106" s="84" t="s">
        <v>76</v>
      </c>
      <c r="C106" s="160" t="e">
        <f>ОИ2!C77</f>
        <v>#REF!</v>
      </c>
      <c r="D106" s="160" t="e">
        <f>ОИ2!D77</f>
        <v>#REF!</v>
      </c>
      <c r="E106" s="160">
        <f>ОИ2!E77</f>
        <v>0</v>
      </c>
      <c r="F106" s="160">
        <f>ОИ2!F77</f>
        <v>0</v>
      </c>
      <c r="G106" s="160">
        <f>ОИ2!G77</f>
        <v>0</v>
      </c>
      <c r="H106" s="160">
        <f>ОИ2!H77</f>
        <v>0</v>
      </c>
      <c r="I106" s="160">
        <f>ОИ2!I77</f>
        <v>0</v>
      </c>
      <c r="J106" s="160">
        <f>ОИ2!J77</f>
        <v>0</v>
      </c>
      <c r="K106" s="160">
        <f>ОИ2!K77</f>
        <v>0</v>
      </c>
      <c r="L106" s="160">
        <f>ОИ2!L77</f>
        <v>0</v>
      </c>
      <c r="M106" s="160">
        <f>ОИ2!M77</f>
        <v>0</v>
      </c>
      <c r="N106" s="160">
        <f>ОИ2!N77</f>
        <v>0</v>
      </c>
      <c r="O106" s="160">
        <f>ОИ2!O77</f>
        <v>0</v>
      </c>
      <c r="P106" s="160">
        <f>ОИ2!P77</f>
        <v>0</v>
      </c>
      <c r="Q106" s="160">
        <f>ОИ2!Q77</f>
        <v>0</v>
      </c>
      <c r="R106" s="160">
        <f>ОИ2!R77</f>
        <v>7.5286339334004235E-2</v>
      </c>
    </row>
    <row r="107" spans="1:18" ht="15.75" x14ac:dyDescent="0.25">
      <c r="A107" s="84">
        <v>77</v>
      </c>
      <c r="B107" s="84" t="s">
        <v>77</v>
      </c>
      <c r="C107" s="160" t="e">
        <f>ОИ2!C78</f>
        <v>#REF!</v>
      </c>
      <c r="D107" s="160" t="e">
        <f>ОИ2!D78</f>
        <v>#REF!</v>
      </c>
      <c r="E107" s="160">
        <f>ОИ2!E78</f>
        <v>0</v>
      </c>
      <c r="F107" s="160">
        <f>ОИ2!F78</f>
        <v>0</v>
      </c>
      <c r="G107" s="160">
        <f>ОИ2!G78</f>
        <v>0</v>
      </c>
      <c r="H107" s="160">
        <f>ОИ2!H78</f>
        <v>0</v>
      </c>
      <c r="I107" s="160">
        <f>ОИ2!I78</f>
        <v>0</v>
      </c>
      <c r="J107" s="160">
        <f>ОИ2!J78</f>
        <v>0</v>
      </c>
      <c r="K107" s="160">
        <f>ОИ2!K78</f>
        <v>0</v>
      </c>
      <c r="L107" s="160">
        <f>ОИ2!L78</f>
        <v>0</v>
      </c>
      <c r="M107" s="160">
        <f>ОИ2!M78</f>
        <v>0</v>
      </c>
      <c r="N107" s="160">
        <f>ОИ2!N78</f>
        <v>0</v>
      </c>
      <c r="O107" s="160">
        <f>ОИ2!O78</f>
        <v>0</v>
      </c>
      <c r="P107" s="160">
        <f>ОИ2!P78</f>
        <v>0</v>
      </c>
      <c r="Q107" s="160">
        <f>ОИ2!Q78</f>
        <v>0</v>
      </c>
      <c r="R107" s="160">
        <f>ОИ2!R78</f>
        <v>0.42171395084581426</v>
      </c>
    </row>
    <row r="108" spans="1:18" ht="15.75" x14ac:dyDescent="0.25">
      <c r="A108" s="84">
        <v>78</v>
      </c>
      <c r="B108" s="84" t="s">
        <v>78</v>
      </c>
      <c r="C108" s="160" t="e">
        <f>ОИ2!C79</f>
        <v>#REF!</v>
      </c>
      <c r="D108" s="160" t="e">
        <f>ОИ2!D79</f>
        <v>#REF!</v>
      </c>
      <c r="E108" s="160">
        <f>ОИ2!E79</f>
        <v>0</v>
      </c>
      <c r="F108" s="160">
        <f>ОИ2!F79</f>
        <v>0</v>
      </c>
      <c r="G108" s="160">
        <f>ОИ2!G79</f>
        <v>0</v>
      </c>
      <c r="H108" s="160">
        <f>ОИ2!H79</f>
        <v>0</v>
      </c>
      <c r="I108" s="160">
        <f>ОИ2!I79</f>
        <v>0</v>
      </c>
      <c r="J108" s="160">
        <f>ОИ2!J79</f>
        <v>0</v>
      </c>
      <c r="K108" s="160">
        <f>ОИ2!K79</f>
        <v>0</v>
      </c>
      <c r="L108" s="160">
        <f>ОИ2!L79</f>
        <v>0</v>
      </c>
      <c r="M108" s="160">
        <f>ОИ2!M79</f>
        <v>0</v>
      </c>
      <c r="N108" s="160">
        <f>ОИ2!N79</f>
        <v>0</v>
      </c>
      <c r="O108" s="160">
        <f>ОИ2!O79</f>
        <v>0</v>
      </c>
      <c r="P108" s="160">
        <f>ОИ2!P79</f>
        <v>0</v>
      </c>
      <c r="Q108" s="160">
        <f>ОИ2!Q79</f>
        <v>0</v>
      </c>
      <c r="R108" s="160">
        <f>ОИ2!R79</f>
        <v>5.6181019795041275E-2</v>
      </c>
    </row>
    <row r="109" spans="1:18" ht="15.75" x14ac:dyDescent="0.25">
      <c r="A109" s="84">
        <v>79</v>
      </c>
      <c r="B109" s="84" t="s">
        <v>79</v>
      </c>
      <c r="C109" s="160" t="e">
        <f>ОИ2!C80</f>
        <v>#REF!</v>
      </c>
      <c r="D109" s="160" t="e">
        <f>ОИ2!D80</f>
        <v>#REF!</v>
      </c>
      <c r="E109" s="160">
        <f>ОИ2!E80</f>
        <v>0</v>
      </c>
      <c r="F109" s="160">
        <f>ОИ2!F80</f>
        <v>0</v>
      </c>
      <c r="G109" s="160">
        <f>ОИ2!G80</f>
        <v>0</v>
      </c>
      <c r="H109" s="160">
        <f>ОИ2!H80</f>
        <v>0</v>
      </c>
      <c r="I109" s="160">
        <f>ОИ2!I80</f>
        <v>0</v>
      </c>
      <c r="J109" s="160">
        <f>ОИ2!J80</f>
        <v>0</v>
      </c>
      <c r="K109" s="160">
        <f>ОИ2!K80</f>
        <v>0</v>
      </c>
      <c r="L109" s="160">
        <f>ОИ2!L80</f>
        <v>0</v>
      </c>
      <c r="M109" s="160">
        <f>ОИ2!M80</f>
        <v>0</v>
      </c>
      <c r="N109" s="160">
        <f>ОИ2!N80</f>
        <v>0</v>
      </c>
      <c r="O109" s="160">
        <f>ОИ2!O80</f>
        <v>0</v>
      </c>
      <c r="P109" s="160">
        <f>ОИ2!P80</f>
        <v>0</v>
      </c>
      <c r="Q109" s="160">
        <f>ОИ2!Q80</f>
        <v>0</v>
      </c>
      <c r="R109" s="160">
        <f>ОИ2!R80</f>
        <v>9.3832120450454859E-2</v>
      </c>
    </row>
    <row r="110" spans="1:18" ht="15.75" x14ac:dyDescent="0.25">
      <c r="A110" s="84">
        <v>80</v>
      </c>
      <c r="B110" s="84" t="s">
        <v>80</v>
      </c>
      <c r="C110" s="160" t="e">
        <f>ОИ2!C81</f>
        <v>#REF!</v>
      </c>
      <c r="D110" s="160" t="e">
        <f>ОИ2!D81</f>
        <v>#REF!</v>
      </c>
      <c r="E110" s="160">
        <f>ОИ2!E81</f>
        <v>0</v>
      </c>
      <c r="F110" s="160">
        <f>ОИ2!F81</f>
        <v>0</v>
      </c>
      <c r="G110" s="160">
        <f>ОИ2!G81</f>
        <v>0</v>
      </c>
      <c r="H110" s="160">
        <f>ОИ2!H81</f>
        <v>0</v>
      </c>
      <c r="I110" s="160">
        <f>ОИ2!I81</f>
        <v>0</v>
      </c>
      <c r="J110" s="160">
        <f>ОИ2!J81</f>
        <v>0</v>
      </c>
      <c r="K110" s="160">
        <f>ОИ2!K81</f>
        <v>0</v>
      </c>
      <c r="L110" s="160">
        <f>ОИ2!L81</f>
        <v>0</v>
      </c>
      <c r="M110" s="160">
        <f>ОИ2!M81</f>
        <v>0</v>
      </c>
      <c r="N110" s="160">
        <f>ОИ2!N81</f>
        <v>0</v>
      </c>
      <c r="O110" s="160">
        <f>ОИ2!O81</f>
        <v>0</v>
      </c>
      <c r="P110" s="160">
        <f>ОИ2!P81</f>
        <v>0</v>
      </c>
      <c r="Q110" s="160">
        <f>ОИ2!Q81</f>
        <v>0</v>
      </c>
      <c r="R110" s="160">
        <f>ОИ2!R81</f>
        <v>0.2260641550543098</v>
      </c>
    </row>
    <row r="111" spans="1:18" ht="15.75" x14ac:dyDescent="0.25">
      <c r="A111" s="84">
        <v>81</v>
      </c>
      <c r="B111" s="84" t="s">
        <v>81</v>
      </c>
      <c r="C111" s="160">
        <f>ОИ2!C82</f>
        <v>0</v>
      </c>
      <c r="D111" s="160" t="e">
        <f>ОИ2!D82</f>
        <v>#REF!</v>
      </c>
      <c r="E111" s="160">
        <f>ОИ2!E82</f>
        <v>0</v>
      </c>
      <c r="F111" s="160">
        <f>ОИ2!F82</f>
        <v>0</v>
      </c>
      <c r="G111" s="160">
        <f>ОИ2!G82</f>
        <v>0</v>
      </c>
      <c r="H111" s="160">
        <f>ОИ2!H82</f>
        <v>0</v>
      </c>
      <c r="I111" s="160">
        <f>ОИ2!I82</f>
        <v>0</v>
      </c>
      <c r="J111" s="160">
        <f>ОИ2!J82</f>
        <v>0</v>
      </c>
      <c r="K111" s="160">
        <f>ОИ2!K82</f>
        <v>0</v>
      </c>
      <c r="L111" s="160">
        <f>ОИ2!L82</f>
        <v>0</v>
      </c>
      <c r="M111" s="160">
        <f>ОИ2!M82</f>
        <v>0</v>
      </c>
      <c r="N111" s="160">
        <f>ОИ2!N82</f>
        <v>0</v>
      </c>
      <c r="O111" s="160">
        <f>ОИ2!O82</f>
        <v>0</v>
      </c>
      <c r="P111" s="160">
        <f>ОИ2!P82</f>
        <v>0</v>
      </c>
      <c r="Q111" s="160">
        <f>ОИ2!Q82</f>
        <v>0</v>
      </c>
      <c r="R111" s="160">
        <f>ОИ2!R82</f>
        <v>4.4408166905799934E-2</v>
      </c>
    </row>
    <row r="112" spans="1:18" ht="15.75" x14ac:dyDescent="0.25">
      <c r="A112" s="84">
        <v>82</v>
      </c>
      <c r="B112" s="84" t="s">
        <v>82</v>
      </c>
      <c r="C112" s="160">
        <f>ОИ2!C83</f>
        <v>0</v>
      </c>
      <c r="D112" s="160" t="e">
        <f>ОИ2!D83</f>
        <v>#REF!</v>
      </c>
      <c r="E112" s="160">
        <f>ОИ2!E83</f>
        <v>0</v>
      </c>
      <c r="F112" s="160">
        <f>ОИ2!F83</f>
        <v>0</v>
      </c>
      <c r="G112" s="160">
        <f>ОИ2!G83</f>
        <v>0</v>
      </c>
      <c r="H112" s="160">
        <f>ОИ2!H83</f>
        <v>0</v>
      </c>
      <c r="I112" s="160">
        <f>ОИ2!I83</f>
        <v>0</v>
      </c>
      <c r="J112" s="160">
        <f>ОИ2!J83</f>
        <v>0</v>
      </c>
      <c r="K112" s="160">
        <f>ОИ2!K83</f>
        <v>0</v>
      </c>
      <c r="L112" s="160">
        <f>ОИ2!L83</f>
        <v>0</v>
      </c>
      <c r="M112" s="160">
        <f>ОИ2!M83</f>
        <v>0</v>
      </c>
      <c r="N112" s="160">
        <f>ОИ2!N83</f>
        <v>0</v>
      </c>
      <c r="O112" s="160">
        <f>ОИ2!O83</f>
        <v>0</v>
      </c>
      <c r="P112" s="160">
        <f>ОИ2!P83</f>
        <v>0</v>
      </c>
      <c r="Q112" s="160">
        <f>ОИ2!Q83</f>
        <v>0</v>
      </c>
      <c r="R112" s="160">
        <f>ОИ2!R83</f>
        <v>5.5507656801527298E-2</v>
      </c>
    </row>
    <row r="119" ht="25.5" customHeight="1" x14ac:dyDescent="0.25"/>
    <row r="120" ht="23.25" customHeight="1" x14ac:dyDescent="0.25"/>
    <row r="122" ht="22.5" customHeight="1" x14ac:dyDescent="0.25"/>
    <row r="123" ht="32.25" customHeight="1" x14ac:dyDescent="0.25"/>
    <row r="124" ht="35.25" customHeight="1" x14ac:dyDescent="0.25"/>
    <row r="125" ht="57.75" customHeight="1" x14ac:dyDescent="0.25"/>
    <row r="129" spans="1:18" ht="15.75" x14ac:dyDescent="0.25">
      <c r="A129" s="84" t="s">
        <v>0</v>
      </c>
      <c r="B129" s="84"/>
      <c r="C129" s="84">
        <v>2005</v>
      </c>
      <c r="D129" s="84">
        <v>2006</v>
      </c>
      <c r="E129" s="84">
        <v>2007</v>
      </c>
      <c r="F129" s="84">
        <v>2008</v>
      </c>
      <c r="G129" s="84">
        <v>2009</v>
      </c>
      <c r="H129" s="84">
        <v>2010</v>
      </c>
      <c r="I129" s="84">
        <v>2011</v>
      </c>
      <c r="J129" s="84">
        <v>2012</v>
      </c>
      <c r="K129" s="84">
        <v>2013</v>
      </c>
      <c r="L129" s="84">
        <v>2014</v>
      </c>
      <c r="M129" s="84">
        <v>2015</v>
      </c>
      <c r="N129" s="84">
        <v>2016</v>
      </c>
      <c r="O129" s="84">
        <v>2017</v>
      </c>
      <c r="P129" s="84">
        <v>2018</v>
      </c>
      <c r="Q129" s="84">
        <v>2019</v>
      </c>
      <c r="R129" s="84">
        <v>2020</v>
      </c>
    </row>
    <row r="130" spans="1:18" ht="15.75" x14ac:dyDescent="0.25">
      <c r="A130" s="84">
        <v>74</v>
      </c>
      <c r="B130" s="84" t="s">
        <v>74</v>
      </c>
      <c r="C130" s="160" t="e">
        <f>ОИ3!C75</f>
        <v>#REF!</v>
      </c>
      <c r="D130" s="160" t="e">
        <f>ОИ3!D75</f>
        <v>#REF!</v>
      </c>
      <c r="E130" s="160">
        <f>ОИ3!E75</f>
        <v>0</v>
      </c>
      <c r="F130" s="160">
        <f>ОИ3!F75</f>
        <v>0</v>
      </c>
      <c r="G130" s="160">
        <f>ОИ3!G75</f>
        <v>0</v>
      </c>
      <c r="H130" s="160">
        <f>ОИ3!H75</f>
        <v>0</v>
      </c>
      <c r="I130" s="160">
        <f>ОИ3!I75</f>
        <v>0</v>
      </c>
      <c r="J130" s="160">
        <f>ОИ3!J75</f>
        <v>0</v>
      </c>
      <c r="K130" s="160">
        <f>ОИ3!K75</f>
        <v>0</v>
      </c>
      <c r="L130" s="160">
        <f>ОИ3!L75</f>
        <v>0</v>
      </c>
      <c r="M130" s="160">
        <f>ОИ3!M75</f>
        <v>0</v>
      </c>
      <c r="N130" s="160">
        <f>ОИ3!N75</f>
        <v>0</v>
      </c>
      <c r="O130" s="160">
        <f>ОИ3!O75</f>
        <v>0</v>
      </c>
      <c r="P130" s="160">
        <f>ОИ3!P75</f>
        <v>0</v>
      </c>
      <c r="Q130" s="160">
        <f>ОИ3!Q75</f>
        <v>0</v>
      </c>
      <c r="R130" s="160">
        <f>ОИ3!R75</f>
        <v>0.59202072470099709</v>
      </c>
    </row>
    <row r="131" spans="1:18" ht="15.75" x14ac:dyDescent="0.25">
      <c r="A131" s="84">
        <v>75</v>
      </c>
      <c r="B131" s="84" t="s">
        <v>75</v>
      </c>
      <c r="C131" s="160" t="e">
        <f>ОИ3!C76</f>
        <v>#REF!</v>
      </c>
      <c r="D131" s="160" t="e">
        <f>ОИ3!D76</f>
        <v>#REF!</v>
      </c>
      <c r="E131" s="160">
        <f>ОИ3!E76</f>
        <v>0</v>
      </c>
      <c r="F131" s="160">
        <f>ОИ3!F76</f>
        <v>0</v>
      </c>
      <c r="G131" s="160">
        <f>ОИ3!G76</f>
        <v>0</v>
      </c>
      <c r="H131" s="160">
        <f>ОИ3!H76</f>
        <v>0</v>
      </c>
      <c r="I131" s="160">
        <f>ОИ3!I76</f>
        <v>0</v>
      </c>
      <c r="J131" s="160">
        <f>ОИ3!J76</f>
        <v>0</v>
      </c>
      <c r="K131" s="160">
        <f>ОИ3!K76</f>
        <v>0</v>
      </c>
      <c r="L131" s="160">
        <f>ОИ3!L76</f>
        <v>0</v>
      </c>
      <c r="M131" s="160">
        <f>ОИ3!M76</f>
        <v>0</v>
      </c>
      <c r="N131" s="160">
        <f>ОИ3!N76</f>
        <v>0</v>
      </c>
      <c r="O131" s="160">
        <f>ОИ3!O76</f>
        <v>0</v>
      </c>
      <c r="P131" s="160">
        <f>ОИ3!P76</f>
        <v>0</v>
      </c>
      <c r="Q131" s="160">
        <f>ОИ3!Q76</f>
        <v>0</v>
      </c>
      <c r="R131" s="160">
        <f>ОИ3!R76</f>
        <v>0.58002338354522998</v>
      </c>
    </row>
    <row r="132" spans="1:18" ht="15.75" x14ac:dyDescent="0.25">
      <c r="A132" s="84">
        <v>76</v>
      </c>
      <c r="B132" s="84" t="s">
        <v>76</v>
      </c>
      <c r="C132" s="160" t="e">
        <f>ОИ3!C77</f>
        <v>#REF!</v>
      </c>
      <c r="D132" s="160" t="e">
        <f>ОИ3!D77</f>
        <v>#REF!</v>
      </c>
      <c r="E132" s="160">
        <f>ОИ3!E77</f>
        <v>0</v>
      </c>
      <c r="F132" s="160">
        <f>ОИ3!F77</f>
        <v>0</v>
      </c>
      <c r="G132" s="160">
        <f>ОИ3!G77</f>
        <v>0</v>
      </c>
      <c r="H132" s="160">
        <f>ОИ3!H77</f>
        <v>0</v>
      </c>
      <c r="I132" s="160">
        <f>ОИ3!I77</f>
        <v>0</v>
      </c>
      <c r="J132" s="160">
        <f>ОИ3!J77</f>
        <v>0</v>
      </c>
      <c r="K132" s="160">
        <f>ОИ3!K77</f>
        <v>0</v>
      </c>
      <c r="L132" s="160">
        <f>ОИ3!L77</f>
        <v>0</v>
      </c>
      <c r="M132" s="160">
        <f>ОИ3!M77</f>
        <v>0</v>
      </c>
      <c r="N132" s="160">
        <f>ОИ3!N77</f>
        <v>0</v>
      </c>
      <c r="O132" s="160">
        <f>ОИ3!O77</f>
        <v>0</v>
      </c>
      <c r="P132" s="160">
        <f>ОИ3!P77</f>
        <v>0</v>
      </c>
      <c r="Q132" s="160">
        <f>ОИ3!Q77</f>
        <v>0</v>
      </c>
      <c r="R132" s="160">
        <f>ОИ3!R77</f>
        <v>0.453012359110539</v>
      </c>
    </row>
    <row r="133" spans="1:18" ht="15.75" x14ac:dyDescent="0.25">
      <c r="A133" s="84">
        <v>77</v>
      </c>
      <c r="B133" s="84" t="s">
        <v>77</v>
      </c>
      <c r="C133" s="160" t="e">
        <f>ОИ3!C78</f>
        <v>#REF!</v>
      </c>
      <c r="D133" s="160" t="e">
        <f>ОИ3!D78</f>
        <v>#REF!</v>
      </c>
      <c r="E133" s="160">
        <f>ОИ3!E78</f>
        <v>0</v>
      </c>
      <c r="F133" s="160">
        <f>ОИ3!F78</f>
        <v>0</v>
      </c>
      <c r="G133" s="160">
        <f>ОИ3!G78</f>
        <v>0</v>
      </c>
      <c r="H133" s="160">
        <f>ОИ3!H78</f>
        <v>0</v>
      </c>
      <c r="I133" s="160">
        <f>ОИ3!I78</f>
        <v>0</v>
      </c>
      <c r="J133" s="160">
        <f>ОИ3!J78</f>
        <v>0</v>
      </c>
      <c r="K133" s="160">
        <f>ОИ3!K78</f>
        <v>0</v>
      </c>
      <c r="L133" s="160">
        <f>ОИ3!L78</f>
        <v>0</v>
      </c>
      <c r="M133" s="160">
        <f>ОИ3!M78</f>
        <v>0</v>
      </c>
      <c r="N133" s="160">
        <f>ОИ3!N78</f>
        <v>0</v>
      </c>
      <c r="O133" s="160">
        <f>ОИ3!O78</f>
        <v>0</v>
      </c>
      <c r="P133" s="160">
        <f>ОИ3!P78</f>
        <v>0</v>
      </c>
      <c r="Q133" s="160">
        <f>ОИ3!Q78</f>
        <v>0</v>
      </c>
      <c r="R133" s="160">
        <f>ОИ3!R78</f>
        <v>0.57039341401185106</v>
      </c>
    </row>
    <row r="134" spans="1:18" ht="15.75" x14ac:dyDescent="0.25">
      <c r="A134" s="84">
        <v>78</v>
      </c>
      <c r="B134" s="84" t="s">
        <v>78</v>
      </c>
      <c r="C134" s="160" t="e">
        <f>ОИ3!C79</f>
        <v>#REF!</v>
      </c>
      <c r="D134" s="160" t="e">
        <f>ОИ3!D79</f>
        <v>#REF!</v>
      </c>
      <c r="E134" s="160">
        <f>ОИ3!E79</f>
        <v>0</v>
      </c>
      <c r="F134" s="160">
        <f>ОИ3!F79</f>
        <v>0</v>
      </c>
      <c r="G134" s="160">
        <f>ОИ3!G79</f>
        <v>0</v>
      </c>
      <c r="H134" s="160">
        <f>ОИ3!H79</f>
        <v>0</v>
      </c>
      <c r="I134" s="160">
        <f>ОИ3!I79</f>
        <v>0</v>
      </c>
      <c r="J134" s="160">
        <f>ОИ3!J79</f>
        <v>0</v>
      </c>
      <c r="K134" s="160">
        <f>ОИ3!K79</f>
        <v>0</v>
      </c>
      <c r="L134" s="160">
        <f>ОИ3!L79</f>
        <v>0</v>
      </c>
      <c r="M134" s="160">
        <f>ОИ3!M79</f>
        <v>0</v>
      </c>
      <c r="N134" s="160">
        <f>ОИ3!N79</f>
        <v>0</v>
      </c>
      <c r="O134" s="160">
        <f>ОИ3!O79</f>
        <v>0</v>
      </c>
      <c r="P134" s="160">
        <f>ОИ3!P79</f>
        <v>0</v>
      </c>
      <c r="Q134" s="160">
        <f>ОИ3!Q79</f>
        <v>0</v>
      </c>
      <c r="R134" s="160">
        <f>ОИ3!R79</f>
        <v>0.45990212202718633</v>
      </c>
    </row>
    <row r="135" spans="1:18" ht="15.75" x14ac:dyDescent="0.25">
      <c r="A135" s="84">
        <v>79</v>
      </c>
      <c r="B135" s="84" t="s">
        <v>79</v>
      </c>
      <c r="C135" s="160" t="e">
        <f>ОИ3!C80</f>
        <v>#REF!</v>
      </c>
      <c r="D135" s="160" t="e">
        <f>ОИ3!D80</f>
        <v>#REF!</v>
      </c>
      <c r="E135" s="160">
        <f>ОИ3!E80</f>
        <v>0</v>
      </c>
      <c r="F135" s="160">
        <f>ОИ3!F80</f>
        <v>0</v>
      </c>
      <c r="G135" s="160">
        <f>ОИ3!G80</f>
        <v>0</v>
      </c>
      <c r="H135" s="160">
        <f>ОИ3!H80</f>
        <v>0</v>
      </c>
      <c r="I135" s="160">
        <f>ОИ3!I80</f>
        <v>0</v>
      </c>
      <c r="J135" s="160">
        <f>ОИ3!J80</f>
        <v>0</v>
      </c>
      <c r="K135" s="160">
        <f>ОИ3!K80</f>
        <v>0</v>
      </c>
      <c r="L135" s="160">
        <f>ОИ3!L80</f>
        <v>0</v>
      </c>
      <c r="M135" s="160">
        <f>ОИ3!M80</f>
        <v>0</v>
      </c>
      <c r="N135" s="160">
        <f>ОИ3!N80</f>
        <v>0</v>
      </c>
      <c r="O135" s="160">
        <f>ОИ3!O80</f>
        <v>0</v>
      </c>
      <c r="P135" s="160">
        <f>ОИ3!P80</f>
        <v>0</v>
      </c>
      <c r="Q135" s="160">
        <f>ОИ3!Q80</f>
        <v>0</v>
      </c>
      <c r="R135" s="160">
        <f>ОИ3!R80</f>
        <v>0.61701283404234164</v>
      </c>
    </row>
    <row r="136" spans="1:18" ht="15.75" x14ac:dyDescent="0.25">
      <c r="A136" s="84">
        <v>80</v>
      </c>
      <c r="B136" s="84" t="s">
        <v>80</v>
      </c>
      <c r="C136" s="160" t="e">
        <f>ОИ3!C81</f>
        <v>#REF!</v>
      </c>
      <c r="D136" s="160" t="e">
        <f>ОИ3!D81</f>
        <v>#REF!</v>
      </c>
      <c r="E136" s="160">
        <f>ОИ3!E81</f>
        <v>0</v>
      </c>
      <c r="F136" s="160">
        <f>ОИ3!F81</f>
        <v>0</v>
      </c>
      <c r="G136" s="160">
        <f>ОИ3!G81</f>
        <v>0</v>
      </c>
      <c r="H136" s="160">
        <f>ОИ3!H81</f>
        <v>0</v>
      </c>
      <c r="I136" s="160">
        <f>ОИ3!I81</f>
        <v>0</v>
      </c>
      <c r="J136" s="160">
        <f>ОИ3!J81</f>
        <v>0</v>
      </c>
      <c r="K136" s="160">
        <f>ОИ3!K81</f>
        <v>0</v>
      </c>
      <c r="L136" s="160">
        <f>ОИ3!L81</f>
        <v>0</v>
      </c>
      <c r="M136" s="160">
        <f>ОИ3!M81</f>
        <v>0</v>
      </c>
      <c r="N136" s="160">
        <f>ОИ3!N81</f>
        <v>0</v>
      </c>
      <c r="O136" s="160">
        <f>ОИ3!O81</f>
        <v>0</v>
      </c>
      <c r="P136" s="160">
        <f>ОИ3!P81</f>
        <v>0</v>
      </c>
      <c r="Q136" s="160">
        <f>ОИ3!Q81</f>
        <v>0</v>
      </c>
      <c r="R136" s="160">
        <f>ОИ3!R81</f>
        <v>0.63160537735361932</v>
      </c>
    </row>
    <row r="137" spans="1:18" ht="15.75" x14ac:dyDescent="0.25">
      <c r="A137" s="84">
        <v>81</v>
      </c>
      <c r="B137" s="84" t="s">
        <v>81</v>
      </c>
      <c r="C137" s="160" t="e">
        <f>ОИ3!C82</f>
        <v>#REF!</v>
      </c>
      <c r="D137" s="160" t="e">
        <f>ОИ3!D82</f>
        <v>#REF!</v>
      </c>
      <c r="E137" s="160">
        <f>ОИ3!E82</f>
        <v>0</v>
      </c>
      <c r="F137" s="160">
        <f>ОИ3!F82</f>
        <v>0</v>
      </c>
      <c r="G137" s="160">
        <f>ОИ3!G82</f>
        <v>0</v>
      </c>
      <c r="H137" s="160">
        <f>ОИ3!H82</f>
        <v>0</v>
      </c>
      <c r="I137" s="160">
        <f>ОИ3!I82</f>
        <v>0</v>
      </c>
      <c r="J137" s="160">
        <f>ОИ3!J82</f>
        <v>0</v>
      </c>
      <c r="K137" s="160">
        <f>ОИ3!K82</f>
        <v>0</v>
      </c>
      <c r="L137" s="160">
        <f>ОИ3!L82</f>
        <v>0</v>
      </c>
      <c r="M137" s="160">
        <f>ОИ3!M82</f>
        <v>0</v>
      </c>
      <c r="N137" s="160">
        <f>ОИ3!N82</f>
        <v>0</v>
      </c>
      <c r="O137" s="160">
        <f>ОИ3!O82</f>
        <v>0</v>
      </c>
      <c r="P137" s="160">
        <f>ОИ3!P82</f>
        <v>0</v>
      </c>
      <c r="Q137" s="160">
        <f>ОИ3!Q82</f>
        <v>0</v>
      </c>
      <c r="R137" s="160">
        <f>ОИ3!R82</f>
        <v>0.32736498090218807</v>
      </c>
    </row>
    <row r="138" spans="1:18" ht="15.75" x14ac:dyDescent="0.25">
      <c r="A138" s="84">
        <v>82</v>
      </c>
      <c r="B138" s="84" t="s">
        <v>82</v>
      </c>
      <c r="C138" s="160" t="e">
        <f>ОИ3!C83</f>
        <v>#REF!</v>
      </c>
      <c r="D138" s="160" t="e">
        <f>ОИ3!D83</f>
        <v>#REF!</v>
      </c>
      <c r="E138" s="160">
        <f>ОИ3!E83</f>
        <v>0</v>
      </c>
      <c r="F138" s="160">
        <f>ОИ3!F83</f>
        <v>0</v>
      </c>
      <c r="G138" s="160">
        <f>ОИ3!G83</f>
        <v>0</v>
      </c>
      <c r="H138" s="160">
        <f>ОИ3!H83</f>
        <v>0</v>
      </c>
      <c r="I138" s="160">
        <f>ОИ3!I83</f>
        <v>0</v>
      </c>
      <c r="J138" s="160">
        <f>ОИ3!J83</f>
        <v>0</v>
      </c>
      <c r="K138" s="160">
        <f>ОИ3!K83</f>
        <v>0</v>
      </c>
      <c r="L138" s="160">
        <f>ОИ3!L83</f>
        <v>0</v>
      </c>
      <c r="M138" s="160">
        <f>ОИ3!M83</f>
        <v>0</v>
      </c>
      <c r="N138" s="160">
        <f>ОИ3!N83</f>
        <v>0</v>
      </c>
      <c r="O138" s="160">
        <f>ОИ3!O83</f>
        <v>0</v>
      </c>
      <c r="P138" s="160">
        <f>ОИ3!P83</f>
        <v>0</v>
      </c>
      <c r="Q138" s="160">
        <f>ОИ3!Q83</f>
        <v>0</v>
      </c>
      <c r="R138" s="160">
        <f>ОИ3!R83</f>
        <v>0.61305700283293341</v>
      </c>
    </row>
    <row r="140" spans="1:18" ht="21.75" customHeight="1" x14ac:dyDescent="0.25"/>
    <row r="141" spans="1:18" ht="30" customHeight="1" x14ac:dyDescent="0.25"/>
    <row r="142" spans="1:18" ht="45" customHeight="1" x14ac:dyDescent="0.25"/>
    <row r="143" spans="1:18" ht="35.25" customHeight="1" x14ac:dyDescent="0.25"/>
    <row r="144" spans="1:18" ht="30.75" customHeight="1" x14ac:dyDescent="0.25"/>
    <row r="145" spans="1:18" ht="30" customHeight="1" x14ac:dyDescent="0.25"/>
    <row r="146" spans="1:18" ht="33.75" customHeight="1" x14ac:dyDescent="0.25"/>
    <row r="147" spans="1:18" ht="27" customHeight="1" x14ac:dyDescent="0.25"/>
    <row r="148" spans="1:18" ht="29.25" customHeight="1" x14ac:dyDescent="0.25"/>
    <row r="149" spans="1:18" ht="30" customHeight="1" x14ac:dyDescent="0.25"/>
    <row r="151" spans="1:18" ht="15.75" x14ac:dyDescent="0.25">
      <c r="A151" s="84" t="s">
        <v>0</v>
      </c>
      <c r="B151" s="84"/>
      <c r="C151" s="84">
        <v>2005</v>
      </c>
      <c r="D151" s="84">
        <v>2006</v>
      </c>
      <c r="E151" s="84">
        <v>2007</v>
      </c>
      <c r="F151" s="84">
        <v>2008</v>
      </c>
      <c r="G151" s="84">
        <v>2009</v>
      </c>
      <c r="H151" s="84">
        <v>2010</v>
      </c>
      <c r="I151" s="84">
        <v>2011</v>
      </c>
      <c r="J151" s="84">
        <v>2012</v>
      </c>
      <c r="K151" s="84">
        <v>2013</v>
      </c>
      <c r="L151" s="84">
        <v>2014</v>
      </c>
      <c r="M151" s="84">
        <v>2015</v>
      </c>
      <c r="N151" s="84">
        <v>2016</v>
      </c>
      <c r="O151" s="84">
        <v>2017</v>
      </c>
      <c r="P151" s="84">
        <v>2018</v>
      </c>
      <c r="Q151" s="84">
        <v>2019</v>
      </c>
      <c r="R151" s="84">
        <v>2020</v>
      </c>
    </row>
    <row r="152" spans="1:18" ht="15.75" x14ac:dyDescent="0.25">
      <c r="A152" s="84">
        <v>74</v>
      </c>
      <c r="B152" s="84" t="s">
        <v>74</v>
      </c>
      <c r="C152" s="160" t="e">
        <f>ОИ4!C75</f>
        <v>#REF!</v>
      </c>
      <c r="D152" s="160" t="e">
        <f>ОИ4!D75</f>
        <v>#REF!</v>
      </c>
      <c r="E152" s="160">
        <f>ОИ4!E75</f>
        <v>0</v>
      </c>
      <c r="F152" s="160">
        <f>ОИ4!F75</f>
        <v>0</v>
      </c>
      <c r="G152" s="160">
        <f>ОИ4!G75</f>
        <v>0</v>
      </c>
      <c r="H152" s="160">
        <f>ОИ4!H75</f>
        <v>0</v>
      </c>
      <c r="I152" s="160">
        <f>ОИ4!I75</f>
        <v>0</v>
      </c>
      <c r="J152" s="160">
        <f>ОИ4!J75</f>
        <v>0</v>
      </c>
      <c r="K152" s="160">
        <f>ОИ4!K75</f>
        <v>0</v>
      </c>
      <c r="L152" s="160">
        <f>ОИ4!L75</f>
        <v>0</v>
      </c>
      <c r="M152" s="160">
        <f>ОИ4!M75</f>
        <v>0</v>
      </c>
      <c r="N152" s="160">
        <f>ОИ4!N75</f>
        <v>0</v>
      </c>
      <c r="O152" s="160">
        <f>ОИ4!O75</f>
        <v>0</v>
      </c>
      <c r="P152" s="160">
        <f>ОИ4!P75</f>
        <v>0</v>
      </c>
      <c r="Q152" s="160">
        <f>ОИ4!Q75</f>
        <v>0</v>
      </c>
      <c r="R152" s="160">
        <f>ОИ4!R75</f>
        <v>0.477571758986163</v>
      </c>
    </row>
    <row r="153" spans="1:18" ht="15.75" x14ac:dyDescent="0.25">
      <c r="A153" s="84">
        <v>75</v>
      </c>
      <c r="B153" s="84" t="s">
        <v>75</v>
      </c>
      <c r="C153" s="160" t="e">
        <f>ОИ4!C76</f>
        <v>#REF!</v>
      </c>
      <c r="D153" s="160" t="e">
        <f>ОИ4!D76</f>
        <v>#REF!</v>
      </c>
      <c r="E153" s="160">
        <f>ОИ4!E76</f>
        <v>0</v>
      </c>
      <c r="F153" s="160">
        <f>ОИ4!F76</f>
        <v>0</v>
      </c>
      <c r="G153" s="160">
        <f>ОИ4!G76</f>
        <v>0</v>
      </c>
      <c r="H153" s="160">
        <f>ОИ4!H76</f>
        <v>0</v>
      </c>
      <c r="I153" s="160">
        <f>ОИ4!I76</f>
        <v>0</v>
      </c>
      <c r="J153" s="160">
        <f>ОИ4!J76</f>
        <v>0</v>
      </c>
      <c r="K153" s="160">
        <f>ОИ4!K76</f>
        <v>0</v>
      </c>
      <c r="L153" s="160">
        <f>ОИ4!L76</f>
        <v>0</v>
      </c>
      <c r="M153" s="160">
        <f>ОИ4!M76</f>
        <v>0</v>
      </c>
      <c r="N153" s="160">
        <f>ОИ4!N76</f>
        <v>0</v>
      </c>
      <c r="O153" s="160">
        <f>ОИ4!O76</f>
        <v>0</v>
      </c>
      <c r="P153" s="160">
        <f>ОИ4!P76</f>
        <v>0</v>
      </c>
      <c r="Q153" s="160">
        <f>ОИ4!Q76</f>
        <v>0</v>
      </c>
      <c r="R153" s="160">
        <f>ОИ4!R76</f>
        <v>0.39686388371412368</v>
      </c>
    </row>
    <row r="154" spans="1:18" ht="15.75" x14ac:dyDescent="0.25">
      <c r="A154" s="84">
        <v>76</v>
      </c>
      <c r="B154" s="84" t="s">
        <v>76</v>
      </c>
      <c r="C154" s="160" t="e">
        <f>ОИ4!C77</f>
        <v>#REF!</v>
      </c>
      <c r="D154" s="160" t="e">
        <f>ОИ4!D77</f>
        <v>#REF!</v>
      </c>
      <c r="E154" s="160">
        <f>ОИ4!E77</f>
        <v>0</v>
      </c>
      <c r="F154" s="160">
        <f>ОИ4!F77</f>
        <v>0</v>
      </c>
      <c r="G154" s="160">
        <f>ОИ4!G77</f>
        <v>0</v>
      </c>
      <c r="H154" s="160">
        <f>ОИ4!H77</f>
        <v>0</v>
      </c>
      <c r="I154" s="160">
        <f>ОИ4!I77</f>
        <v>0</v>
      </c>
      <c r="J154" s="160">
        <f>ОИ4!J77</f>
        <v>0</v>
      </c>
      <c r="K154" s="160">
        <f>ОИ4!K77</f>
        <v>0</v>
      </c>
      <c r="L154" s="160">
        <f>ОИ4!L77</f>
        <v>0</v>
      </c>
      <c r="M154" s="160">
        <f>ОИ4!M77</f>
        <v>0</v>
      </c>
      <c r="N154" s="160">
        <f>ОИ4!N77</f>
        <v>0</v>
      </c>
      <c r="O154" s="160">
        <f>ОИ4!O77</f>
        <v>0</v>
      </c>
      <c r="P154" s="160">
        <f>ОИ4!P77</f>
        <v>0</v>
      </c>
      <c r="Q154" s="160">
        <f>ОИ4!Q77</f>
        <v>0</v>
      </c>
      <c r="R154" s="160">
        <f>ОИ4!R77</f>
        <v>0.40409717474687951</v>
      </c>
    </row>
    <row r="155" spans="1:18" ht="15.75" x14ac:dyDescent="0.25">
      <c r="A155" s="84">
        <v>77</v>
      </c>
      <c r="B155" s="84" t="s">
        <v>77</v>
      </c>
      <c r="C155" s="160" t="e">
        <f>ОИ4!C78</f>
        <v>#REF!</v>
      </c>
      <c r="D155" s="160" t="e">
        <f>ОИ4!D78</f>
        <v>#REF!</v>
      </c>
      <c r="E155" s="160">
        <f>ОИ4!E78</f>
        <v>0</v>
      </c>
      <c r="F155" s="160">
        <f>ОИ4!F78</f>
        <v>0</v>
      </c>
      <c r="G155" s="160">
        <f>ОИ4!G78</f>
        <v>0</v>
      </c>
      <c r="H155" s="160">
        <f>ОИ4!H78</f>
        <v>0</v>
      </c>
      <c r="I155" s="160">
        <f>ОИ4!I78</f>
        <v>0</v>
      </c>
      <c r="J155" s="160">
        <f>ОИ4!J78</f>
        <v>0</v>
      </c>
      <c r="K155" s="160">
        <f>ОИ4!K78</f>
        <v>0</v>
      </c>
      <c r="L155" s="160">
        <f>ОИ4!L78</f>
        <v>0</v>
      </c>
      <c r="M155" s="160">
        <f>ОИ4!M78</f>
        <v>0</v>
      </c>
      <c r="N155" s="160">
        <f>ОИ4!N78</f>
        <v>0</v>
      </c>
      <c r="O155" s="160">
        <f>ОИ4!O78</f>
        <v>0</v>
      </c>
      <c r="P155" s="160">
        <f>ОИ4!P78</f>
        <v>0</v>
      </c>
      <c r="Q155" s="160">
        <f>ОИ4!Q78</f>
        <v>0</v>
      </c>
      <c r="R155" s="160">
        <f>ОИ4!R78</f>
        <v>0.36448337917577361</v>
      </c>
    </row>
    <row r="156" spans="1:18" ht="15.75" x14ac:dyDescent="0.25">
      <c r="A156" s="84">
        <v>78</v>
      </c>
      <c r="B156" s="84" t="s">
        <v>78</v>
      </c>
      <c r="C156" s="160" t="e">
        <f>ОИ4!C79</f>
        <v>#REF!</v>
      </c>
      <c r="D156" s="160" t="e">
        <f>ОИ4!D79</f>
        <v>#REF!</v>
      </c>
      <c r="E156" s="160">
        <f>ОИ4!E79</f>
        <v>0</v>
      </c>
      <c r="F156" s="160">
        <f>ОИ4!F79</f>
        <v>0</v>
      </c>
      <c r="G156" s="160">
        <f>ОИ4!G79</f>
        <v>0</v>
      </c>
      <c r="H156" s="160">
        <f>ОИ4!H79</f>
        <v>0</v>
      </c>
      <c r="I156" s="160">
        <f>ОИ4!I79</f>
        <v>0</v>
      </c>
      <c r="J156" s="160">
        <f>ОИ4!J79</f>
        <v>0</v>
      </c>
      <c r="K156" s="160">
        <f>ОИ4!K79</f>
        <v>0</v>
      </c>
      <c r="L156" s="160">
        <f>ОИ4!L79</f>
        <v>0</v>
      </c>
      <c r="M156" s="160">
        <f>ОИ4!M79</f>
        <v>0</v>
      </c>
      <c r="N156" s="160">
        <f>ОИ4!N79</f>
        <v>0</v>
      </c>
      <c r="O156" s="160">
        <f>ОИ4!O79</f>
        <v>0</v>
      </c>
      <c r="P156" s="160">
        <f>ОИ4!P79</f>
        <v>0</v>
      </c>
      <c r="Q156" s="160">
        <f>ОИ4!Q79</f>
        <v>0</v>
      </c>
      <c r="R156" s="160">
        <f>ОИ4!R79</f>
        <v>0.36701436016604988</v>
      </c>
    </row>
    <row r="157" spans="1:18" ht="15.75" x14ac:dyDescent="0.25">
      <c r="A157" s="84">
        <v>79</v>
      </c>
      <c r="B157" s="84" t="s">
        <v>79</v>
      </c>
      <c r="C157" s="160" t="e">
        <f>ОИ4!C80</f>
        <v>#REF!</v>
      </c>
      <c r="D157" s="160" t="e">
        <f>ОИ4!D80</f>
        <v>#REF!</v>
      </c>
      <c r="E157" s="160">
        <f>ОИ4!E80</f>
        <v>0</v>
      </c>
      <c r="F157" s="160">
        <f>ОИ4!F80</f>
        <v>0</v>
      </c>
      <c r="G157" s="160">
        <f>ОИ4!G80</f>
        <v>0</v>
      </c>
      <c r="H157" s="160">
        <f>ОИ4!H80</f>
        <v>0</v>
      </c>
      <c r="I157" s="160">
        <f>ОИ4!I80</f>
        <v>0</v>
      </c>
      <c r="J157" s="160">
        <f>ОИ4!J80</f>
        <v>0</v>
      </c>
      <c r="K157" s="160">
        <f>ОИ4!K80</f>
        <v>0</v>
      </c>
      <c r="L157" s="160">
        <f>ОИ4!L80</f>
        <v>0</v>
      </c>
      <c r="M157" s="160">
        <f>ОИ4!M80</f>
        <v>0</v>
      </c>
      <c r="N157" s="160">
        <f>ОИ4!N80</f>
        <v>0</v>
      </c>
      <c r="O157" s="160">
        <f>ОИ4!O80</f>
        <v>0</v>
      </c>
      <c r="P157" s="160">
        <f>ОИ4!P80</f>
        <v>0</v>
      </c>
      <c r="Q157" s="160">
        <f>ОИ4!Q80</f>
        <v>0</v>
      </c>
      <c r="R157" s="160">
        <f>ОИ4!R80</f>
        <v>0.37072066164115797</v>
      </c>
    </row>
    <row r="158" spans="1:18" ht="15.75" x14ac:dyDescent="0.25">
      <c r="A158" s="84">
        <v>80</v>
      </c>
      <c r="B158" s="84" t="s">
        <v>80</v>
      </c>
      <c r="C158" s="160" t="e">
        <f>ОИ4!C81</f>
        <v>#REF!</v>
      </c>
      <c r="D158" s="160" t="e">
        <f>ОИ4!D81</f>
        <v>#REF!</v>
      </c>
      <c r="E158" s="160">
        <f>ОИ4!E81</f>
        <v>0</v>
      </c>
      <c r="F158" s="160">
        <f>ОИ4!F81</f>
        <v>0</v>
      </c>
      <c r="G158" s="160">
        <f>ОИ4!G81</f>
        <v>0</v>
      </c>
      <c r="H158" s="160">
        <f>ОИ4!H81</f>
        <v>0</v>
      </c>
      <c r="I158" s="160">
        <f>ОИ4!I81</f>
        <v>0</v>
      </c>
      <c r="J158" s="160">
        <f>ОИ4!J81</f>
        <v>0</v>
      </c>
      <c r="K158" s="160">
        <f>ОИ4!K81</f>
        <v>0</v>
      </c>
      <c r="L158" s="160">
        <f>ОИ4!L81</f>
        <v>0</v>
      </c>
      <c r="M158" s="160">
        <f>ОИ4!M81</f>
        <v>0</v>
      </c>
      <c r="N158" s="160">
        <f>ОИ4!N81</f>
        <v>0</v>
      </c>
      <c r="O158" s="160">
        <f>ОИ4!O81</f>
        <v>0</v>
      </c>
      <c r="P158" s="160">
        <f>ОИ4!P81</f>
        <v>0</v>
      </c>
      <c r="Q158" s="160">
        <f>ОИ4!Q81</f>
        <v>0</v>
      </c>
      <c r="R158" s="160">
        <f>ОИ4!R81</f>
        <v>0.51149957316241823</v>
      </c>
    </row>
    <row r="159" spans="1:18" ht="15.75" x14ac:dyDescent="0.25">
      <c r="A159" s="84">
        <v>81</v>
      </c>
      <c r="B159" s="84" t="s">
        <v>81</v>
      </c>
      <c r="C159" s="160" t="e">
        <f>ОИ4!C82</f>
        <v>#REF!</v>
      </c>
      <c r="D159" s="160" t="e">
        <f>ОИ4!D82</f>
        <v>#REF!</v>
      </c>
      <c r="E159" s="160">
        <f>ОИ4!E82</f>
        <v>0</v>
      </c>
      <c r="F159" s="160">
        <f>ОИ4!F82</f>
        <v>0</v>
      </c>
      <c r="G159" s="160">
        <f>ОИ4!G82</f>
        <v>0</v>
      </c>
      <c r="H159" s="160">
        <f>ОИ4!H82</f>
        <v>0</v>
      </c>
      <c r="I159" s="160">
        <f>ОИ4!I82</f>
        <v>0</v>
      </c>
      <c r="J159" s="160">
        <f>ОИ4!J82</f>
        <v>0</v>
      </c>
      <c r="K159" s="160">
        <f>ОИ4!K82</f>
        <v>0</v>
      </c>
      <c r="L159" s="160">
        <f>ОИ4!L82</f>
        <v>0</v>
      </c>
      <c r="M159" s="160">
        <f>ОИ4!M82</f>
        <v>0</v>
      </c>
      <c r="N159" s="160">
        <f>ОИ4!N82</f>
        <v>0</v>
      </c>
      <c r="O159" s="160">
        <f>ОИ4!O82</f>
        <v>0</v>
      </c>
      <c r="P159" s="160">
        <f>ОИ4!P82</f>
        <v>0</v>
      </c>
      <c r="Q159" s="160">
        <f>ОИ4!Q82</f>
        <v>0</v>
      </c>
      <c r="R159" s="160">
        <f>ОИ4!R82</f>
        <v>0.30188840059135441</v>
      </c>
    </row>
    <row r="160" spans="1:18" ht="15.75" x14ac:dyDescent="0.25">
      <c r="A160" s="84">
        <v>82</v>
      </c>
      <c r="B160" s="84" t="s">
        <v>82</v>
      </c>
      <c r="C160" s="160" t="e">
        <f>ОИ4!C83</f>
        <v>#REF!</v>
      </c>
      <c r="D160" s="160" t="e">
        <f>ОИ4!D83</f>
        <v>#REF!</v>
      </c>
      <c r="E160" s="160">
        <f>ОИ4!E83</f>
        <v>0</v>
      </c>
      <c r="F160" s="160">
        <f>ОИ4!F83</f>
        <v>0</v>
      </c>
      <c r="G160" s="160">
        <f>ОИ4!G83</f>
        <v>0</v>
      </c>
      <c r="H160" s="160">
        <f>ОИ4!H83</f>
        <v>0</v>
      </c>
      <c r="I160" s="160">
        <f>ОИ4!I83</f>
        <v>0</v>
      </c>
      <c r="J160" s="160">
        <f>ОИ4!J83</f>
        <v>0</v>
      </c>
      <c r="K160" s="160">
        <f>ОИ4!K83</f>
        <v>0</v>
      </c>
      <c r="L160" s="160">
        <f>ОИ4!L83</f>
        <v>0</v>
      </c>
      <c r="M160" s="160">
        <f>ОИ4!M83</f>
        <v>0</v>
      </c>
      <c r="N160" s="160">
        <f>ОИ4!N83</f>
        <v>0</v>
      </c>
      <c r="O160" s="160">
        <f>ОИ4!O83</f>
        <v>0</v>
      </c>
      <c r="P160" s="160">
        <f>ОИ4!P83</f>
        <v>0</v>
      </c>
      <c r="Q160" s="160">
        <f>ОИ4!Q83</f>
        <v>0</v>
      </c>
      <c r="R160" s="160">
        <f>ОИ4!R83</f>
        <v>0.3341803509206116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R83"/>
  <sheetViews>
    <sheetView topLeftCell="A49" zoomScale="90" zoomScaleNormal="90" workbookViewId="0">
      <selection activeCell="A75" sqref="A75:R83"/>
    </sheetView>
  </sheetViews>
  <sheetFormatPr defaultRowHeight="15.75" x14ac:dyDescent="0.25"/>
  <cols>
    <col min="1" max="1" width="9.140625" style="80"/>
    <col min="2" max="2" width="36.140625" style="80" customWidth="1"/>
    <col min="3" max="3" width="9.7109375" style="80" customWidth="1"/>
    <col min="4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91" t="e">
        <f>('13.1н'!#REF!+'13.2н'!#REF!+'13.3н'!#REF!)/3</f>
        <v>#REF!</v>
      </c>
      <c r="D2" s="91" t="e">
        <f>('13.1н'!#REF!+'13.2н'!#REF!+'13.3н'!#REF!)/3</f>
        <v>#REF!</v>
      </c>
      <c r="E2" s="91">
        <f>('13.1н'!E2+'13.2н'!E2+'13.3н'!E2)/3</f>
        <v>0</v>
      </c>
      <c r="F2" s="91">
        <f>('13.1н'!F2+'13.2н'!F2+'13.3н'!F2)/3</f>
        <v>0</v>
      </c>
      <c r="G2" s="91">
        <f>('13.1н'!G2+'13.2н'!G2+'13.3н'!G2)/3</f>
        <v>0</v>
      </c>
      <c r="H2" s="91">
        <f>('13.1н'!H2+'13.2н'!H2+'13.3н'!H2)/3</f>
        <v>0</v>
      </c>
      <c r="I2" s="91">
        <f>('13.1н'!I2+'13.2н'!I2+'13.3н'!I2)/3</f>
        <v>0</v>
      </c>
      <c r="J2" s="91">
        <f>('13.1н'!J2+'13.2н'!J2+'13.3н'!J2)/3</f>
        <v>0</v>
      </c>
      <c r="K2" s="91">
        <f>('13.1н'!K2+'13.2н'!K2+'13.3н'!K2)/3</f>
        <v>0</v>
      </c>
      <c r="L2" s="91">
        <f>('13.1н'!L2+'13.2н'!L2+'13.3н'!L2)/3</f>
        <v>0</v>
      </c>
      <c r="M2" s="91">
        <f>('13.1н'!M2+'13.2н'!M2+'13.3н'!M2)/3</f>
        <v>0</v>
      </c>
      <c r="N2" s="91">
        <f>('13.1н'!N2+'13.2н'!N2+'13.3н'!N2)/3</f>
        <v>0</v>
      </c>
      <c r="O2" s="91">
        <f>('13.1н'!O2+'13.2н'!O2+'13.3н'!O2)/3</f>
        <v>0</v>
      </c>
      <c r="P2" s="91">
        <f>('13.1н'!P2+'13.2н'!P2+'13.3н'!P2)/3</f>
        <v>0</v>
      </c>
      <c r="Q2" s="91">
        <f>('13.1н'!Q2+'13.2н'!Q2+'13.3н'!Q2)/3</f>
        <v>0</v>
      </c>
      <c r="R2" s="91">
        <f>('13.1н'!B2+'13.2н'!B2+'13.3н'!B2)/3</f>
        <v>0.54288209637287954</v>
      </c>
    </row>
    <row r="3" spans="1:18" x14ac:dyDescent="0.25">
      <c r="A3" s="84">
        <v>2</v>
      </c>
      <c r="B3" s="84" t="s">
        <v>2</v>
      </c>
      <c r="C3" s="91" t="e">
        <f>('13.1н'!#REF!+'13.2н'!#REF!+'13.3н'!#REF!)/3</f>
        <v>#REF!</v>
      </c>
      <c r="D3" s="91" t="e">
        <f>('13.1н'!#REF!+'13.2н'!#REF!+'13.3н'!#REF!)/3</f>
        <v>#REF!</v>
      </c>
      <c r="E3" s="91">
        <f>('13.1н'!E3+'13.2н'!E3+'13.3н'!E3)/3</f>
        <v>0</v>
      </c>
      <c r="F3" s="91">
        <f>('13.1н'!F3+'13.2н'!F3+'13.3н'!F3)/3</f>
        <v>0</v>
      </c>
      <c r="G3" s="91">
        <f>('13.1н'!G3+'13.2н'!G3+'13.3н'!G3)/3</f>
        <v>0</v>
      </c>
      <c r="H3" s="91">
        <f>('13.1н'!H3+'13.2н'!H3+'13.3н'!H3)/3</f>
        <v>0</v>
      </c>
      <c r="I3" s="91">
        <f>('13.1н'!I3+'13.2н'!I3+'13.3н'!I3)/3</f>
        <v>0</v>
      </c>
      <c r="J3" s="91">
        <f>('13.1н'!J3+'13.2н'!J3+'13.3н'!J3)/3</f>
        <v>0</v>
      </c>
      <c r="K3" s="91">
        <f>('13.1н'!K3+'13.2н'!K3+'13.3н'!K3)/3</f>
        <v>0</v>
      </c>
      <c r="L3" s="91">
        <f>('13.1н'!L3+'13.2н'!L3+'13.3н'!L3)/3</f>
        <v>0</v>
      </c>
      <c r="M3" s="91">
        <f>('13.1н'!M3+'13.2н'!M3+'13.3н'!M3)/3</f>
        <v>0</v>
      </c>
      <c r="N3" s="91">
        <f>('13.1н'!N3+'13.2н'!N3+'13.3н'!N3)/3</f>
        <v>0</v>
      </c>
      <c r="O3" s="91">
        <f>('13.1н'!O3+'13.2н'!O3+'13.3н'!O3)/3</f>
        <v>0</v>
      </c>
      <c r="P3" s="91">
        <f>('13.1н'!P3+'13.2н'!P3+'13.3н'!P3)/3</f>
        <v>0</v>
      </c>
      <c r="Q3" s="91">
        <f>('13.1н'!Q3+'13.2н'!Q3+'13.3н'!Q3)/3</f>
        <v>0</v>
      </c>
      <c r="R3" s="91">
        <f>('13.1н'!B3+'13.2н'!B3+'13.3н'!B3)/3</f>
        <v>0.50292317916731966</v>
      </c>
    </row>
    <row r="4" spans="1:18" x14ac:dyDescent="0.25">
      <c r="A4" s="84">
        <v>3</v>
      </c>
      <c r="B4" s="84" t="s">
        <v>3</v>
      </c>
      <c r="C4" s="91" t="e">
        <f>('13.1н'!#REF!+'13.2н'!#REF!+'13.3н'!#REF!)/3</f>
        <v>#REF!</v>
      </c>
      <c r="D4" s="91" t="e">
        <f>('13.1н'!#REF!+'13.2н'!#REF!+'13.3н'!#REF!)/3</f>
        <v>#REF!</v>
      </c>
      <c r="E4" s="91">
        <f>('13.1н'!E4+'13.2н'!E4+'13.3н'!E4)/3</f>
        <v>0</v>
      </c>
      <c r="F4" s="91">
        <f>('13.1н'!F4+'13.2н'!F4+'13.3н'!F4)/3</f>
        <v>0</v>
      </c>
      <c r="G4" s="91">
        <f>('13.1н'!G4+'13.2н'!G4+'13.3н'!G4)/3</f>
        <v>0</v>
      </c>
      <c r="H4" s="91">
        <f>('13.1н'!H4+'13.2н'!H4+'13.3н'!H4)/3</f>
        <v>0</v>
      </c>
      <c r="I4" s="91">
        <f>('13.1н'!I4+'13.2н'!I4+'13.3н'!I4)/3</f>
        <v>0</v>
      </c>
      <c r="J4" s="91">
        <f>('13.1н'!J4+'13.2н'!J4+'13.3н'!J4)/3</f>
        <v>0</v>
      </c>
      <c r="K4" s="91">
        <f>('13.1н'!K4+'13.2н'!K4+'13.3н'!K4)/3</f>
        <v>0</v>
      </c>
      <c r="L4" s="91">
        <f>('13.1н'!L4+'13.2н'!L4+'13.3н'!L4)/3</f>
        <v>0</v>
      </c>
      <c r="M4" s="91">
        <f>('13.1н'!M4+'13.2н'!M4+'13.3н'!M4)/3</f>
        <v>0</v>
      </c>
      <c r="N4" s="91">
        <f>('13.1н'!N4+'13.2н'!N4+'13.3н'!N4)/3</f>
        <v>0</v>
      </c>
      <c r="O4" s="91">
        <f>('13.1н'!O4+'13.2н'!O4+'13.3н'!O4)/3</f>
        <v>0</v>
      </c>
      <c r="P4" s="91">
        <f>('13.1н'!P4+'13.2н'!P4+'13.3н'!P4)/3</f>
        <v>0</v>
      </c>
      <c r="Q4" s="91">
        <f>('13.1н'!Q4+'13.2н'!Q4+'13.3н'!Q4)/3</f>
        <v>0</v>
      </c>
      <c r="R4" s="91">
        <f>('13.1н'!B4+'13.2н'!B4+'13.3н'!B4)/3</f>
        <v>0.58712800150045774</v>
      </c>
    </row>
    <row r="5" spans="1:18" x14ac:dyDescent="0.25">
      <c r="A5" s="84">
        <v>4</v>
      </c>
      <c r="B5" s="84" t="s">
        <v>4</v>
      </c>
      <c r="C5" s="91" t="e">
        <f>('13.1н'!#REF!+'13.2н'!#REF!+'13.3н'!#REF!)/3</f>
        <v>#REF!</v>
      </c>
      <c r="D5" s="91" t="e">
        <f>('13.1н'!#REF!+'13.2н'!#REF!+'13.3н'!#REF!)/3</f>
        <v>#REF!</v>
      </c>
      <c r="E5" s="91">
        <f>('13.1н'!E5+'13.2н'!E5+'13.3н'!E5)/3</f>
        <v>0</v>
      </c>
      <c r="F5" s="91">
        <f>('13.1н'!F5+'13.2н'!F5+'13.3н'!F5)/3</f>
        <v>0</v>
      </c>
      <c r="G5" s="91">
        <f>('13.1н'!G5+'13.2н'!G5+'13.3н'!G5)/3</f>
        <v>0</v>
      </c>
      <c r="H5" s="91">
        <f>('13.1н'!H5+'13.2н'!H5+'13.3н'!H5)/3</f>
        <v>0</v>
      </c>
      <c r="I5" s="91">
        <f>('13.1н'!I5+'13.2н'!I5+'13.3н'!I5)/3</f>
        <v>0</v>
      </c>
      <c r="J5" s="91">
        <f>('13.1н'!J5+'13.2н'!J5+'13.3н'!J5)/3</f>
        <v>0</v>
      </c>
      <c r="K5" s="91">
        <f>('13.1н'!K5+'13.2н'!K5+'13.3н'!K5)/3</f>
        <v>0</v>
      </c>
      <c r="L5" s="91">
        <f>('13.1н'!L5+'13.2н'!L5+'13.3н'!L5)/3</f>
        <v>0</v>
      </c>
      <c r="M5" s="91">
        <f>('13.1н'!M5+'13.2н'!M5+'13.3н'!M5)/3</f>
        <v>0</v>
      </c>
      <c r="N5" s="91">
        <f>('13.1н'!N5+'13.2н'!N5+'13.3н'!N5)/3</f>
        <v>0</v>
      </c>
      <c r="O5" s="91">
        <f>('13.1н'!O5+'13.2н'!O5+'13.3н'!O5)/3</f>
        <v>0</v>
      </c>
      <c r="P5" s="91">
        <f>('13.1н'!P5+'13.2н'!P5+'13.3н'!P5)/3</f>
        <v>0</v>
      </c>
      <c r="Q5" s="91">
        <f>('13.1н'!Q5+'13.2н'!Q5+'13.3н'!Q5)/3</f>
        <v>0</v>
      </c>
      <c r="R5" s="91">
        <f>('13.1н'!B5+'13.2н'!B5+'13.3н'!B5)/3</f>
        <v>0.5854009179540306</v>
      </c>
    </row>
    <row r="6" spans="1:18" x14ac:dyDescent="0.25">
      <c r="A6" s="84">
        <v>5</v>
      </c>
      <c r="B6" s="84" t="s">
        <v>5</v>
      </c>
      <c r="C6" s="91" t="e">
        <f>('13.1н'!#REF!+'13.2н'!#REF!+'13.3н'!#REF!)/3</f>
        <v>#REF!</v>
      </c>
      <c r="D6" s="91" t="e">
        <f>('13.1н'!#REF!+'13.2н'!#REF!+'13.3н'!#REF!)/3</f>
        <v>#REF!</v>
      </c>
      <c r="E6" s="91">
        <f>('13.1н'!E6+'13.2н'!E6+'13.3н'!E6)/3</f>
        <v>0</v>
      </c>
      <c r="F6" s="91">
        <f>('13.1н'!F6+'13.2н'!F6+'13.3н'!F6)/3</f>
        <v>0</v>
      </c>
      <c r="G6" s="91">
        <f>('13.1н'!G6+'13.2н'!G6+'13.3н'!G6)/3</f>
        <v>0</v>
      </c>
      <c r="H6" s="91">
        <f>('13.1н'!H6+'13.2н'!H6+'13.3н'!H6)/3</f>
        <v>0</v>
      </c>
      <c r="I6" s="91">
        <f>('13.1н'!I6+'13.2н'!I6+'13.3н'!I6)/3</f>
        <v>0</v>
      </c>
      <c r="J6" s="91">
        <f>('13.1н'!J6+'13.2н'!J6+'13.3н'!J6)/3</f>
        <v>0</v>
      </c>
      <c r="K6" s="91">
        <f>('13.1н'!K6+'13.2н'!K6+'13.3н'!K6)/3</f>
        <v>0</v>
      </c>
      <c r="L6" s="91">
        <f>('13.1н'!L6+'13.2н'!L6+'13.3н'!L6)/3</f>
        <v>0</v>
      </c>
      <c r="M6" s="91">
        <f>('13.1н'!M6+'13.2н'!M6+'13.3н'!M6)/3</f>
        <v>0</v>
      </c>
      <c r="N6" s="91">
        <f>('13.1н'!N6+'13.2н'!N6+'13.3н'!N6)/3</f>
        <v>0</v>
      </c>
      <c r="O6" s="91">
        <f>('13.1н'!O6+'13.2н'!O6+'13.3н'!O6)/3</f>
        <v>0</v>
      </c>
      <c r="P6" s="91">
        <f>('13.1н'!P6+'13.2н'!P6+'13.3н'!P6)/3</f>
        <v>0</v>
      </c>
      <c r="Q6" s="91">
        <f>('13.1н'!Q6+'13.2н'!Q6+'13.3н'!Q6)/3</f>
        <v>0</v>
      </c>
      <c r="R6" s="91">
        <f>('13.1н'!B6+'13.2н'!B6+'13.3н'!B6)/3</f>
        <v>0.5376647892732177</v>
      </c>
    </row>
    <row r="7" spans="1:18" x14ac:dyDescent="0.25">
      <c r="A7" s="84">
        <v>6</v>
      </c>
      <c r="B7" s="84" t="s">
        <v>6</v>
      </c>
      <c r="C7" s="91" t="e">
        <f>('13.1н'!#REF!+'13.2н'!#REF!+'13.3н'!#REF!)/3</f>
        <v>#REF!</v>
      </c>
      <c r="D7" s="91" t="e">
        <f>('13.1н'!#REF!+'13.2н'!#REF!+'13.3н'!#REF!)/3</f>
        <v>#REF!</v>
      </c>
      <c r="E7" s="91">
        <f>('13.1н'!E7+'13.2н'!E7+'13.3н'!E7)/3</f>
        <v>0</v>
      </c>
      <c r="F7" s="91">
        <f>('13.1н'!F7+'13.2н'!F7+'13.3н'!F7)/3</f>
        <v>0</v>
      </c>
      <c r="G7" s="91">
        <f>('13.1н'!G7+'13.2н'!G7+'13.3н'!G7)/3</f>
        <v>0</v>
      </c>
      <c r="H7" s="91">
        <f>('13.1н'!H7+'13.2н'!H7+'13.3н'!H7)/3</f>
        <v>0</v>
      </c>
      <c r="I7" s="91">
        <f>('13.1н'!I7+'13.2н'!I7+'13.3н'!I7)/3</f>
        <v>0</v>
      </c>
      <c r="J7" s="91">
        <f>('13.1н'!J7+'13.2н'!J7+'13.3н'!J7)/3</f>
        <v>0</v>
      </c>
      <c r="K7" s="91">
        <f>('13.1н'!K7+'13.2н'!K7+'13.3н'!K7)/3</f>
        <v>0</v>
      </c>
      <c r="L7" s="91">
        <f>('13.1н'!L7+'13.2н'!L7+'13.3н'!L7)/3</f>
        <v>0</v>
      </c>
      <c r="M7" s="91">
        <f>('13.1н'!M7+'13.2н'!M7+'13.3н'!M7)/3</f>
        <v>0</v>
      </c>
      <c r="N7" s="91">
        <f>('13.1н'!N7+'13.2н'!N7+'13.3н'!N7)/3</f>
        <v>0</v>
      </c>
      <c r="O7" s="91">
        <f>('13.1н'!O7+'13.2н'!O7+'13.3н'!O7)/3</f>
        <v>0</v>
      </c>
      <c r="P7" s="91">
        <f>('13.1н'!P7+'13.2н'!P7+'13.3н'!P7)/3</f>
        <v>0</v>
      </c>
      <c r="Q7" s="91">
        <f>('13.1н'!Q7+'13.2н'!Q7+'13.3н'!Q7)/3</f>
        <v>0</v>
      </c>
      <c r="R7" s="91">
        <f>('13.1н'!B7+'13.2н'!B7+'13.3н'!B7)/3</f>
        <v>0.66607461098108856</v>
      </c>
    </row>
    <row r="8" spans="1:18" x14ac:dyDescent="0.25">
      <c r="A8" s="84">
        <v>7</v>
      </c>
      <c r="B8" s="84" t="s">
        <v>7</v>
      </c>
      <c r="C8" s="91" t="e">
        <f>('13.1н'!#REF!+'13.2н'!#REF!+'13.3н'!#REF!)/3</f>
        <v>#REF!</v>
      </c>
      <c r="D8" s="91" t="e">
        <f>('13.1н'!#REF!+'13.2н'!#REF!+'13.3н'!#REF!)/3</f>
        <v>#REF!</v>
      </c>
      <c r="E8" s="91">
        <f>('13.1н'!E8+'13.2н'!E8+'13.3н'!E8)/3</f>
        <v>0</v>
      </c>
      <c r="F8" s="91">
        <f>('13.1н'!F8+'13.2н'!F8+'13.3н'!F8)/3</f>
        <v>0</v>
      </c>
      <c r="G8" s="91">
        <f>('13.1н'!G8+'13.2н'!G8+'13.3н'!G8)/3</f>
        <v>0</v>
      </c>
      <c r="H8" s="91">
        <f>('13.1н'!H8+'13.2н'!H8+'13.3н'!H8)/3</f>
        <v>0</v>
      </c>
      <c r="I8" s="91">
        <f>('13.1н'!I8+'13.2н'!I8+'13.3н'!I8)/3</f>
        <v>0</v>
      </c>
      <c r="J8" s="91">
        <f>('13.1н'!J8+'13.2н'!J8+'13.3н'!J8)/3</f>
        <v>0</v>
      </c>
      <c r="K8" s="91">
        <f>('13.1н'!K8+'13.2н'!K8+'13.3н'!K8)/3</f>
        <v>0</v>
      </c>
      <c r="L8" s="91">
        <f>('13.1н'!L8+'13.2н'!L8+'13.3н'!L8)/3</f>
        <v>0</v>
      </c>
      <c r="M8" s="91">
        <f>('13.1н'!M8+'13.2н'!M8+'13.3н'!M8)/3</f>
        <v>0</v>
      </c>
      <c r="N8" s="91">
        <f>('13.1н'!N8+'13.2н'!N8+'13.3н'!N8)/3</f>
        <v>0</v>
      </c>
      <c r="O8" s="91">
        <f>('13.1н'!O8+'13.2н'!O8+'13.3н'!O8)/3</f>
        <v>0</v>
      </c>
      <c r="P8" s="91">
        <f>('13.1н'!P8+'13.2н'!P8+'13.3н'!P8)/3</f>
        <v>0</v>
      </c>
      <c r="Q8" s="91">
        <f>('13.1н'!Q8+'13.2н'!Q8+'13.3н'!Q8)/3</f>
        <v>0</v>
      </c>
      <c r="R8" s="91">
        <f>('13.1н'!B8+'13.2н'!B8+'13.3н'!B8)/3</f>
        <v>0.58807578881150635</v>
      </c>
    </row>
    <row r="9" spans="1:18" x14ac:dyDescent="0.25">
      <c r="A9" s="84">
        <v>8</v>
      </c>
      <c r="B9" s="84" t="s">
        <v>8</v>
      </c>
      <c r="C9" s="91" t="e">
        <f>('13.1н'!#REF!+'13.2н'!#REF!+'13.3н'!#REF!)/3</f>
        <v>#REF!</v>
      </c>
      <c r="D9" s="91" t="e">
        <f>('13.1н'!#REF!+'13.2н'!#REF!+'13.3н'!#REF!)/3</f>
        <v>#REF!</v>
      </c>
      <c r="E9" s="91">
        <f>('13.1н'!E9+'13.2н'!E9+'13.3н'!E9)/3</f>
        <v>0</v>
      </c>
      <c r="F9" s="91">
        <f>('13.1н'!F9+'13.2н'!F9+'13.3н'!F9)/3</f>
        <v>0</v>
      </c>
      <c r="G9" s="91">
        <f>('13.1н'!G9+'13.2н'!G9+'13.3н'!G9)/3</f>
        <v>0</v>
      </c>
      <c r="H9" s="91">
        <f>('13.1н'!H9+'13.2н'!H9+'13.3н'!H9)/3</f>
        <v>0</v>
      </c>
      <c r="I9" s="91">
        <f>('13.1н'!I9+'13.2н'!I9+'13.3н'!I9)/3</f>
        <v>0</v>
      </c>
      <c r="J9" s="91">
        <f>('13.1н'!J9+'13.2н'!J9+'13.3н'!J9)/3</f>
        <v>0</v>
      </c>
      <c r="K9" s="91">
        <f>('13.1н'!K9+'13.2н'!K9+'13.3н'!K9)/3</f>
        <v>0</v>
      </c>
      <c r="L9" s="91">
        <f>('13.1н'!L9+'13.2н'!L9+'13.3н'!L9)/3</f>
        <v>0</v>
      </c>
      <c r="M9" s="91">
        <f>('13.1н'!M9+'13.2н'!M9+'13.3н'!M9)/3</f>
        <v>0</v>
      </c>
      <c r="N9" s="91">
        <f>('13.1н'!N9+'13.2н'!N9+'13.3н'!N9)/3</f>
        <v>0</v>
      </c>
      <c r="O9" s="91">
        <f>('13.1н'!O9+'13.2н'!O9+'13.3н'!O9)/3</f>
        <v>0</v>
      </c>
      <c r="P9" s="91">
        <f>('13.1н'!P9+'13.2н'!P9+'13.3н'!P9)/3</f>
        <v>0</v>
      </c>
      <c r="Q9" s="91">
        <f>('13.1н'!Q9+'13.2н'!Q9+'13.3н'!Q9)/3</f>
        <v>0</v>
      </c>
      <c r="R9" s="91">
        <f>('13.1н'!B9+'13.2н'!B9+'13.3н'!B9)/3</f>
        <v>0.51978623044410799</v>
      </c>
    </row>
    <row r="10" spans="1:18" x14ac:dyDescent="0.25">
      <c r="A10" s="84">
        <v>9</v>
      </c>
      <c r="B10" s="84" t="s">
        <v>9</v>
      </c>
      <c r="C10" s="91" t="e">
        <f>('13.1н'!#REF!+'13.2н'!#REF!+'13.3н'!#REF!)/3</f>
        <v>#REF!</v>
      </c>
      <c r="D10" s="91" t="e">
        <f>('13.1н'!#REF!+'13.2н'!#REF!+'13.3н'!#REF!)/3</f>
        <v>#REF!</v>
      </c>
      <c r="E10" s="91">
        <f>('13.1н'!E10+'13.2н'!E10+'13.3н'!E10)/3</f>
        <v>0</v>
      </c>
      <c r="F10" s="91">
        <f>('13.1н'!F10+'13.2н'!F10+'13.3н'!F10)/3</f>
        <v>0</v>
      </c>
      <c r="G10" s="91">
        <f>('13.1н'!G10+'13.2н'!G10+'13.3н'!G10)/3</f>
        <v>0</v>
      </c>
      <c r="H10" s="91">
        <f>('13.1н'!H10+'13.2н'!H10+'13.3н'!H10)/3</f>
        <v>0</v>
      </c>
      <c r="I10" s="91">
        <f>('13.1н'!I10+'13.2н'!I10+'13.3н'!I10)/3</f>
        <v>0</v>
      </c>
      <c r="J10" s="91">
        <f>('13.1н'!J10+'13.2н'!J10+'13.3н'!J10)/3</f>
        <v>0</v>
      </c>
      <c r="K10" s="91">
        <f>('13.1н'!K10+'13.2н'!K10+'13.3н'!K10)/3</f>
        <v>0</v>
      </c>
      <c r="L10" s="91">
        <f>('13.1н'!L10+'13.2н'!L10+'13.3н'!L10)/3</f>
        <v>0</v>
      </c>
      <c r="M10" s="91">
        <f>('13.1н'!M10+'13.2н'!M10+'13.3н'!M10)/3</f>
        <v>0</v>
      </c>
      <c r="N10" s="91">
        <f>('13.1н'!N10+'13.2н'!N10+'13.3н'!N10)/3</f>
        <v>0</v>
      </c>
      <c r="O10" s="91">
        <f>('13.1н'!O10+'13.2н'!O10+'13.3н'!O10)/3</f>
        <v>0</v>
      </c>
      <c r="P10" s="91">
        <f>('13.1н'!P10+'13.2н'!P10+'13.3н'!P10)/3</f>
        <v>0</v>
      </c>
      <c r="Q10" s="91">
        <f>('13.1н'!Q10+'13.2н'!Q10+'13.3н'!Q10)/3</f>
        <v>0</v>
      </c>
      <c r="R10" s="91">
        <f>('13.1н'!B10+'13.2н'!B10+'13.3н'!B10)/3</f>
        <v>0.49837400788806918</v>
      </c>
    </row>
    <row r="11" spans="1:18" x14ac:dyDescent="0.25">
      <c r="A11" s="84">
        <v>10</v>
      </c>
      <c r="B11" s="84" t="s">
        <v>10</v>
      </c>
      <c r="C11" s="91" t="e">
        <f>('13.1н'!#REF!+'13.2н'!#REF!+'13.3н'!#REF!)/3</f>
        <v>#REF!</v>
      </c>
      <c r="D11" s="91" t="e">
        <f>('13.1н'!#REF!+'13.2н'!#REF!+'13.3н'!#REF!)/3</f>
        <v>#REF!</v>
      </c>
      <c r="E11" s="91">
        <f>('13.1н'!E11+'13.2н'!E11+'13.3н'!E11)/3</f>
        <v>0</v>
      </c>
      <c r="F11" s="91">
        <f>('13.1н'!F11+'13.2н'!F11+'13.3н'!F11)/3</f>
        <v>0</v>
      </c>
      <c r="G11" s="91">
        <f>('13.1н'!G11+'13.2н'!G11+'13.3н'!G11)/3</f>
        <v>0</v>
      </c>
      <c r="H11" s="91">
        <f>('13.1н'!H11+'13.2н'!H11+'13.3н'!H11)/3</f>
        <v>0</v>
      </c>
      <c r="I11" s="91">
        <f>('13.1н'!I11+'13.2н'!I11+'13.3н'!I11)/3</f>
        <v>0</v>
      </c>
      <c r="J11" s="91">
        <f>('13.1н'!J11+'13.2н'!J11+'13.3н'!J11)/3</f>
        <v>0</v>
      </c>
      <c r="K11" s="91">
        <f>('13.1н'!K11+'13.2н'!K11+'13.3н'!K11)/3</f>
        <v>0</v>
      </c>
      <c r="L11" s="91">
        <f>('13.1н'!L11+'13.2н'!L11+'13.3н'!L11)/3</f>
        <v>0</v>
      </c>
      <c r="M11" s="91">
        <f>('13.1н'!M11+'13.2н'!M11+'13.3н'!M11)/3</f>
        <v>0</v>
      </c>
      <c r="N11" s="91">
        <f>('13.1н'!N11+'13.2н'!N11+'13.3н'!N11)/3</f>
        <v>0</v>
      </c>
      <c r="O11" s="91">
        <f>('13.1н'!O11+'13.2н'!O11+'13.3н'!O11)/3</f>
        <v>0</v>
      </c>
      <c r="P11" s="91">
        <f>('13.1н'!P11+'13.2н'!P11+'13.3н'!P11)/3</f>
        <v>0</v>
      </c>
      <c r="Q11" s="91">
        <f>('13.1н'!Q11+'13.2н'!Q11+'13.3н'!Q11)/3</f>
        <v>0</v>
      </c>
      <c r="R11" s="91">
        <f>('13.1н'!B11+'13.2н'!B11+'13.3н'!B11)/3</f>
        <v>0.6959608199870625</v>
      </c>
    </row>
    <row r="12" spans="1:18" x14ac:dyDescent="0.25">
      <c r="A12" s="84">
        <v>11</v>
      </c>
      <c r="B12" s="84" t="s">
        <v>11</v>
      </c>
      <c r="C12" s="91" t="e">
        <f>('13.1н'!#REF!+'13.2н'!#REF!+'13.3н'!#REF!)/3</f>
        <v>#REF!</v>
      </c>
      <c r="D12" s="91" t="e">
        <f>('13.1н'!#REF!+'13.2н'!#REF!+'13.3н'!#REF!)/3</f>
        <v>#REF!</v>
      </c>
      <c r="E12" s="91">
        <f>('13.1н'!E12+'13.2н'!E12+'13.3н'!E12)/3</f>
        <v>0</v>
      </c>
      <c r="F12" s="91">
        <f>('13.1н'!F12+'13.2н'!F12+'13.3н'!F12)/3</f>
        <v>0</v>
      </c>
      <c r="G12" s="91">
        <f>('13.1н'!G12+'13.2н'!G12+'13.3н'!G12)/3</f>
        <v>0</v>
      </c>
      <c r="H12" s="91">
        <f>('13.1н'!H12+'13.2н'!H12+'13.3н'!H12)/3</f>
        <v>0</v>
      </c>
      <c r="I12" s="91">
        <f>('13.1н'!I12+'13.2н'!I12+'13.3н'!I12)/3</f>
        <v>0</v>
      </c>
      <c r="J12" s="91">
        <f>('13.1н'!J12+'13.2н'!J12+'13.3н'!J12)/3</f>
        <v>0</v>
      </c>
      <c r="K12" s="91">
        <f>('13.1н'!K12+'13.2н'!K12+'13.3н'!K12)/3</f>
        <v>0</v>
      </c>
      <c r="L12" s="91">
        <f>('13.1н'!L12+'13.2н'!L12+'13.3н'!L12)/3</f>
        <v>0</v>
      </c>
      <c r="M12" s="91">
        <f>('13.1н'!M12+'13.2н'!M12+'13.3н'!M12)/3</f>
        <v>0</v>
      </c>
      <c r="N12" s="91">
        <f>('13.1н'!N12+'13.2н'!N12+'13.3н'!N12)/3</f>
        <v>0</v>
      </c>
      <c r="O12" s="91">
        <f>('13.1н'!O12+'13.2н'!O12+'13.3н'!O12)/3</f>
        <v>0</v>
      </c>
      <c r="P12" s="91">
        <f>('13.1н'!P12+'13.2н'!P12+'13.3н'!P12)/3</f>
        <v>0</v>
      </c>
      <c r="Q12" s="91">
        <f>('13.1н'!Q12+'13.2н'!Q12+'13.3н'!Q12)/3</f>
        <v>0</v>
      </c>
      <c r="R12" s="91">
        <f>('13.1н'!B12+'13.2н'!B12+'13.3н'!B12)/3</f>
        <v>0.53670868672685434</v>
      </c>
    </row>
    <row r="13" spans="1:18" x14ac:dyDescent="0.25">
      <c r="A13" s="84">
        <v>12</v>
      </c>
      <c r="B13" s="84" t="s">
        <v>12</v>
      </c>
      <c r="C13" s="91" t="e">
        <f>('13.1н'!#REF!+'13.2н'!#REF!+'13.3н'!#REF!)/3</f>
        <v>#REF!</v>
      </c>
      <c r="D13" s="91" t="e">
        <f>('13.1н'!#REF!+'13.2н'!#REF!+'13.3н'!#REF!)/3</f>
        <v>#REF!</v>
      </c>
      <c r="E13" s="91">
        <f>('13.1н'!E13+'13.2н'!E13+'13.3н'!E13)/3</f>
        <v>0</v>
      </c>
      <c r="F13" s="91">
        <f>('13.1н'!F13+'13.2н'!F13+'13.3н'!F13)/3</f>
        <v>0</v>
      </c>
      <c r="G13" s="91">
        <f>('13.1н'!G13+'13.2н'!G13+'13.3н'!G13)/3</f>
        <v>0</v>
      </c>
      <c r="H13" s="91">
        <f>('13.1н'!H13+'13.2н'!H13+'13.3н'!H13)/3</f>
        <v>0</v>
      </c>
      <c r="I13" s="91">
        <f>('13.1н'!I13+'13.2н'!I13+'13.3н'!I13)/3</f>
        <v>0</v>
      </c>
      <c r="J13" s="91">
        <f>('13.1н'!J13+'13.2н'!J13+'13.3н'!J13)/3</f>
        <v>0</v>
      </c>
      <c r="K13" s="91">
        <f>('13.1н'!K13+'13.2н'!K13+'13.3н'!K13)/3</f>
        <v>0</v>
      </c>
      <c r="L13" s="91">
        <f>('13.1н'!L13+'13.2н'!L13+'13.3н'!L13)/3</f>
        <v>0</v>
      </c>
      <c r="M13" s="91">
        <f>('13.1н'!M13+'13.2н'!M13+'13.3н'!M13)/3</f>
        <v>0</v>
      </c>
      <c r="N13" s="91">
        <f>('13.1н'!N13+'13.2н'!N13+'13.3н'!N13)/3</f>
        <v>0</v>
      </c>
      <c r="O13" s="91">
        <f>('13.1н'!O13+'13.2н'!O13+'13.3н'!O13)/3</f>
        <v>0</v>
      </c>
      <c r="P13" s="91">
        <f>('13.1н'!P13+'13.2н'!P13+'13.3н'!P13)/3</f>
        <v>0</v>
      </c>
      <c r="Q13" s="91">
        <f>('13.1н'!Q13+'13.2н'!Q13+'13.3н'!Q13)/3</f>
        <v>0</v>
      </c>
      <c r="R13" s="91">
        <f>('13.1н'!B13+'13.2н'!B13+'13.3н'!B13)/3</f>
        <v>0.6641801579103449</v>
      </c>
    </row>
    <row r="14" spans="1:18" x14ac:dyDescent="0.25">
      <c r="A14" s="84">
        <v>13</v>
      </c>
      <c r="B14" s="84" t="s">
        <v>13</v>
      </c>
      <c r="C14" s="91" t="e">
        <f>('13.1н'!#REF!+'13.2н'!#REF!+'13.3н'!#REF!)/3</f>
        <v>#REF!</v>
      </c>
      <c r="D14" s="91" t="e">
        <f>('13.1н'!#REF!+'13.2н'!#REF!+'13.3н'!#REF!)/3</f>
        <v>#REF!</v>
      </c>
      <c r="E14" s="91">
        <f>('13.1н'!E14+'13.2н'!E14+'13.3н'!E14)/3</f>
        <v>0</v>
      </c>
      <c r="F14" s="91">
        <f>('13.1н'!F14+'13.2н'!F14+'13.3н'!F14)/3</f>
        <v>0</v>
      </c>
      <c r="G14" s="91">
        <f>('13.1н'!G14+'13.2н'!G14+'13.3н'!G14)/3</f>
        <v>0</v>
      </c>
      <c r="H14" s="91">
        <f>('13.1н'!H14+'13.2н'!H14+'13.3н'!H14)/3</f>
        <v>0</v>
      </c>
      <c r="I14" s="91">
        <f>('13.1н'!I14+'13.2н'!I14+'13.3н'!I14)/3</f>
        <v>0</v>
      </c>
      <c r="J14" s="91">
        <f>('13.1н'!J14+'13.2н'!J14+'13.3н'!J14)/3</f>
        <v>0</v>
      </c>
      <c r="K14" s="91">
        <f>('13.1н'!K14+'13.2н'!K14+'13.3н'!K14)/3</f>
        <v>0</v>
      </c>
      <c r="L14" s="91">
        <f>('13.1н'!L14+'13.2н'!L14+'13.3н'!L14)/3</f>
        <v>0</v>
      </c>
      <c r="M14" s="91">
        <f>('13.1н'!M14+'13.2н'!M14+'13.3н'!M14)/3</f>
        <v>0</v>
      </c>
      <c r="N14" s="91">
        <f>('13.1н'!N14+'13.2н'!N14+'13.3н'!N14)/3</f>
        <v>0</v>
      </c>
      <c r="O14" s="91">
        <f>('13.1н'!O14+'13.2н'!O14+'13.3н'!O14)/3</f>
        <v>0</v>
      </c>
      <c r="P14" s="91">
        <f>('13.1н'!P14+'13.2н'!P14+'13.3н'!P14)/3</f>
        <v>0</v>
      </c>
      <c r="Q14" s="91">
        <f>('13.1н'!Q14+'13.2н'!Q14+'13.3н'!Q14)/3</f>
        <v>0</v>
      </c>
      <c r="R14" s="91">
        <f>('13.1н'!B14+'13.2н'!B14+'13.3н'!B14)/3</f>
        <v>0.56642946918381443</v>
      </c>
    </row>
    <row r="15" spans="1:18" x14ac:dyDescent="0.25">
      <c r="A15" s="84">
        <v>14</v>
      </c>
      <c r="B15" s="84" t="s">
        <v>14</v>
      </c>
      <c r="C15" s="91" t="e">
        <f>('13.1н'!#REF!+'13.2н'!#REF!+'13.3н'!#REF!)/3</f>
        <v>#REF!</v>
      </c>
      <c r="D15" s="91" t="e">
        <f>('13.1н'!#REF!+'13.2н'!#REF!+'13.3н'!#REF!)/3</f>
        <v>#REF!</v>
      </c>
      <c r="E15" s="91">
        <f>('13.1н'!E15+'13.2н'!E15+'13.3н'!E15)/3</f>
        <v>0</v>
      </c>
      <c r="F15" s="91">
        <f>('13.1н'!F15+'13.2н'!F15+'13.3н'!F15)/3</f>
        <v>0</v>
      </c>
      <c r="G15" s="91">
        <f>('13.1н'!G15+'13.2н'!G15+'13.3н'!G15)/3</f>
        <v>0</v>
      </c>
      <c r="H15" s="91">
        <f>('13.1н'!H15+'13.2н'!H15+'13.3н'!H15)/3</f>
        <v>0</v>
      </c>
      <c r="I15" s="91">
        <f>('13.1н'!I15+'13.2н'!I15+'13.3н'!I15)/3</f>
        <v>0</v>
      </c>
      <c r="J15" s="91">
        <f>('13.1н'!J15+'13.2н'!J15+'13.3н'!J15)/3</f>
        <v>0</v>
      </c>
      <c r="K15" s="91">
        <f>('13.1н'!K15+'13.2н'!K15+'13.3н'!K15)/3</f>
        <v>0</v>
      </c>
      <c r="L15" s="91">
        <f>('13.1н'!L15+'13.2н'!L15+'13.3н'!L15)/3</f>
        <v>0</v>
      </c>
      <c r="M15" s="91">
        <f>('13.1н'!M15+'13.2н'!M15+'13.3н'!M15)/3</f>
        <v>0</v>
      </c>
      <c r="N15" s="91">
        <f>('13.1н'!N15+'13.2н'!N15+'13.3н'!N15)/3</f>
        <v>0</v>
      </c>
      <c r="O15" s="91">
        <f>('13.1н'!O15+'13.2н'!O15+'13.3н'!O15)/3</f>
        <v>0</v>
      </c>
      <c r="P15" s="91">
        <f>('13.1н'!P15+'13.2н'!P15+'13.3н'!P15)/3</f>
        <v>0</v>
      </c>
      <c r="Q15" s="91">
        <f>('13.1н'!Q15+'13.2н'!Q15+'13.3н'!Q15)/3</f>
        <v>0</v>
      </c>
      <c r="R15" s="91">
        <f>('13.1н'!B15+'13.2н'!B15+'13.3н'!B15)/3</f>
        <v>0.47847945915184553</v>
      </c>
    </row>
    <row r="16" spans="1:18" x14ac:dyDescent="0.25">
      <c r="A16" s="84">
        <v>15</v>
      </c>
      <c r="B16" s="84" t="s">
        <v>15</v>
      </c>
      <c r="C16" s="91" t="e">
        <f>('13.1н'!#REF!+'13.2н'!#REF!+'13.3н'!#REF!)/3</f>
        <v>#REF!</v>
      </c>
      <c r="D16" s="91" t="e">
        <f>('13.1н'!#REF!+'13.2н'!#REF!+'13.3н'!#REF!)/3</f>
        <v>#REF!</v>
      </c>
      <c r="E16" s="91">
        <f>('13.1н'!E16+'13.2н'!E16+'13.3н'!E16)/3</f>
        <v>0</v>
      </c>
      <c r="F16" s="91">
        <f>('13.1н'!F16+'13.2н'!F16+'13.3н'!F16)/3</f>
        <v>0</v>
      </c>
      <c r="G16" s="91">
        <f>('13.1н'!G16+'13.2н'!G16+'13.3н'!G16)/3</f>
        <v>0</v>
      </c>
      <c r="H16" s="91">
        <f>('13.1н'!H16+'13.2н'!H16+'13.3н'!H16)/3</f>
        <v>0</v>
      </c>
      <c r="I16" s="91">
        <f>('13.1н'!I16+'13.2н'!I16+'13.3н'!I16)/3</f>
        <v>0</v>
      </c>
      <c r="J16" s="91">
        <f>('13.1н'!J16+'13.2н'!J16+'13.3н'!J16)/3</f>
        <v>0</v>
      </c>
      <c r="K16" s="91">
        <f>('13.1н'!K16+'13.2н'!K16+'13.3н'!K16)/3</f>
        <v>0</v>
      </c>
      <c r="L16" s="91">
        <f>('13.1н'!L16+'13.2н'!L16+'13.3н'!L16)/3</f>
        <v>0</v>
      </c>
      <c r="M16" s="91">
        <f>('13.1н'!M16+'13.2н'!M16+'13.3н'!M16)/3</f>
        <v>0</v>
      </c>
      <c r="N16" s="91">
        <f>('13.1н'!N16+'13.2н'!N16+'13.3н'!N16)/3</f>
        <v>0</v>
      </c>
      <c r="O16" s="91">
        <f>('13.1н'!O16+'13.2н'!O16+'13.3н'!O16)/3</f>
        <v>0</v>
      </c>
      <c r="P16" s="91">
        <f>('13.1н'!P16+'13.2н'!P16+'13.3н'!P16)/3</f>
        <v>0</v>
      </c>
      <c r="Q16" s="91">
        <f>('13.1н'!Q16+'13.2н'!Q16+'13.3н'!Q16)/3</f>
        <v>0</v>
      </c>
      <c r="R16" s="91">
        <f>('13.1н'!B16+'13.2н'!B16+'13.3н'!B16)/3</f>
        <v>0.58210623990823518</v>
      </c>
    </row>
    <row r="17" spans="1:18" x14ac:dyDescent="0.25">
      <c r="A17" s="84">
        <v>16</v>
      </c>
      <c r="B17" s="84" t="s">
        <v>16</v>
      </c>
      <c r="C17" s="91" t="e">
        <f>('13.1н'!#REF!+'13.2н'!#REF!+'13.3н'!#REF!)/3</f>
        <v>#REF!</v>
      </c>
      <c r="D17" s="91" t="e">
        <f>('13.1н'!#REF!+'13.2н'!#REF!+'13.3н'!#REF!)/3</f>
        <v>#REF!</v>
      </c>
      <c r="E17" s="91">
        <f>('13.1н'!E17+'13.2н'!E17+'13.3н'!E17)/3</f>
        <v>0</v>
      </c>
      <c r="F17" s="91">
        <f>('13.1н'!F17+'13.2н'!F17+'13.3н'!F17)/3</f>
        <v>0</v>
      </c>
      <c r="G17" s="91">
        <f>('13.1н'!G17+'13.2н'!G17+'13.3н'!G17)/3</f>
        <v>0</v>
      </c>
      <c r="H17" s="91">
        <f>('13.1н'!H17+'13.2н'!H17+'13.3н'!H17)/3</f>
        <v>0</v>
      </c>
      <c r="I17" s="91">
        <f>('13.1н'!I17+'13.2н'!I17+'13.3н'!I17)/3</f>
        <v>0</v>
      </c>
      <c r="J17" s="91">
        <f>('13.1н'!J17+'13.2н'!J17+'13.3н'!J17)/3</f>
        <v>0</v>
      </c>
      <c r="K17" s="91">
        <f>('13.1н'!K17+'13.2н'!K17+'13.3н'!K17)/3</f>
        <v>0</v>
      </c>
      <c r="L17" s="91">
        <f>('13.1н'!L17+'13.2н'!L17+'13.3н'!L17)/3</f>
        <v>0</v>
      </c>
      <c r="M17" s="91">
        <f>('13.1н'!M17+'13.2н'!M17+'13.3н'!M17)/3</f>
        <v>0</v>
      </c>
      <c r="N17" s="91">
        <f>('13.1н'!N17+'13.2н'!N17+'13.3н'!N17)/3</f>
        <v>0</v>
      </c>
      <c r="O17" s="91">
        <f>('13.1н'!O17+'13.2н'!O17+'13.3н'!O17)/3</f>
        <v>0</v>
      </c>
      <c r="P17" s="91">
        <f>('13.1н'!P17+'13.2н'!P17+'13.3н'!P17)/3</f>
        <v>0</v>
      </c>
      <c r="Q17" s="91">
        <f>('13.1н'!Q17+'13.2н'!Q17+'13.3н'!Q17)/3</f>
        <v>0</v>
      </c>
      <c r="R17" s="91">
        <f>('13.1н'!B17+'13.2н'!B17+'13.3н'!B17)/3</f>
        <v>0.58216072900123172</v>
      </c>
    </row>
    <row r="18" spans="1:18" x14ac:dyDescent="0.25">
      <c r="A18" s="84">
        <v>17</v>
      </c>
      <c r="B18" s="84" t="s">
        <v>17</v>
      </c>
      <c r="C18" s="91" t="e">
        <f>('13.1н'!#REF!+'13.2н'!#REF!+'13.3н'!#REF!)/3</f>
        <v>#REF!</v>
      </c>
      <c r="D18" s="91" t="e">
        <f>('13.1н'!#REF!+'13.2н'!#REF!+'13.3н'!#REF!)/3</f>
        <v>#REF!</v>
      </c>
      <c r="E18" s="91">
        <f>('13.1н'!E18+'13.2н'!E18+'13.3н'!E18)/3</f>
        <v>0</v>
      </c>
      <c r="F18" s="91">
        <f>('13.1н'!F18+'13.2н'!F18+'13.3н'!F18)/3</f>
        <v>0</v>
      </c>
      <c r="G18" s="91">
        <f>('13.1н'!G18+'13.2н'!G18+'13.3н'!G18)/3</f>
        <v>0</v>
      </c>
      <c r="H18" s="91">
        <f>('13.1н'!H18+'13.2н'!H18+'13.3н'!H18)/3</f>
        <v>0</v>
      </c>
      <c r="I18" s="91">
        <f>('13.1н'!I18+'13.2н'!I18+'13.3н'!I18)/3</f>
        <v>0</v>
      </c>
      <c r="J18" s="91">
        <f>('13.1н'!J18+'13.2н'!J18+'13.3н'!J18)/3</f>
        <v>0</v>
      </c>
      <c r="K18" s="91">
        <f>('13.1н'!K18+'13.2н'!K18+'13.3н'!K18)/3</f>
        <v>0</v>
      </c>
      <c r="L18" s="91">
        <f>('13.1н'!L18+'13.2н'!L18+'13.3н'!L18)/3</f>
        <v>0</v>
      </c>
      <c r="M18" s="91">
        <f>('13.1н'!M18+'13.2н'!M18+'13.3н'!M18)/3</f>
        <v>0</v>
      </c>
      <c r="N18" s="91">
        <f>('13.1н'!N18+'13.2н'!N18+'13.3н'!N18)/3</f>
        <v>0</v>
      </c>
      <c r="O18" s="91">
        <f>('13.1н'!O18+'13.2н'!O18+'13.3н'!O18)/3</f>
        <v>0</v>
      </c>
      <c r="P18" s="91">
        <f>('13.1н'!P18+'13.2н'!P18+'13.3н'!P18)/3</f>
        <v>0</v>
      </c>
      <c r="Q18" s="91">
        <f>('13.1н'!Q18+'13.2н'!Q18+'13.3н'!Q18)/3</f>
        <v>0</v>
      </c>
      <c r="R18" s="91">
        <f>('13.1н'!B18+'13.2н'!B18+'13.3н'!B18)/3</f>
        <v>0.63353421508030161</v>
      </c>
    </row>
    <row r="19" spans="1:18" x14ac:dyDescent="0.25">
      <c r="A19" s="84">
        <v>18</v>
      </c>
      <c r="B19" s="84" t="s">
        <v>18</v>
      </c>
      <c r="C19" s="91" t="e">
        <f>('13.1н'!#REF!+'13.2н'!#REF!+'13.3н'!#REF!)/3</f>
        <v>#REF!</v>
      </c>
      <c r="D19" s="91" t="e">
        <f>('13.1н'!#REF!+'13.2н'!#REF!+'13.3н'!#REF!)/3</f>
        <v>#REF!</v>
      </c>
      <c r="E19" s="91">
        <f>('13.1н'!E19+'13.2н'!E19+'13.3н'!E19)/3</f>
        <v>0</v>
      </c>
      <c r="F19" s="91">
        <f>('13.1н'!F19+'13.2н'!F19+'13.3н'!F19)/3</f>
        <v>0</v>
      </c>
      <c r="G19" s="91">
        <f>('13.1н'!G19+'13.2н'!G19+'13.3н'!G19)/3</f>
        <v>0</v>
      </c>
      <c r="H19" s="91">
        <f>('13.1н'!H19+'13.2н'!H19+'13.3н'!H19)/3</f>
        <v>0</v>
      </c>
      <c r="I19" s="91">
        <f>('13.1н'!I19+'13.2н'!I19+'13.3н'!I19)/3</f>
        <v>0</v>
      </c>
      <c r="J19" s="91">
        <f>('13.1н'!J19+'13.2н'!J19+'13.3н'!J19)/3</f>
        <v>0</v>
      </c>
      <c r="K19" s="91">
        <f>('13.1н'!K19+'13.2н'!K19+'13.3н'!K19)/3</f>
        <v>0</v>
      </c>
      <c r="L19" s="91">
        <f>('13.1н'!L19+'13.2н'!L19+'13.3н'!L19)/3</f>
        <v>0</v>
      </c>
      <c r="M19" s="91">
        <f>('13.1н'!M19+'13.2н'!M19+'13.3н'!M19)/3</f>
        <v>0</v>
      </c>
      <c r="N19" s="91">
        <f>('13.1н'!N19+'13.2н'!N19+'13.3н'!N19)/3</f>
        <v>0</v>
      </c>
      <c r="O19" s="91">
        <f>('13.1н'!O19+'13.2н'!O19+'13.3н'!O19)/3</f>
        <v>0</v>
      </c>
      <c r="P19" s="91">
        <f>('13.1н'!P19+'13.2н'!P19+'13.3н'!P19)/3</f>
        <v>0</v>
      </c>
      <c r="Q19" s="91">
        <f>('13.1н'!Q19+'13.2н'!Q19+'13.3н'!Q19)/3</f>
        <v>0</v>
      </c>
      <c r="R19" s="91">
        <f>('13.1н'!B19+'13.2н'!B19+'13.3н'!B19)/3</f>
        <v>0.80372667016276733</v>
      </c>
    </row>
    <row r="20" spans="1:18" x14ac:dyDescent="0.25">
      <c r="A20" s="84">
        <v>19</v>
      </c>
      <c r="B20" s="84" t="s">
        <v>19</v>
      </c>
      <c r="C20" s="91" t="e">
        <f>('13.1н'!#REF!+'13.2н'!#REF!+'13.3н'!#REF!)/3</f>
        <v>#REF!</v>
      </c>
      <c r="D20" s="91" t="e">
        <f>('13.1н'!#REF!+'13.2н'!#REF!+'13.3н'!#REF!)/3</f>
        <v>#REF!</v>
      </c>
      <c r="E20" s="91">
        <f>('13.1н'!E20+'13.2н'!E20+'13.3н'!E20)/3</f>
        <v>0</v>
      </c>
      <c r="F20" s="91">
        <f>('13.1н'!F20+'13.2н'!F20+'13.3н'!F20)/3</f>
        <v>0</v>
      </c>
      <c r="G20" s="91">
        <f>('13.1н'!G20+'13.2н'!G20+'13.3н'!G20)/3</f>
        <v>0</v>
      </c>
      <c r="H20" s="91">
        <f>('13.1н'!H20+'13.2н'!H20+'13.3н'!H20)/3</f>
        <v>0</v>
      </c>
      <c r="I20" s="91">
        <f>('13.1н'!I20+'13.2н'!I20+'13.3н'!I20)/3</f>
        <v>0</v>
      </c>
      <c r="J20" s="91">
        <f>('13.1н'!J20+'13.2н'!J20+'13.3н'!J20)/3</f>
        <v>0</v>
      </c>
      <c r="K20" s="91">
        <f>('13.1н'!K20+'13.2н'!K20+'13.3н'!K20)/3</f>
        <v>0</v>
      </c>
      <c r="L20" s="91">
        <f>('13.1н'!L20+'13.2н'!L20+'13.3н'!L20)/3</f>
        <v>0</v>
      </c>
      <c r="M20" s="91">
        <f>('13.1н'!M20+'13.2н'!M20+'13.3н'!M20)/3</f>
        <v>0</v>
      </c>
      <c r="N20" s="91">
        <f>('13.1н'!N20+'13.2н'!N20+'13.3н'!N20)/3</f>
        <v>0</v>
      </c>
      <c r="O20" s="91">
        <f>('13.1н'!O20+'13.2н'!O20+'13.3н'!O20)/3</f>
        <v>0</v>
      </c>
      <c r="P20" s="91">
        <f>('13.1н'!P20+'13.2н'!P20+'13.3н'!P20)/3</f>
        <v>0</v>
      </c>
      <c r="Q20" s="91">
        <f>('13.1н'!Q20+'13.2н'!Q20+'13.3н'!Q20)/3</f>
        <v>0</v>
      </c>
      <c r="R20" s="91">
        <f>('13.1н'!B20+'13.2н'!B20+'13.3н'!B20)/3</f>
        <v>0.56086006748601913</v>
      </c>
    </row>
    <row r="21" spans="1:18" x14ac:dyDescent="0.25">
      <c r="A21" s="84">
        <v>20</v>
      </c>
      <c r="B21" s="84" t="s">
        <v>20</v>
      </c>
      <c r="C21" s="91" t="e">
        <f>('13.1н'!#REF!+'13.2н'!#REF!+'13.3н'!#REF!)/3</f>
        <v>#REF!</v>
      </c>
      <c r="D21" s="91" t="e">
        <f>('13.1н'!#REF!+'13.2н'!#REF!+'13.3н'!#REF!)/3</f>
        <v>#REF!</v>
      </c>
      <c r="E21" s="91">
        <f>('13.1н'!E21+'13.2н'!E21+'13.3н'!E21)/3</f>
        <v>0</v>
      </c>
      <c r="F21" s="91">
        <f>('13.1н'!F21+'13.2н'!F21+'13.3н'!F21)/3</f>
        <v>0</v>
      </c>
      <c r="G21" s="91">
        <f>('13.1н'!G21+'13.2н'!G21+'13.3н'!G21)/3</f>
        <v>0</v>
      </c>
      <c r="H21" s="91">
        <f>('13.1н'!H21+'13.2н'!H21+'13.3н'!H21)/3</f>
        <v>0</v>
      </c>
      <c r="I21" s="91">
        <f>('13.1н'!I21+'13.2н'!I21+'13.3н'!I21)/3</f>
        <v>0</v>
      </c>
      <c r="J21" s="91">
        <f>('13.1н'!J21+'13.2н'!J21+'13.3н'!J21)/3</f>
        <v>0</v>
      </c>
      <c r="K21" s="91">
        <f>('13.1н'!K21+'13.2н'!K21+'13.3н'!K21)/3</f>
        <v>0</v>
      </c>
      <c r="L21" s="91">
        <f>('13.1н'!L21+'13.2н'!L21+'13.3н'!L21)/3</f>
        <v>0</v>
      </c>
      <c r="M21" s="91">
        <f>('13.1н'!M21+'13.2н'!M21+'13.3н'!M21)/3</f>
        <v>0</v>
      </c>
      <c r="N21" s="91">
        <f>('13.1н'!N21+'13.2н'!N21+'13.3н'!N21)/3</f>
        <v>0</v>
      </c>
      <c r="O21" s="91">
        <f>('13.1н'!O21+'13.2н'!O21+'13.3н'!O21)/3</f>
        <v>0</v>
      </c>
      <c r="P21" s="91">
        <f>('13.1н'!P21+'13.2н'!P21+'13.3н'!P21)/3</f>
        <v>0</v>
      </c>
      <c r="Q21" s="91">
        <f>('13.1н'!Q21+'13.2н'!Q21+'13.3н'!Q21)/3</f>
        <v>0</v>
      </c>
      <c r="R21" s="91">
        <f>('13.1н'!B21+'13.2н'!B21+'13.3н'!B21)/3</f>
        <v>0.65876979660603452</v>
      </c>
    </row>
    <row r="22" spans="1:18" x14ac:dyDescent="0.25">
      <c r="A22" s="84">
        <v>21</v>
      </c>
      <c r="B22" s="84" t="s">
        <v>21</v>
      </c>
      <c r="C22" s="91" t="e">
        <f>('13.1н'!#REF!+'13.2н'!#REF!+'13.3н'!#REF!)/3</f>
        <v>#REF!</v>
      </c>
      <c r="D22" s="91" t="e">
        <f>('13.1н'!#REF!+'13.2н'!#REF!+'13.3н'!#REF!)/3</f>
        <v>#REF!</v>
      </c>
      <c r="E22" s="91">
        <f>('13.1н'!E22+'13.2н'!E22+'13.3н'!E22)/3</f>
        <v>0</v>
      </c>
      <c r="F22" s="91">
        <f>('13.1н'!F22+'13.2н'!F22+'13.3н'!F22)/3</f>
        <v>0</v>
      </c>
      <c r="G22" s="91">
        <f>('13.1н'!G22+'13.2н'!G22+'13.3н'!G22)/3</f>
        <v>0</v>
      </c>
      <c r="H22" s="91">
        <f>('13.1н'!H22+'13.2н'!H22+'13.3н'!H22)/3</f>
        <v>0</v>
      </c>
      <c r="I22" s="91">
        <f>('13.1н'!I22+'13.2н'!I22+'13.3н'!I22)/3</f>
        <v>0</v>
      </c>
      <c r="J22" s="91">
        <f>('13.1н'!J22+'13.2н'!J22+'13.3н'!J22)/3</f>
        <v>0</v>
      </c>
      <c r="K22" s="91">
        <f>('13.1н'!K22+'13.2н'!K22+'13.3н'!K22)/3</f>
        <v>0</v>
      </c>
      <c r="L22" s="91">
        <f>('13.1н'!L22+'13.2н'!L22+'13.3н'!L22)/3</f>
        <v>0</v>
      </c>
      <c r="M22" s="91">
        <f>('13.1н'!M22+'13.2н'!M22+'13.3н'!M22)/3</f>
        <v>0</v>
      </c>
      <c r="N22" s="91">
        <f>('13.1н'!N22+'13.2н'!N22+'13.3н'!N22)/3</f>
        <v>0</v>
      </c>
      <c r="O22" s="91">
        <f>('13.1н'!O22+'13.2н'!O22+'13.3н'!O22)/3</f>
        <v>0</v>
      </c>
      <c r="P22" s="91">
        <f>('13.1н'!P22+'13.2н'!P22+'13.3н'!P22)/3</f>
        <v>0</v>
      </c>
      <c r="Q22" s="91">
        <f>('13.1н'!Q22+'13.2н'!Q22+'13.3н'!Q22)/3</f>
        <v>0</v>
      </c>
      <c r="R22" s="91">
        <f>('13.1н'!B22+'13.2н'!B22+'13.3н'!B22)/3</f>
        <v>0.54505469812106</v>
      </c>
    </row>
    <row r="23" spans="1:18" x14ac:dyDescent="0.25">
      <c r="A23" s="84">
        <v>22</v>
      </c>
      <c r="B23" s="84" t="s">
        <v>22</v>
      </c>
      <c r="C23" s="91" t="e">
        <f>('13.1н'!#REF!+'13.2н'!#REF!+'13.3н'!#REF!)/3</f>
        <v>#REF!</v>
      </c>
      <c r="D23" s="91" t="e">
        <f>('13.1н'!#REF!+'13.2н'!#REF!+'13.3н'!#REF!)/3</f>
        <v>#REF!</v>
      </c>
      <c r="E23" s="91">
        <f>('13.1н'!E23+'13.2н'!E23+'13.3н'!E23)/3</f>
        <v>0</v>
      </c>
      <c r="F23" s="91">
        <f>('13.1н'!F23+'13.2н'!F23+'13.3н'!F23)/3</f>
        <v>0</v>
      </c>
      <c r="G23" s="91">
        <f>('13.1н'!G23+'13.2н'!G23+'13.3н'!G23)/3</f>
        <v>0</v>
      </c>
      <c r="H23" s="91">
        <f>('13.1н'!H23+'13.2н'!H23+'13.3н'!H23)/3</f>
        <v>0</v>
      </c>
      <c r="I23" s="91">
        <f>('13.1н'!I23+'13.2н'!I23+'13.3н'!I23)/3</f>
        <v>0</v>
      </c>
      <c r="J23" s="91">
        <f>('13.1н'!J23+'13.2н'!J23+'13.3н'!J23)/3</f>
        <v>0</v>
      </c>
      <c r="K23" s="91">
        <f>('13.1н'!K23+'13.2н'!K23+'13.3н'!K23)/3</f>
        <v>0</v>
      </c>
      <c r="L23" s="91">
        <f>('13.1н'!L23+'13.2н'!L23+'13.3н'!L23)/3</f>
        <v>0</v>
      </c>
      <c r="M23" s="91">
        <f>('13.1н'!M23+'13.2н'!M23+'13.3н'!M23)/3</f>
        <v>0</v>
      </c>
      <c r="N23" s="91">
        <f>('13.1н'!N23+'13.2н'!N23+'13.3н'!N23)/3</f>
        <v>0</v>
      </c>
      <c r="O23" s="91">
        <f>('13.1н'!O23+'13.2н'!O23+'13.3н'!O23)/3</f>
        <v>0</v>
      </c>
      <c r="P23" s="91">
        <f>('13.1н'!P23+'13.2н'!P23+'13.3н'!P23)/3</f>
        <v>0</v>
      </c>
      <c r="Q23" s="91">
        <f>('13.1н'!Q23+'13.2н'!Q23+'13.3н'!Q23)/3</f>
        <v>0</v>
      </c>
      <c r="R23" s="91">
        <f>('13.1н'!B23+'13.2н'!B23+'13.3н'!B23)/3</f>
        <v>0.59110739897920539</v>
      </c>
    </row>
    <row r="24" spans="1:18" x14ac:dyDescent="0.25">
      <c r="A24" s="84">
        <v>23</v>
      </c>
      <c r="B24" s="84" t="s">
        <v>23</v>
      </c>
      <c r="C24" s="91" t="e">
        <f>('13.1н'!#REF!+'13.2н'!#REF!+'13.3н'!#REF!)/3</f>
        <v>#REF!</v>
      </c>
      <c r="D24" s="91" t="e">
        <f>('13.1н'!#REF!+'13.2н'!#REF!+'13.3н'!#REF!)/3</f>
        <v>#REF!</v>
      </c>
      <c r="E24" s="91">
        <f>('13.1н'!E24+'13.2н'!E24+'13.3н'!E24)/3</f>
        <v>0</v>
      </c>
      <c r="F24" s="91">
        <f>('13.1н'!F24+'13.2н'!F24+'13.3н'!F24)/3</f>
        <v>0</v>
      </c>
      <c r="G24" s="91">
        <f>('13.1н'!G24+'13.2н'!G24+'13.3н'!G24)/3</f>
        <v>0</v>
      </c>
      <c r="H24" s="91">
        <f>('13.1н'!H24+'13.2н'!H24+'13.3н'!H24)/3</f>
        <v>0</v>
      </c>
      <c r="I24" s="91">
        <f>('13.1н'!I24+'13.2н'!I24+'13.3н'!I24)/3</f>
        <v>0</v>
      </c>
      <c r="J24" s="91">
        <f>('13.1н'!J24+'13.2н'!J24+'13.3н'!J24)/3</f>
        <v>0</v>
      </c>
      <c r="K24" s="91">
        <f>('13.1н'!K24+'13.2н'!K24+'13.3н'!K24)/3</f>
        <v>0</v>
      </c>
      <c r="L24" s="91">
        <f>('13.1н'!L24+'13.2н'!L24+'13.3н'!L24)/3</f>
        <v>0</v>
      </c>
      <c r="M24" s="91">
        <f>('13.1н'!M24+'13.2н'!M24+'13.3н'!M24)/3</f>
        <v>0</v>
      </c>
      <c r="N24" s="91">
        <f>('13.1н'!N24+'13.2н'!N24+'13.3н'!N24)/3</f>
        <v>0</v>
      </c>
      <c r="O24" s="91">
        <f>('13.1н'!O24+'13.2н'!O24+'13.3н'!O24)/3</f>
        <v>0</v>
      </c>
      <c r="P24" s="91">
        <f>('13.1н'!P24+'13.2н'!P24+'13.3н'!P24)/3</f>
        <v>0</v>
      </c>
      <c r="Q24" s="91">
        <f>('13.1н'!Q24+'13.2н'!Q24+'13.3н'!Q24)/3</f>
        <v>0</v>
      </c>
      <c r="R24" s="91">
        <f>('13.1н'!B24+'13.2н'!B24+'13.3н'!B24)/3</f>
        <v>0.67635128962769819</v>
      </c>
    </row>
    <row r="25" spans="1:18" x14ac:dyDescent="0.25">
      <c r="A25" s="84">
        <v>24</v>
      </c>
      <c r="B25" s="84" t="s">
        <v>24</v>
      </c>
      <c r="C25" s="91" t="e">
        <f>('13.1н'!#REF!+'13.2н'!#REF!+'13.3н'!#REF!)/3</f>
        <v>#REF!</v>
      </c>
      <c r="D25" s="91" t="e">
        <f>('13.1н'!#REF!+'13.2н'!#REF!+'13.3н'!#REF!)/3</f>
        <v>#REF!</v>
      </c>
      <c r="E25" s="91">
        <f>('13.1н'!E25+'13.2н'!E25+'13.3н'!E25)/3</f>
        <v>0</v>
      </c>
      <c r="F25" s="91">
        <f>('13.1н'!F25+'13.2н'!F25+'13.3н'!F25)/3</f>
        <v>0</v>
      </c>
      <c r="G25" s="91">
        <f>('13.1н'!G25+'13.2н'!G25+'13.3н'!G25)/3</f>
        <v>0</v>
      </c>
      <c r="H25" s="91">
        <f>('13.1н'!H25+'13.2н'!H25+'13.3н'!H25)/3</f>
        <v>0</v>
      </c>
      <c r="I25" s="91">
        <f>('13.1н'!I25+'13.2н'!I25+'13.3н'!I25)/3</f>
        <v>0</v>
      </c>
      <c r="J25" s="91">
        <f>('13.1н'!J25+'13.2н'!J25+'13.3н'!J25)/3</f>
        <v>0</v>
      </c>
      <c r="K25" s="91">
        <f>('13.1н'!K25+'13.2н'!K25+'13.3н'!K25)/3</f>
        <v>0</v>
      </c>
      <c r="L25" s="91">
        <f>('13.1н'!L25+'13.2н'!L25+'13.3н'!L25)/3</f>
        <v>0</v>
      </c>
      <c r="M25" s="91">
        <f>('13.1н'!M25+'13.2н'!M25+'13.3н'!M25)/3</f>
        <v>0</v>
      </c>
      <c r="N25" s="91">
        <f>('13.1н'!N25+'13.2н'!N25+'13.3н'!N25)/3</f>
        <v>0</v>
      </c>
      <c r="O25" s="91">
        <f>('13.1н'!O25+'13.2н'!O25+'13.3н'!O25)/3</f>
        <v>0</v>
      </c>
      <c r="P25" s="91">
        <f>('13.1н'!P25+'13.2н'!P25+'13.3н'!P25)/3</f>
        <v>0</v>
      </c>
      <c r="Q25" s="91">
        <f>('13.1н'!Q25+'13.2н'!Q25+'13.3н'!Q25)/3</f>
        <v>0</v>
      </c>
      <c r="R25" s="91">
        <f>('13.1н'!B25+'13.2н'!B25+'13.3н'!B25)/3</f>
        <v>0.66507030168913361</v>
      </c>
    </row>
    <row r="26" spans="1:18" x14ac:dyDescent="0.25">
      <c r="A26" s="84">
        <v>25</v>
      </c>
      <c r="B26" s="84" t="s">
        <v>25</v>
      </c>
      <c r="C26" s="91" t="e">
        <f>('13.1н'!#REF!+'13.2н'!#REF!+'13.3н'!#REF!)/3</f>
        <v>#REF!</v>
      </c>
      <c r="D26" s="91" t="e">
        <f>('13.1н'!#REF!+'13.2н'!#REF!+'13.3н'!#REF!)/3</f>
        <v>#REF!</v>
      </c>
      <c r="E26" s="91">
        <f>('13.1н'!E26+'13.2н'!E26+'13.3н'!E26)/3</f>
        <v>0</v>
      </c>
      <c r="F26" s="91">
        <f>('13.1н'!F26+'13.2н'!F26+'13.3н'!F26)/3</f>
        <v>0</v>
      </c>
      <c r="G26" s="91">
        <f>('13.1н'!G26+'13.2н'!G26+'13.3н'!G26)/3</f>
        <v>0</v>
      </c>
      <c r="H26" s="91">
        <f>('13.1н'!H26+'13.2н'!H26+'13.3н'!H26)/3</f>
        <v>0</v>
      </c>
      <c r="I26" s="91">
        <f>('13.1н'!I26+'13.2н'!I26+'13.3н'!I26)/3</f>
        <v>0</v>
      </c>
      <c r="J26" s="91">
        <f>('13.1н'!J26+'13.2н'!J26+'13.3н'!J26)/3</f>
        <v>0</v>
      </c>
      <c r="K26" s="91">
        <f>('13.1н'!K26+'13.2н'!K26+'13.3н'!K26)/3</f>
        <v>0</v>
      </c>
      <c r="L26" s="91">
        <f>('13.1н'!L26+'13.2н'!L26+'13.3н'!L26)/3</f>
        <v>0</v>
      </c>
      <c r="M26" s="91">
        <f>('13.1н'!M26+'13.2н'!M26+'13.3н'!M26)/3</f>
        <v>0</v>
      </c>
      <c r="N26" s="91">
        <f>('13.1н'!N26+'13.2н'!N26+'13.3н'!N26)/3</f>
        <v>0</v>
      </c>
      <c r="O26" s="91">
        <f>('13.1н'!O26+'13.2н'!O26+'13.3н'!O26)/3</f>
        <v>0</v>
      </c>
      <c r="P26" s="91">
        <f>('13.1н'!P26+'13.2н'!P26+'13.3н'!P26)/3</f>
        <v>0</v>
      </c>
      <c r="Q26" s="91">
        <f>('13.1н'!Q26+'13.2н'!Q26+'13.3н'!Q26)/3</f>
        <v>0</v>
      </c>
      <c r="R26" s="91">
        <f>('13.1н'!B26+'13.2н'!B26+'13.3н'!B26)/3</f>
        <v>0.46548285164714426</v>
      </c>
    </row>
    <row r="27" spans="1:18" x14ac:dyDescent="0.25">
      <c r="A27" s="84">
        <v>26</v>
      </c>
      <c r="B27" s="84" t="s">
        <v>26</v>
      </c>
      <c r="C27" s="91" t="e">
        <f>('13.1н'!#REF!+'13.2н'!#REF!+'13.3н'!#REF!)/3</f>
        <v>#REF!</v>
      </c>
      <c r="D27" s="91" t="e">
        <f>('13.1н'!#REF!+'13.2н'!#REF!+'13.3н'!#REF!)/3</f>
        <v>#REF!</v>
      </c>
      <c r="E27" s="91">
        <f>('13.1н'!E27+'13.2н'!E27+'13.3н'!E27)/3</f>
        <v>0</v>
      </c>
      <c r="F27" s="91">
        <f>('13.1н'!F27+'13.2н'!F27+'13.3н'!F27)/3</f>
        <v>0</v>
      </c>
      <c r="G27" s="91">
        <f>('13.1н'!G27+'13.2н'!G27+'13.3н'!G27)/3</f>
        <v>0</v>
      </c>
      <c r="H27" s="91">
        <f>('13.1н'!H27+'13.2н'!H27+'13.3н'!H27)/3</f>
        <v>0</v>
      </c>
      <c r="I27" s="91">
        <f>('13.1н'!I27+'13.2н'!I27+'13.3н'!I27)/3</f>
        <v>0</v>
      </c>
      <c r="J27" s="91">
        <f>('13.1н'!J27+'13.2н'!J27+'13.3н'!J27)/3</f>
        <v>0</v>
      </c>
      <c r="K27" s="91">
        <f>('13.1н'!K27+'13.2н'!K27+'13.3н'!K27)/3</f>
        <v>0</v>
      </c>
      <c r="L27" s="91">
        <f>('13.1н'!L27+'13.2н'!L27+'13.3н'!L27)/3</f>
        <v>0</v>
      </c>
      <c r="M27" s="91">
        <f>('13.1н'!M27+'13.2н'!M27+'13.3н'!M27)/3</f>
        <v>0</v>
      </c>
      <c r="N27" s="91">
        <f>('13.1н'!N27+'13.2н'!N27+'13.3н'!N27)/3</f>
        <v>0</v>
      </c>
      <c r="O27" s="91">
        <f>('13.1н'!O27+'13.2н'!O27+'13.3н'!O27)/3</f>
        <v>0</v>
      </c>
      <c r="P27" s="91">
        <f>('13.1н'!P27+'13.2н'!P27+'13.3н'!P27)/3</f>
        <v>0</v>
      </c>
      <c r="Q27" s="91">
        <f>('13.1н'!Q27+'13.2н'!Q27+'13.3н'!Q27)/3</f>
        <v>0</v>
      </c>
      <c r="R27" s="91">
        <f>('13.1н'!B27+'13.2н'!B27+'13.3н'!B27)/3</f>
        <v>0.43738948573025499</v>
      </c>
    </row>
    <row r="28" spans="1:18" x14ac:dyDescent="0.25">
      <c r="A28" s="84">
        <v>27</v>
      </c>
      <c r="B28" s="84" t="s">
        <v>27</v>
      </c>
      <c r="C28" s="91" t="e">
        <f>('13.1н'!#REF!+'13.2н'!#REF!+'13.3н'!#REF!)/3</f>
        <v>#REF!</v>
      </c>
      <c r="D28" s="91" t="e">
        <f>('13.1н'!#REF!+'13.2н'!#REF!+'13.3н'!#REF!)/3</f>
        <v>#REF!</v>
      </c>
      <c r="E28" s="91">
        <f>('13.1н'!E28+'13.2н'!E28+'13.3н'!E28)/3</f>
        <v>0</v>
      </c>
      <c r="F28" s="91">
        <f>('13.1н'!F28+'13.2н'!F28+'13.3н'!F28)/3</f>
        <v>0</v>
      </c>
      <c r="G28" s="91">
        <f>('13.1н'!G28+'13.2н'!G28+'13.3н'!G28)/3</f>
        <v>0</v>
      </c>
      <c r="H28" s="91">
        <f>('13.1н'!H28+'13.2н'!H28+'13.3н'!H28)/3</f>
        <v>0</v>
      </c>
      <c r="I28" s="91">
        <f>('13.1н'!I28+'13.2н'!I28+'13.3н'!I28)/3</f>
        <v>0</v>
      </c>
      <c r="J28" s="91">
        <f>('13.1н'!J28+'13.2н'!J28+'13.3н'!J28)/3</f>
        <v>0</v>
      </c>
      <c r="K28" s="91">
        <f>('13.1н'!K28+'13.2н'!K28+'13.3н'!K28)/3</f>
        <v>0</v>
      </c>
      <c r="L28" s="91">
        <f>('13.1н'!L28+'13.2н'!L28+'13.3н'!L28)/3</f>
        <v>0</v>
      </c>
      <c r="M28" s="91">
        <f>('13.1н'!M28+'13.2н'!M28+'13.3н'!M28)/3</f>
        <v>0</v>
      </c>
      <c r="N28" s="91">
        <f>('13.1н'!N28+'13.2н'!N28+'13.3н'!N28)/3</f>
        <v>0</v>
      </c>
      <c r="O28" s="91">
        <f>('13.1н'!O28+'13.2н'!O28+'13.3н'!O28)/3</f>
        <v>0</v>
      </c>
      <c r="P28" s="91">
        <f>('13.1н'!P28+'13.2н'!P28+'13.3н'!P28)/3</f>
        <v>0</v>
      </c>
      <c r="Q28" s="91">
        <f>('13.1н'!Q28+'13.2н'!Q28+'13.3н'!Q28)/3</f>
        <v>0</v>
      </c>
      <c r="R28" s="91">
        <f>('13.1н'!B28+'13.2н'!B28+'13.3н'!B28)/3</f>
        <v>0.46955366542848043</v>
      </c>
    </row>
    <row r="29" spans="1:18" x14ac:dyDescent="0.25">
      <c r="A29" s="84">
        <v>28</v>
      </c>
      <c r="B29" s="84" t="s">
        <v>28</v>
      </c>
      <c r="C29" s="91" t="e">
        <f>('13.1н'!#REF!+'13.2н'!#REF!+'13.3н'!#REF!)/3</f>
        <v>#REF!</v>
      </c>
      <c r="D29" s="91" t="e">
        <f>('13.1н'!#REF!+'13.2н'!#REF!+'13.3н'!#REF!)/3</f>
        <v>#REF!</v>
      </c>
      <c r="E29" s="91">
        <f>('13.1н'!E29+'13.2н'!E29+'13.3н'!E29)/3</f>
        <v>0</v>
      </c>
      <c r="F29" s="91">
        <f>('13.1н'!F29+'13.2н'!F29+'13.3н'!F29)/3</f>
        <v>0</v>
      </c>
      <c r="G29" s="91">
        <f>('13.1н'!G29+'13.2н'!G29+'13.3н'!G29)/3</f>
        <v>0</v>
      </c>
      <c r="H29" s="91">
        <f>('13.1н'!H29+'13.2н'!H29+'13.3н'!H29)/3</f>
        <v>0</v>
      </c>
      <c r="I29" s="91">
        <f>('13.1н'!I29+'13.2н'!I29+'13.3н'!I29)/3</f>
        <v>0</v>
      </c>
      <c r="J29" s="91">
        <f>('13.1н'!J29+'13.2н'!J29+'13.3н'!J29)/3</f>
        <v>0</v>
      </c>
      <c r="K29" s="91">
        <f>('13.1н'!K29+'13.2н'!K29+'13.3н'!K29)/3</f>
        <v>0</v>
      </c>
      <c r="L29" s="91">
        <f>('13.1н'!L29+'13.2н'!L29+'13.3н'!L29)/3</f>
        <v>0</v>
      </c>
      <c r="M29" s="91">
        <f>('13.1н'!M29+'13.2н'!M29+'13.3н'!M29)/3</f>
        <v>0</v>
      </c>
      <c r="N29" s="91">
        <f>('13.1н'!N29+'13.2н'!N29+'13.3н'!N29)/3</f>
        <v>0</v>
      </c>
      <c r="O29" s="91">
        <f>('13.1н'!O29+'13.2н'!O29+'13.3н'!O29)/3</f>
        <v>0</v>
      </c>
      <c r="P29" s="91">
        <f>('13.1н'!P29+'13.2н'!P29+'13.3н'!P29)/3</f>
        <v>0</v>
      </c>
      <c r="Q29" s="91">
        <f>('13.1н'!Q29+'13.2н'!Q29+'13.3н'!Q29)/3</f>
        <v>0</v>
      </c>
      <c r="R29" s="91">
        <f>('13.1н'!B29+'13.2н'!B29+'13.3н'!B29)/3</f>
        <v>0.85497690202677867</v>
      </c>
    </row>
    <row r="30" spans="1:18" x14ac:dyDescent="0.25">
      <c r="A30" s="84">
        <v>29</v>
      </c>
      <c r="B30" s="84" t="s">
        <v>29</v>
      </c>
      <c r="C30" s="91" t="e">
        <f>('13.1н'!#REF!+'13.2н'!#REF!+'13.3н'!#REF!)/3</f>
        <v>#REF!</v>
      </c>
      <c r="D30" s="91" t="e">
        <f>('13.1н'!#REF!+'13.2н'!#REF!+'13.3н'!#REF!)/3</f>
        <v>#REF!</v>
      </c>
      <c r="E30" s="91">
        <f>('13.1н'!E30+'13.2н'!E30+'13.3н'!E30)/3</f>
        <v>0</v>
      </c>
      <c r="F30" s="91">
        <f>('13.1н'!F30+'13.2н'!F30+'13.3н'!F30)/3</f>
        <v>0</v>
      </c>
      <c r="G30" s="91">
        <f>('13.1н'!G30+'13.2н'!G30+'13.3н'!G30)/3</f>
        <v>0</v>
      </c>
      <c r="H30" s="91">
        <f>('13.1н'!H30+'13.2н'!H30+'13.3н'!H30)/3</f>
        <v>0</v>
      </c>
      <c r="I30" s="91">
        <f>('13.1н'!I30+'13.2н'!I30+'13.3н'!I30)/3</f>
        <v>0</v>
      </c>
      <c r="J30" s="91">
        <f>('13.1н'!J30+'13.2н'!J30+'13.3н'!J30)/3</f>
        <v>0</v>
      </c>
      <c r="K30" s="91">
        <f>('13.1н'!K30+'13.2н'!K30+'13.3н'!K30)/3</f>
        <v>0</v>
      </c>
      <c r="L30" s="91">
        <f>('13.1н'!L30+'13.2н'!L30+'13.3н'!L30)/3</f>
        <v>0</v>
      </c>
      <c r="M30" s="91">
        <f>('13.1н'!M30+'13.2н'!M30+'13.3н'!M30)/3</f>
        <v>0</v>
      </c>
      <c r="N30" s="91">
        <f>('13.1н'!N30+'13.2н'!N30+'13.3н'!N30)/3</f>
        <v>0</v>
      </c>
      <c r="O30" s="91">
        <f>('13.1н'!O30+'13.2н'!O30+'13.3н'!O30)/3</f>
        <v>0</v>
      </c>
      <c r="P30" s="91">
        <f>('13.1н'!P30+'13.2н'!P30+'13.3н'!P30)/3</f>
        <v>0</v>
      </c>
      <c r="Q30" s="91">
        <f>('13.1н'!Q30+'13.2н'!Q30+'13.3н'!Q30)/3</f>
        <v>0</v>
      </c>
      <c r="R30" s="91">
        <f>('13.1н'!B30+'13.2н'!B30+'13.3н'!B30)/3</f>
        <v>0.23000434107148579</v>
      </c>
    </row>
    <row r="31" spans="1:18" x14ac:dyDescent="0.25">
      <c r="A31" s="84">
        <v>30</v>
      </c>
      <c r="B31" s="84" t="s">
        <v>30</v>
      </c>
      <c r="C31" s="91" t="e">
        <f>('13.1н'!#REF!+'13.2н'!#REF!+'13.3н'!#REF!)/3</f>
        <v>#REF!</v>
      </c>
      <c r="D31" s="91" t="e">
        <f>('13.1н'!#REF!+'13.2н'!#REF!+'13.3н'!#REF!)/3</f>
        <v>#REF!</v>
      </c>
      <c r="E31" s="91">
        <f>('13.1н'!E31+'13.2н'!E31+'13.3н'!E31)/3</f>
        <v>0</v>
      </c>
      <c r="F31" s="91">
        <f>('13.1н'!F31+'13.2н'!F31+'13.3н'!F31)/3</f>
        <v>0</v>
      </c>
      <c r="G31" s="91">
        <f>('13.1н'!G31+'13.2н'!G31+'13.3н'!G31)/3</f>
        <v>0</v>
      </c>
      <c r="H31" s="91">
        <f>('13.1н'!H31+'13.2н'!H31+'13.3н'!H31)/3</f>
        <v>0</v>
      </c>
      <c r="I31" s="91">
        <f>('13.1н'!I31+'13.2н'!I31+'13.3н'!I31)/3</f>
        <v>0</v>
      </c>
      <c r="J31" s="91">
        <f>('13.1н'!J31+'13.2н'!J31+'13.3н'!J31)/3</f>
        <v>0</v>
      </c>
      <c r="K31" s="91">
        <f>('13.1н'!K31+'13.2н'!K31+'13.3н'!K31)/3</f>
        <v>0</v>
      </c>
      <c r="L31" s="91">
        <f>('13.1н'!L31+'13.2н'!L31+'13.3н'!L31)/3</f>
        <v>0</v>
      </c>
      <c r="M31" s="91">
        <f>('13.1н'!M31+'13.2н'!M31+'13.3н'!M31)/3</f>
        <v>0</v>
      </c>
      <c r="N31" s="91">
        <f>('13.1н'!N31+'13.2н'!N31+'13.3н'!N31)/3</f>
        <v>0</v>
      </c>
      <c r="O31" s="91">
        <f>('13.1н'!O31+'13.2н'!O31+'13.3н'!O31)/3</f>
        <v>0</v>
      </c>
      <c r="P31" s="91">
        <f>('13.1н'!P31+'13.2н'!P31+'13.3н'!P31)/3</f>
        <v>0</v>
      </c>
      <c r="Q31" s="91">
        <f>('13.1н'!Q31+'13.2н'!Q31+'13.3н'!Q31)/3</f>
        <v>0</v>
      </c>
      <c r="R31" s="91">
        <f>('13.1н'!B31+'13.2н'!B31+'13.3н'!B31)/3</f>
        <v>0.35941522588567681</v>
      </c>
    </row>
    <row r="32" spans="1:18" x14ac:dyDescent="0.25">
      <c r="A32" s="84">
        <v>31</v>
      </c>
      <c r="B32" s="84" t="s">
        <v>31</v>
      </c>
      <c r="C32" s="91"/>
      <c r="D32" s="91"/>
      <c r="E32" s="91"/>
      <c r="F32" s="91"/>
      <c r="G32" s="91"/>
      <c r="H32" s="91"/>
      <c r="I32" s="91"/>
      <c r="J32" s="91"/>
      <c r="K32" s="91"/>
      <c r="L32" s="91">
        <f>('13.1н'!L32+'13.2н'!L32+'13.3н'!L32)/3</f>
        <v>0</v>
      </c>
      <c r="M32" s="91">
        <f>('13.1н'!M32+'13.2н'!M32+'13.3н'!M32)/3</f>
        <v>0</v>
      </c>
      <c r="N32" s="91">
        <f>('13.1н'!N32+'13.2н'!N32+'13.3н'!N32)/3</f>
        <v>0</v>
      </c>
      <c r="O32" s="91">
        <f>('13.1н'!O32+'13.2н'!O32+'13.3н'!O32)/3</f>
        <v>0</v>
      </c>
      <c r="P32" s="91">
        <f>('13.1н'!P32+'13.2н'!P32+'13.3н'!P32)/3</f>
        <v>0</v>
      </c>
      <c r="Q32" s="91">
        <f>('13.1н'!Q32+'13.2н'!Q32+'13.3н'!Q32)/3</f>
        <v>0</v>
      </c>
      <c r="R32" s="91">
        <f>('13.1н'!B32+'13.2н'!B32+'13.3н'!B32)/3</f>
        <v>0.44721051493618774</v>
      </c>
    </row>
    <row r="33" spans="1:18" x14ac:dyDescent="0.25">
      <c r="A33" s="84">
        <v>32</v>
      </c>
      <c r="B33" s="84" t="s">
        <v>32</v>
      </c>
      <c r="C33" s="91" t="e">
        <f>('13.1н'!#REF!+'13.2н'!#REF!+'13.3н'!#REF!)/3</f>
        <v>#REF!</v>
      </c>
      <c r="D33" s="91" t="e">
        <f>('13.1н'!#REF!+'13.2н'!#REF!+'13.3н'!#REF!)/3</f>
        <v>#REF!</v>
      </c>
      <c r="E33" s="91">
        <f>('13.1н'!E33+'13.2н'!E33+'13.3н'!E33)/3</f>
        <v>0</v>
      </c>
      <c r="F33" s="91">
        <f>('13.1н'!F33+'13.2н'!F33+'13.3н'!F33)/3</f>
        <v>0</v>
      </c>
      <c r="G33" s="91">
        <f>('13.1н'!G33+'13.2н'!G33+'13.3н'!G33)/3</f>
        <v>0</v>
      </c>
      <c r="H33" s="91">
        <f>('13.1н'!H33+'13.2н'!H33+'13.3н'!H33)/3</f>
        <v>0</v>
      </c>
      <c r="I33" s="91">
        <f>('13.1н'!I33+'13.2н'!I33+'13.3н'!I33)/3</f>
        <v>0</v>
      </c>
      <c r="J33" s="91">
        <f>('13.1н'!J33+'13.2н'!J33+'13.3н'!J33)/3</f>
        <v>0</v>
      </c>
      <c r="K33" s="91">
        <f>('13.1н'!K33+'13.2н'!K33+'13.3н'!K33)/3</f>
        <v>0</v>
      </c>
      <c r="L33" s="91">
        <f>('13.1н'!L33+'13.2н'!L33+'13.3н'!L33)/3</f>
        <v>0</v>
      </c>
      <c r="M33" s="91">
        <f>('13.1н'!M33+'13.2н'!M33+'13.3н'!M33)/3</f>
        <v>0</v>
      </c>
      <c r="N33" s="91">
        <f>('13.1н'!N33+'13.2н'!N33+'13.3н'!N33)/3</f>
        <v>0</v>
      </c>
      <c r="O33" s="91">
        <f>('13.1н'!O33+'13.2н'!O33+'13.3н'!O33)/3</f>
        <v>0</v>
      </c>
      <c r="P33" s="91">
        <f>('13.1н'!P33+'13.2н'!P33+'13.3н'!P33)/3</f>
        <v>0</v>
      </c>
      <c r="Q33" s="91">
        <f>('13.1н'!Q33+'13.2н'!Q33+'13.3н'!Q33)/3</f>
        <v>0</v>
      </c>
      <c r="R33" s="91">
        <f>('13.1н'!B33+'13.2н'!B33+'13.3н'!B33)/3</f>
        <v>0.6400203696277188</v>
      </c>
    </row>
    <row r="34" spans="1:18" x14ac:dyDescent="0.25">
      <c r="A34" s="84">
        <v>33</v>
      </c>
      <c r="B34" s="84" t="s">
        <v>33</v>
      </c>
      <c r="C34" s="91" t="e">
        <f>('13.1н'!#REF!+'13.2н'!#REF!+'13.3н'!#REF!)/3</f>
        <v>#REF!</v>
      </c>
      <c r="D34" s="91" t="e">
        <f>('13.1н'!#REF!+'13.2н'!#REF!+'13.3н'!#REF!)/3</f>
        <v>#REF!</v>
      </c>
      <c r="E34" s="91">
        <f>('13.1н'!E34+'13.2н'!E34+'13.3н'!E34)/3</f>
        <v>0</v>
      </c>
      <c r="F34" s="91">
        <f>('13.1н'!F34+'13.2н'!F34+'13.3н'!F34)/3</f>
        <v>0</v>
      </c>
      <c r="G34" s="91">
        <f>('13.1н'!G34+'13.2н'!G34+'13.3н'!G34)/3</f>
        <v>0</v>
      </c>
      <c r="H34" s="91">
        <f>('13.1н'!H34+'13.2н'!H34+'13.3н'!H34)/3</f>
        <v>0</v>
      </c>
      <c r="I34" s="91">
        <f>('13.1н'!I34+'13.2н'!I34+'13.3н'!I34)/3</f>
        <v>0</v>
      </c>
      <c r="J34" s="91">
        <f>('13.1н'!J34+'13.2н'!J34+'13.3н'!J34)/3</f>
        <v>0</v>
      </c>
      <c r="K34" s="91">
        <f>('13.1н'!K34+'13.2н'!K34+'13.3н'!K34)/3</f>
        <v>0</v>
      </c>
      <c r="L34" s="91">
        <f>('13.1н'!L34+'13.2н'!L34+'13.3н'!L34)/3</f>
        <v>0</v>
      </c>
      <c r="M34" s="91">
        <f>('13.1н'!M34+'13.2н'!M34+'13.3н'!M34)/3</f>
        <v>0</v>
      </c>
      <c r="N34" s="91">
        <f>('13.1н'!N34+'13.2н'!N34+'13.3н'!N34)/3</f>
        <v>0</v>
      </c>
      <c r="O34" s="91">
        <f>('13.1н'!O34+'13.2н'!O34+'13.3н'!O34)/3</f>
        <v>0</v>
      </c>
      <c r="P34" s="91">
        <f>('13.1н'!P34+'13.2н'!P34+'13.3н'!P34)/3</f>
        <v>0</v>
      </c>
      <c r="Q34" s="91">
        <f>('13.1н'!Q34+'13.2н'!Q34+'13.3н'!Q34)/3</f>
        <v>0</v>
      </c>
      <c r="R34" s="91">
        <f>('13.1н'!B34+'13.2н'!B34+'13.3н'!B34)/3</f>
        <v>0.39234301985013315</v>
      </c>
    </row>
    <row r="35" spans="1:18" x14ac:dyDescent="0.25">
      <c r="A35" s="84">
        <v>34</v>
      </c>
      <c r="B35" s="84" t="s">
        <v>34</v>
      </c>
      <c r="C35" s="91" t="e">
        <f>('13.1н'!#REF!+'13.2н'!#REF!+'13.3н'!#REF!)/3</f>
        <v>#REF!</v>
      </c>
      <c r="D35" s="91" t="e">
        <f>('13.1н'!#REF!+'13.2н'!#REF!+'13.3н'!#REF!)/3</f>
        <v>#REF!</v>
      </c>
      <c r="E35" s="91">
        <f>('13.1н'!E35+'13.2н'!E35+'13.3н'!E35)/3</f>
        <v>0</v>
      </c>
      <c r="F35" s="91">
        <f>('13.1н'!F35+'13.2н'!F35+'13.3н'!F35)/3</f>
        <v>0</v>
      </c>
      <c r="G35" s="91">
        <f>('13.1н'!G35+'13.2н'!G35+'13.3н'!G35)/3</f>
        <v>0</v>
      </c>
      <c r="H35" s="91">
        <f>('13.1н'!H35+'13.2н'!H35+'13.3н'!H35)/3</f>
        <v>0</v>
      </c>
      <c r="I35" s="91">
        <f>('13.1н'!I35+'13.2н'!I35+'13.3н'!I35)/3</f>
        <v>0</v>
      </c>
      <c r="J35" s="91">
        <f>('13.1н'!J35+'13.2н'!J35+'13.3н'!J35)/3</f>
        <v>0</v>
      </c>
      <c r="K35" s="91">
        <f>('13.1н'!K35+'13.2н'!K35+'13.3н'!K35)/3</f>
        <v>0</v>
      </c>
      <c r="L35" s="91">
        <f>('13.1н'!L35+'13.2н'!L35+'13.3н'!L35)/3</f>
        <v>0</v>
      </c>
      <c r="M35" s="91">
        <f>('13.1н'!M35+'13.2н'!M35+'13.3н'!M35)/3</f>
        <v>0</v>
      </c>
      <c r="N35" s="91">
        <f>('13.1н'!N35+'13.2н'!N35+'13.3н'!N35)/3</f>
        <v>0</v>
      </c>
      <c r="O35" s="91">
        <f>('13.1н'!O35+'13.2н'!O35+'13.3н'!O35)/3</f>
        <v>0</v>
      </c>
      <c r="P35" s="91">
        <f>('13.1н'!P35+'13.2н'!P35+'13.3н'!P35)/3</f>
        <v>0</v>
      </c>
      <c r="Q35" s="91">
        <f>('13.1н'!Q35+'13.2н'!Q35+'13.3н'!Q35)/3</f>
        <v>0</v>
      </c>
      <c r="R35" s="91">
        <f>('13.1н'!B35+'13.2н'!B35+'13.3н'!B35)/3</f>
        <v>0.59551244311413543</v>
      </c>
    </row>
    <row r="36" spans="1:18" x14ac:dyDescent="0.25">
      <c r="A36" s="84">
        <v>35</v>
      </c>
      <c r="B36" s="84" t="s">
        <v>35</v>
      </c>
      <c r="C36" s="91" t="e">
        <f>('13.1н'!#REF!+'13.2н'!#REF!+'13.3н'!#REF!)/3</f>
        <v>#REF!</v>
      </c>
      <c r="D36" s="91" t="e">
        <f>('13.1н'!#REF!+'13.2н'!#REF!+'13.3н'!#REF!)/3</f>
        <v>#REF!</v>
      </c>
      <c r="E36" s="91">
        <f>('13.1н'!E36+'13.2н'!E36+'13.3н'!E36)/3</f>
        <v>0</v>
      </c>
      <c r="F36" s="91">
        <f>('13.1н'!F36+'13.2н'!F36+'13.3н'!F36)/3</f>
        <v>0</v>
      </c>
      <c r="G36" s="91">
        <f>('13.1н'!G36+'13.2н'!G36+'13.3н'!G36)/3</f>
        <v>0</v>
      </c>
      <c r="H36" s="91">
        <f>('13.1н'!H36+'13.2н'!H36+'13.3н'!H36)/3</f>
        <v>0</v>
      </c>
      <c r="I36" s="91">
        <f>('13.1н'!I36+'13.2н'!I36+'13.3н'!I36)/3</f>
        <v>0</v>
      </c>
      <c r="J36" s="91">
        <f>('13.1н'!J36+'13.2н'!J36+'13.3н'!J36)/3</f>
        <v>0</v>
      </c>
      <c r="K36" s="91">
        <f>('13.1н'!K36+'13.2н'!K36+'13.3н'!K36)/3</f>
        <v>0</v>
      </c>
      <c r="L36" s="91">
        <f>('13.1н'!L36+'13.2н'!L36+'13.3н'!L36)/3</f>
        <v>0</v>
      </c>
      <c r="M36" s="91">
        <f>('13.1н'!M36+'13.2н'!M36+'13.3н'!M36)/3</f>
        <v>0</v>
      </c>
      <c r="N36" s="91">
        <f>('13.1н'!N36+'13.2н'!N36+'13.3н'!N36)/3</f>
        <v>0</v>
      </c>
      <c r="O36" s="91">
        <f>('13.1н'!O36+'13.2н'!O36+'13.3н'!O36)/3</f>
        <v>0</v>
      </c>
      <c r="P36" s="91">
        <f>('13.1н'!P36+'13.2н'!P36+'13.3н'!P36)/3</f>
        <v>0</v>
      </c>
      <c r="Q36" s="91">
        <f>('13.1н'!Q36+'13.2н'!Q36+'13.3н'!Q36)/3</f>
        <v>0</v>
      </c>
      <c r="R36" s="91">
        <f>('13.1н'!B36+'13.2н'!B36+'13.3н'!B36)/3</f>
        <v>0.59058450442489285</v>
      </c>
    </row>
    <row r="37" spans="1:18" x14ac:dyDescent="0.25">
      <c r="A37" s="84">
        <v>36</v>
      </c>
      <c r="B37" s="84" t="s">
        <v>36</v>
      </c>
      <c r="C37" s="91"/>
      <c r="D37" s="91"/>
      <c r="E37" s="91"/>
      <c r="F37" s="91"/>
      <c r="G37" s="91"/>
      <c r="H37" s="91"/>
      <c r="I37" s="91"/>
      <c r="J37" s="91"/>
      <c r="K37" s="91"/>
      <c r="L37" s="91">
        <f>('13.1н'!L37+'13.2н'!L37+'13.3н'!L37)/3</f>
        <v>0</v>
      </c>
      <c r="M37" s="91">
        <f>('13.1н'!M37+'13.2н'!M37+'13.3н'!M37)/3</f>
        <v>0</v>
      </c>
      <c r="N37" s="91">
        <f>('13.1н'!N37+'13.2н'!N37+'13.3н'!N37)/3</f>
        <v>0</v>
      </c>
      <c r="O37" s="91">
        <f>('13.1н'!O37+'13.2н'!O37+'13.3н'!O37)/3</f>
        <v>0</v>
      </c>
      <c r="P37" s="91">
        <f>('13.1н'!P37+'13.2н'!P37+'13.3н'!P37)/3</f>
        <v>0</v>
      </c>
      <c r="Q37" s="91">
        <f>('13.1н'!Q37+'13.2н'!Q37+'13.3н'!Q37)/3</f>
        <v>0</v>
      </c>
      <c r="R37" s="91">
        <f>('13.1н'!B37+'13.2н'!B37+'13.3н'!B37)/3</f>
        <v>0.21755018817467678</v>
      </c>
    </row>
    <row r="38" spans="1:18" x14ac:dyDescent="0.25">
      <c r="A38" s="84">
        <v>37</v>
      </c>
      <c r="B38" s="84" t="s">
        <v>37</v>
      </c>
      <c r="C38" s="91" t="e">
        <f>('13.1н'!#REF!+'13.2н'!#REF!+'13.3н'!#REF!)/3</f>
        <v>#REF!</v>
      </c>
      <c r="D38" s="91" t="e">
        <f>('13.1н'!#REF!+'13.2н'!#REF!+'13.3н'!#REF!)/3</f>
        <v>#REF!</v>
      </c>
      <c r="E38" s="91">
        <f>('13.1н'!E38+'13.2н'!E38+'13.3н'!E38)/3</f>
        <v>0</v>
      </c>
      <c r="F38" s="91">
        <f>('13.1н'!F38+'13.2н'!F38+'13.3н'!F38)/3</f>
        <v>0</v>
      </c>
      <c r="G38" s="91">
        <f>('13.1н'!G38+'13.2н'!G38+'13.3н'!G38)/3</f>
        <v>0</v>
      </c>
      <c r="H38" s="91">
        <f>('13.1н'!H38+'13.2н'!H38+'13.3н'!H38)/3</f>
        <v>0</v>
      </c>
      <c r="I38" s="91">
        <f>('13.1н'!I38+'13.2н'!I38+'13.3н'!I38)/3</f>
        <v>0</v>
      </c>
      <c r="J38" s="91">
        <f>('13.1н'!J38+'13.2н'!J38+'13.3н'!J38)/3</f>
        <v>0</v>
      </c>
      <c r="K38" s="91">
        <f>('13.1н'!K38+'13.2н'!K38+'13.3н'!K38)/3</f>
        <v>0</v>
      </c>
      <c r="L38" s="91">
        <f>('13.1н'!L38+'13.2н'!L38+'13.3н'!L38)/3</f>
        <v>0</v>
      </c>
      <c r="M38" s="91">
        <f>('13.1н'!M38+'13.2н'!M38+'13.3н'!M38)/3</f>
        <v>0</v>
      </c>
      <c r="N38" s="91">
        <f>('13.1н'!N38+'13.2н'!N38+'13.3н'!N38)/3</f>
        <v>0</v>
      </c>
      <c r="O38" s="91">
        <f>('13.1н'!O38+'13.2н'!O38+'13.3н'!O38)/3</f>
        <v>0</v>
      </c>
      <c r="P38" s="91">
        <f>('13.1н'!P38+'13.2н'!P38+'13.3н'!P38)/3</f>
        <v>0</v>
      </c>
      <c r="Q38" s="91">
        <f>('13.1н'!Q38+'13.2н'!Q38+'13.3н'!Q38)/3</f>
        <v>0</v>
      </c>
      <c r="R38" s="91">
        <f>('13.1н'!B38+'13.2н'!B38+'13.3н'!B38)/3</f>
        <v>0.17031125336687328</v>
      </c>
    </row>
    <row r="39" spans="1:18" x14ac:dyDescent="0.25">
      <c r="A39" s="84">
        <v>38</v>
      </c>
      <c r="B39" s="84" t="s">
        <v>38</v>
      </c>
      <c r="C39" s="91" t="e">
        <f>('13.1н'!#REF!+'13.2н'!#REF!+'13.3н'!#REF!)/3</f>
        <v>#REF!</v>
      </c>
      <c r="D39" s="91" t="e">
        <f>('13.1н'!#REF!+'13.2н'!#REF!+'13.3н'!#REF!)/3</f>
        <v>#REF!</v>
      </c>
      <c r="E39" s="91">
        <f>('13.1н'!E39+'13.2н'!E39+'13.3н'!E39)/3</f>
        <v>0</v>
      </c>
      <c r="F39" s="91">
        <f>('13.1н'!F39+'13.2н'!F39+'13.3н'!F39)/3</f>
        <v>0</v>
      </c>
      <c r="G39" s="91">
        <f>('13.1н'!G39+'13.2н'!G39+'13.3н'!G39)/3</f>
        <v>0</v>
      </c>
      <c r="H39" s="91">
        <f>('13.1н'!H39+'13.2н'!H39+'13.3н'!H39)/3</f>
        <v>0</v>
      </c>
      <c r="I39" s="91">
        <f>('13.1н'!I39+'13.2н'!I39+'13.3н'!I39)/3</f>
        <v>0</v>
      </c>
      <c r="J39" s="91">
        <f>('13.1н'!J39+'13.2н'!J39+'13.3н'!J39)/3</f>
        <v>0</v>
      </c>
      <c r="K39" s="91">
        <f>('13.1н'!K39+'13.2н'!K39+'13.3н'!K39)/3</f>
        <v>0</v>
      </c>
      <c r="L39" s="91">
        <f>('13.1н'!L39+'13.2н'!L39+'13.3н'!L39)/3</f>
        <v>0</v>
      </c>
      <c r="M39" s="91">
        <f>('13.1н'!M39+'13.2н'!M39+'13.3н'!M39)/3</f>
        <v>0</v>
      </c>
      <c r="N39" s="91">
        <f>('13.1н'!N39+'13.2н'!N39+'13.3н'!N39)/3</f>
        <v>0</v>
      </c>
      <c r="O39" s="91">
        <f>('13.1н'!O39+'13.2н'!O39+'13.3н'!O39)/3</f>
        <v>0</v>
      </c>
      <c r="P39" s="91">
        <f>('13.1н'!P39+'13.2н'!P39+'13.3н'!P39)/3</f>
        <v>0</v>
      </c>
      <c r="Q39" s="91">
        <f>('13.1н'!Q39+'13.2н'!Q39+'13.3н'!Q39)/3</f>
        <v>0</v>
      </c>
      <c r="R39" s="91">
        <f>('13.1н'!B39+'13.2н'!B39+'13.3н'!B39)/3</f>
        <v>0.1065580277995397</v>
      </c>
    </row>
    <row r="40" spans="1:18" x14ac:dyDescent="0.25">
      <c r="A40" s="84">
        <v>39</v>
      </c>
      <c r="B40" s="84" t="s">
        <v>42</v>
      </c>
      <c r="C40" s="91" t="e">
        <f>('13.1н'!#REF!+'13.2н'!#REF!+'13.3н'!#REF!)/3</f>
        <v>#REF!</v>
      </c>
      <c r="D40" s="91" t="e">
        <f>('13.1н'!#REF!+'13.2н'!#REF!+'13.3н'!#REF!)/3</f>
        <v>#REF!</v>
      </c>
      <c r="E40" s="91">
        <f>('13.1н'!E40+'13.2н'!E40+'13.3н'!E40)/3</f>
        <v>0</v>
      </c>
      <c r="F40" s="91">
        <f>('13.1н'!F40+'13.2н'!F40+'13.3н'!F40)/3</f>
        <v>0</v>
      </c>
      <c r="G40" s="91">
        <f>('13.1н'!G40+'13.2н'!G40+'13.3н'!G40)/3</f>
        <v>0</v>
      </c>
      <c r="H40" s="91">
        <f>('13.1н'!H40+'13.2н'!H40+'13.3н'!H40)/3</f>
        <v>0</v>
      </c>
      <c r="I40" s="91">
        <f>('13.1н'!I40+'13.2н'!I40+'13.3н'!I40)/3</f>
        <v>0</v>
      </c>
      <c r="J40" s="91">
        <f>('13.1н'!J40+'13.2н'!J40+'13.3н'!J40)/3</f>
        <v>0</v>
      </c>
      <c r="K40" s="91">
        <f>('13.1н'!K40+'13.2н'!K40+'13.3н'!K40)/3</f>
        <v>0</v>
      </c>
      <c r="L40" s="91">
        <f>('13.1н'!L40+'13.2н'!L40+'13.3н'!L40)/3</f>
        <v>0</v>
      </c>
      <c r="M40" s="91">
        <f>('13.1н'!M40+'13.2н'!M40+'13.3н'!M40)/3</f>
        <v>0</v>
      </c>
      <c r="N40" s="91">
        <f>('13.1н'!N40+'13.2н'!N40+'13.3н'!N40)/3</f>
        <v>0</v>
      </c>
      <c r="O40" s="91">
        <f>('13.1н'!O40+'13.2н'!O40+'13.3н'!O40)/3</f>
        <v>0</v>
      </c>
      <c r="P40" s="91">
        <f>('13.1н'!P40+'13.2н'!P40+'13.3н'!P40)/3</f>
        <v>0</v>
      </c>
      <c r="Q40" s="91">
        <f>('13.1н'!Q40+'13.2н'!Q40+'13.3н'!Q40)/3</f>
        <v>0</v>
      </c>
      <c r="R40" s="91">
        <f>('13.1н'!B40+'13.2н'!B40+'13.3н'!B40)/3</f>
        <v>0.30856587057635348</v>
      </c>
    </row>
    <row r="41" spans="1:18" x14ac:dyDescent="0.25">
      <c r="A41" s="84">
        <v>40</v>
      </c>
      <c r="B41" s="84" t="s">
        <v>39</v>
      </c>
      <c r="C41" s="91" t="e">
        <f>('13.1н'!#REF!+'13.2н'!#REF!+'13.3н'!#REF!)/3</f>
        <v>#REF!</v>
      </c>
      <c r="D41" s="91" t="e">
        <f>('13.1н'!#REF!+'13.2н'!#REF!+'13.3н'!#REF!)/3</f>
        <v>#REF!</v>
      </c>
      <c r="E41" s="91">
        <f>('13.1н'!E41+'13.2н'!E41+'13.3н'!E41)/3</f>
        <v>0</v>
      </c>
      <c r="F41" s="91">
        <f>('13.1н'!F41+'13.2н'!F41+'13.3н'!F41)/3</f>
        <v>0</v>
      </c>
      <c r="G41" s="91">
        <f>('13.1н'!G41+'13.2н'!G41+'13.3н'!G41)/3</f>
        <v>0</v>
      </c>
      <c r="H41" s="91">
        <f>('13.1н'!H41+'13.2н'!H41+'13.3н'!H41)/3</f>
        <v>0</v>
      </c>
      <c r="I41" s="91">
        <f>('13.1н'!I41+'13.2н'!I41+'13.3н'!I41)/3</f>
        <v>0</v>
      </c>
      <c r="J41" s="91">
        <f>('13.1н'!J41+'13.2н'!J41+'13.3н'!J41)/3</f>
        <v>0</v>
      </c>
      <c r="K41" s="91">
        <f>('13.1н'!K41+'13.2н'!K41+'13.3н'!K41)/3</f>
        <v>0</v>
      </c>
      <c r="L41" s="91">
        <f>('13.1н'!L41+'13.2н'!L41+'13.3н'!L41)/3</f>
        <v>0</v>
      </c>
      <c r="M41" s="91">
        <f>('13.1н'!M41+'13.2н'!M41+'13.3н'!M41)/3</f>
        <v>0</v>
      </c>
      <c r="N41" s="91">
        <f>('13.1н'!N41+'13.2н'!N41+'13.3н'!N41)/3</f>
        <v>0</v>
      </c>
      <c r="O41" s="91">
        <f>('13.1н'!O41+'13.2н'!O41+'13.3н'!O41)/3</f>
        <v>0</v>
      </c>
      <c r="P41" s="91">
        <f>('13.1н'!P41+'13.2н'!P41+'13.3н'!P41)/3</f>
        <v>0</v>
      </c>
      <c r="Q41" s="91">
        <f>('13.1н'!Q41+'13.2н'!Q41+'13.3н'!Q41)/3</f>
        <v>0</v>
      </c>
      <c r="R41" s="91">
        <f>('13.1н'!B41+'13.2н'!B41+'13.3н'!B41)/3</f>
        <v>0.32534189863118274</v>
      </c>
    </row>
    <row r="42" spans="1:18" x14ac:dyDescent="0.25">
      <c r="A42" s="84">
        <v>41</v>
      </c>
      <c r="B42" s="84" t="s">
        <v>43</v>
      </c>
      <c r="C42" s="91" t="e">
        <f>('13.1н'!#REF!+'13.2н'!#REF!+'13.3н'!#REF!)/3</f>
        <v>#REF!</v>
      </c>
      <c r="D42" s="91" t="e">
        <f>('13.1н'!#REF!+'13.2н'!#REF!+'13.3н'!#REF!)/3</f>
        <v>#REF!</v>
      </c>
      <c r="E42" s="91">
        <f>('13.1н'!E42+'13.2н'!E42+'13.3н'!E42)/3</f>
        <v>0</v>
      </c>
      <c r="F42" s="91">
        <f>('13.1н'!F42+'13.2н'!F42+'13.3н'!F42)/3</f>
        <v>0</v>
      </c>
      <c r="G42" s="91">
        <f>('13.1н'!G42+'13.2н'!G42+'13.3н'!G42)/3</f>
        <v>0</v>
      </c>
      <c r="H42" s="91">
        <f>('13.1н'!H42+'13.2н'!H42+'13.3н'!H42)/3</f>
        <v>0</v>
      </c>
      <c r="I42" s="91">
        <f>('13.1н'!I42+'13.2н'!I42+'13.3н'!I42)/3</f>
        <v>0</v>
      </c>
      <c r="J42" s="91">
        <f>('13.1н'!J42+'13.2н'!J42+'13.3н'!J42)/3</f>
        <v>0</v>
      </c>
      <c r="K42" s="91">
        <f>('13.1н'!K42+'13.2н'!K42+'13.3н'!K42)/3</f>
        <v>0</v>
      </c>
      <c r="L42" s="91">
        <f>('13.1н'!L42+'13.2н'!L42+'13.3н'!L42)/3</f>
        <v>0</v>
      </c>
      <c r="M42" s="91">
        <f>('13.1н'!M42+'13.2н'!M42+'13.3н'!M42)/3</f>
        <v>0</v>
      </c>
      <c r="N42" s="91">
        <f>('13.1н'!N42+'13.2н'!N42+'13.3н'!N42)/3</f>
        <v>0</v>
      </c>
      <c r="O42" s="91">
        <f>('13.1н'!O42+'13.2н'!O42+'13.3н'!O42)/3</f>
        <v>0</v>
      </c>
      <c r="P42" s="91">
        <f>('13.1н'!P42+'13.2н'!P42+'13.3н'!P42)/3</f>
        <v>0</v>
      </c>
      <c r="Q42" s="91">
        <f>('13.1н'!Q42+'13.2н'!Q42+'13.3н'!Q42)/3</f>
        <v>0</v>
      </c>
      <c r="R42" s="91">
        <f>('13.1н'!B42+'13.2н'!B42+'13.3н'!B42)/3</f>
        <v>0.37373572760942925</v>
      </c>
    </row>
    <row r="43" spans="1:18" x14ac:dyDescent="0.25">
      <c r="A43" s="84">
        <v>42</v>
      </c>
      <c r="B43" s="84" t="s">
        <v>40</v>
      </c>
      <c r="C43" s="91" t="e">
        <f>('13.1н'!#REF!+'13.2н'!#REF!+'13.3н'!#REF!)/3</f>
        <v>#REF!</v>
      </c>
      <c r="D43" s="91" t="e">
        <f>('13.1н'!#REF!+'13.2н'!#REF!+'13.3н'!#REF!)/3</f>
        <v>#REF!</v>
      </c>
      <c r="E43" s="91">
        <f>('13.1н'!E43+'13.2н'!E43+'13.3н'!E43)/3</f>
        <v>0</v>
      </c>
      <c r="F43" s="91">
        <f>('13.1н'!F43+'13.2н'!F43+'13.3н'!F43)/3</f>
        <v>0</v>
      </c>
      <c r="G43" s="91">
        <f>('13.1н'!G43+'13.2н'!G43+'13.3н'!G43)/3</f>
        <v>0</v>
      </c>
      <c r="H43" s="91">
        <f>('13.1н'!H43+'13.2н'!H43+'13.3н'!H43)/3</f>
        <v>0</v>
      </c>
      <c r="I43" s="91">
        <f>('13.1н'!I43+'13.2н'!I43+'13.3н'!I43)/3</f>
        <v>0</v>
      </c>
      <c r="J43" s="91">
        <f>('13.1н'!J43+'13.2н'!J43+'13.3н'!J43)/3</f>
        <v>0</v>
      </c>
      <c r="K43" s="91">
        <f>('13.1н'!K43+'13.2н'!K43+'13.3н'!K43)/3</f>
        <v>0</v>
      </c>
      <c r="L43" s="91">
        <f>('13.1н'!L43+'13.2н'!L43+'13.3н'!L43)/3</f>
        <v>0</v>
      </c>
      <c r="M43" s="91">
        <f>('13.1н'!M43+'13.2н'!M43+'13.3н'!M43)/3</f>
        <v>0</v>
      </c>
      <c r="N43" s="91">
        <f>('13.1н'!N43+'13.2н'!N43+'13.3н'!N43)/3</f>
        <v>0</v>
      </c>
      <c r="O43" s="91">
        <f>('13.1н'!O43+'13.2н'!O43+'13.3н'!O43)/3</f>
        <v>0</v>
      </c>
      <c r="P43" s="91">
        <f>('13.1н'!P43+'13.2н'!P43+'13.3н'!P43)/3</f>
        <v>0</v>
      </c>
      <c r="Q43" s="91">
        <f>('13.1н'!Q43+'13.2н'!Q43+'13.3н'!Q43)/3</f>
        <v>0</v>
      </c>
      <c r="R43" s="91">
        <f>('13.1н'!B43+'13.2н'!B43+'13.3н'!B43)/3</f>
        <v>0.1392391748907241</v>
      </c>
    </row>
    <row r="44" spans="1:18" x14ac:dyDescent="0.25">
      <c r="A44" s="84">
        <v>43</v>
      </c>
      <c r="B44" s="84" t="s">
        <v>41</v>
      </c>
      <c r="C44" s="91" t="e">
        <f>('13.1н'!#REF!+'13.2н'!#REF!+'13.3н'!#REF!)/3</f>
        <v>#REF!</v>
      </c>
      <c r="D44" s="91" t="e">
        <f>('13.1н'!#REF!+'13.2н'!#REF!+'13.3н'!#REF!)/3</f>
        <v>#REF!</v>
      </c>
      <c r="E44" s="91">
        <f>('13.1н'!E44+'13.2н'!E44+'13.3н'!E44)/3</f>
        <v>0</v>
      </c>
      <c r="F44" s="91">
        <f>('13.1н'!F44+'13.2н'!F44+'13.3н'!F44)/3</f>
        <v>0</v>
      </c>
      <c r="G44" s="91">
        <f>('13.1н'!G44+'13.2н'!G44+'13.3н'!G44)/3</f>
        <v>0</v>
      </c>
      <c r="H44" s="91">
        <f>('13.1н'!H44+'13.2н'!H44+'13.3н'!H44)/3</f>
        <v>0</v>
      </c>
      <c r="I44" s="91">
        <f>('13.1н'!I44+'13.2н'!I44+'13.3н'!I44)/3</f>
        <v>0</v>
      </c>
      <c r="J44" s="91">
        <f>('13.1н'!J44+'13.2н'!J44+'13.3н'!J44)/3</f>
        <v>0</v>
      </c>
      <c r="K44" s="91">
        <f>('13.1н'!K44+'13.2н'!K44+'13.3н'!K44)/3</f>
        <v>0</v>
      </c>
      <c r="L44" s="91">
        <f>('13.1н'!L44+'13.2н'!L44+'13.3н'!L44)/3</f>
        <v>0</v>
      </c>
      <c r="M44" s="91">
        <f>('13.1н'!M44+'13.2н'!M44+'13.3н'!M44)/3</f>
        <v>0</v>
      </c>
      <c r="N44" s="91">
        <f>('13.1н'!N44+'13.2н'!N44+'13.3н'!N44)/3</f>
        <v>0</v>
      </c>
      <c r="O44" s="91">
        <f>('13.1н'!O44+'13.2н'!O44+'13.3н'!O44)/3</f>
        <v>0</v>
      </c>
      <c r="P44" s="91">
        <f>('13.1н'!P44+'13.2н'!P44+'13.3н'!P44)/3</f>
        <v>0</v>
      </c>
      <c r="Q44" s="91">
        <f>('13.1н'!Q44+'13.2н'!Q44+'13.3н'!Q44)/3</f>
        <v>0</v>
      </c>
      <c r="R44" s="91">
        <f>('13.1н'!B44+'13.2н'!B44+'13.3н'!B44)/3</f>
        <v>0.48921369331555603</v>
      </c>
    </row>
    <row r="45" spans="1:18" x14ac:dyDescent="0.25">
      <c r="A45" s="84">
        <v>44</v>
      </c>
      <c r="B45" s="84" t="s">
        <v>44</v>
      </c>
      <c r="C45" s="91" t="e">
        <f>('13.1н'!#REF!+'13.2н'!#REF!+'13.3н'!#REF!)/3</f>
        <v>#REF!</v>
      </c>
      <c r="D45" s="91" t="e">
        <f>('13.1н'!#REF!+'13.2н'!#REF!+'13.3н'!#REF!)/3</f>
        <v>#REF!</v>
      </c>
      <c r="E45" s="91">
        <f>('13.1н'!E45+'13.2н'!E45+'13.3н'!E45)/3</f>
        <v>0</v>
      </c>
      <c r="F45" s="91">
        <f>('13.1н'!F45+'13.2н'!F45+'13.3н'!F45)/3</f>
        <v>0</v>
      </c>
      <c r="G45" s="91">
        <f>('13.1н'!G45+'13.2н'!G45+'13.3н'!G45)/3</f>
        <v>0</v>
      </c>
      <c r="H45" s="91">
        <f>('13.1н'!H45+'13.2н'!H45+'13.3н'!H45)/3</f>
        <v>0</v>
      </c>
      <c r="I45" s="91">
        <f>('13.1н'!I45+'13.2н'!I45+'13.3н'!I45)/3</f>
        <v>0</v>
      </c>
      <c r="J45" s="91">
        <f>('13.1н'!J45+'13.2н'!J45+'13.3н'!J45)/3</f>
        <v>0</v>
      </c>
      <c r="K45" s="91">
        <f>('13.1н'!K45+'13.2н'!K45+'13.3н'!K45)/3</f>
        <v>0</v>
      </c>
      <c r="L45" s="91">
        <f>('13.1н'!L45+'13.2н'!L45+'13.3н'!L45)/3</f>
        <v>0</v>
      </c>
      <c r="M45" s="91">
        <f>('13.1н'!M45+'13.2н'!M45+'13.3н'!M45)/3</f>
        <v>0</v>
      </c>
      <c r="N45" s="91">
        <f>('13.1н'!N45+'13.2н'!N45+'13.3н'!N45)/3</f>
        <v>0</v>
      </c>
      <c r="O45" s="91">
        <f>('13.1н'!O45+'13.2н'!O45+'13.3н'!O45)/3</f>
        <v>0</v>
      </c>
      <c r="P45" s="91">
        <f>('13.1н'!P45+'13.2н'!P45+'13.3н'!P45)/3</f>
        <v>0</v>
      </c>
      <c r="Q45" s="91">
        <f>('13.1н'!Q45+'13.2н'!Q45+'13.3н'!Q45)/3</f>
        <v>0</v>
      </c>
      <c r="R45" s="91">
        <f>('13.1н'!B45+'13.2н'!B45+'13.3н'!B45)/3</f>
        <v>0.59620838622672701</v>
      </c>
    </row>
    <row r="46" spans="1:18" x14ac:dyDescent="0.25">
      <c r="A46" s="84">
        <v>45</v>
      </c>
      <c r="B46" s="84" t="s">
        <v>45</v>
      </c>
      <c r="C46" s="91" t="e">
        <f>('13.1н'!#REF!+'13.2н'!#REF!+'13.3н'!#REF!)/3</f>
        <v>#REF!</v>
      </c>
      <c r="D46" s="91" t="e">
        <f>('13.1н'!#REF!+'13.2н'!#REF!+'13.3н'!#REF!)/3</f>
        <v>#REF!</v>
      </c>
      <c r="E46" s="91">
        <f>('13.1н'!E46+'13.2н'!E46+'13.3н'!E46)/3</f>
        <v>0</v>
      </c>
      <c r="F46" s="91">
        <f>('13.1н'!F46+'13.2н'!F46+'13.3н'!F46)/3</f>
        <v>0</v>
      </c>
      <c r="G46" s="91">
        <f>('13.1н'!G46+'13.2н'!G46+'13.3н'!G46)/3</f>
        <v>0</v>
      </c>
      <c r="H46" s="91">
        <f>('13.1н'!H46+'13.2н'!H46+'13.3н'!H46)/3</f>
        <v>0</v>
      </c>
      <c r="I46" s="91">
        <f>('13.1н'!I46+'13.2н'!I46+'13.3н'!I46)/3</f>
        <v>0</v>
      </c>
      <c r="J46" s="91">
        <f>('13.1н'!J46+'13.2н'!J46+'13.3н'!J46)/3</f>
        <v>0</v>
      </c>
      <c r="K46" s="91">
        <f>('13.1н'!K46+'13.2н'!K46+'13.3н'!K46)/3</f>
        <v>0</v>
      </c>
      <c r="L46" s="91">
        <f>('13.1н'!L46+'13.2н'!L46+'13.3н'!L46)/3</f>
        <v>0</v>
      </c>
      <c r="M46" s="91">
        <f>('13.1н'!M46+'13.2н'!M46+'13.3н'!M46)/3</f>
        <v>0</v>
      </c>
      <c r="N46" s="91">
        <f>('13.1н'!N46+'13.2н'!N46+'13.3н'!N46)/3</f>
        <v>0</v>
      </c>
      <c r="O46" s="91">
        <f>('13.1н'!O46+'13.2н'!O46+'13.3н'!O46)/3</f>
        <v>0</v>
      </c>
      <c r="P46" s="91">
        <f>('13.1н'!P46+'13.2н'!P46+'13.3н'!P46)/3</f>
        <v>0</v>
      </c>
      <c r="Q46" s="91">
        <f>('13.1н'!Q46+'13.2н'!Q46+'13.3н'!Q46)/3</f>
        <v>0</v>
      </c>
      <c r="R46" s="91">
        <f>('13.1н'!B46+'13.2н'!B46+'13.3н'!B46)/3</f>
        <v>0.50255237440139189</v>
      </c>
    </row>
    <row r="47" spans="1:18" x14ac:dyDescent="0.25">
      <c r="A47" s="84">
        <v>46</v>
      </c>
      <c r="B47" s="84" t="s">
        <v>46</v>
      </c>
      <c r="C47" s="91" t="e">
        <f>('13.1н'!#REF!+'13.2н'!#REF!+'13.3н'!#REF!)/3</f>
        <v>#REF!</v>
      </c>
      <c r="D47" s="91" t="e">
        <f>('13.1н'!#REF!+'13.2н'!#REF!+'13.3н'!#REF!)/3</f>
        <v>#REF!</v>
      </c>
      <c r="E47" s="91">
        <f>('13.1н'!E47+'13.2н'!E47+'13.3н'!E47)/3</f>
        <v>0</v>
      </c>
      <c r="F47" s="91">
        <f>('13.1н'!F47+'13.2н'!F47+'13.3н'!F47)/3</f>
        <v>0</v>
      </c>
      <c r="G47" s="91">
        <f>('13.1н'!G47+'13.2н'!G47+'13.3н'!G47)/3</f>
        <v>0</v>
      </c>
      <c r="H47" s="91">
        <f>('13.1н'!H47+'13.2н'!H47+'13.3н'!H47)/3</f>
        <v>0</v>
      </c>
      <c r="I47" s="91">
        <f>('13.1н'!I47+'13.2н'!I47+'13.3н'!I47)/3</f>
        <v>0</v>
      </c>
      <c r="J47" s="91">
        <f>('13.1н'!J47+'13.2н'!J47+'13.3н'!J47)/3</f>
        <v>0</v>
      </c>
      <c r="K47" s="91">
        <f>('13.1н'!K47+'13.2н'!K47+'13.3н'!K47)/3</f>
        <v>0</v>
      </c>
      <c r="L47" s="91">
        <f>('13.1н'!L47+'13.2н'!L47+'13.3н'!L47)/3</f>
        <v>0</v>
      </c>
      <c r="M47" s="91">
        <f>('13.1н'!M47+'13.2н'!M47+'13.3н'!M47)/3</f>
        <v>0</v>
      </c>
      <c r="N47" s="91">
        <f>('13.1н'!N47+'13.2н'!N47+'13.3н'!N47)/3</f>
        <v>0</v>
      </c>
      <c r="O47" s="91">
        <f>('13.1н'!O47+'13.2н'!O47+'13.3н'!O47)/3</f>
        <v>0</v>
      </c>
      <c r="P47" s="91">
        <f>('13.1н'!P47+'13.2н'!P47+'13.3н'!P47)/3</f>
        <v>0</v>
      </c>
      <c r="Q47" s="91">
        <f>('13.1н'!Q47+'13.2н'!Q47+'13.3н'!Q47)/3</f>
        <v>0</v>
      </c>
      <c r="R47" s="91">
        <f>('13.1н'!B47+'13.2н'!B47+'13.3н'!B47)/3</f>
        <v>0.52207206427279718</v>
      </c>
    </row>
    <row r="48" spans="1:18" x14ac:dyDescent="0.25">
      <c r="A48" s="84">
        <v>47</v>
      </c>
      <c r="B48" s="84" t="s">
        <v>47</v>
      </c>
      <c r="C48" s="91" t="e">
        <f>('13.1н'!#REF!+'13.2н'!#REF!+'13.3н'!#REF!)/3</f>
        <v>#REF!</v>
      </c>
      <c r="D48" s="91" t="e">
        <f>('13.1н'!#REF!+'13.2н'!#REF!+'13.3н'!#REF!)/3</f>
        <v>#REF!</v>
      </c>
      <c r="E48" s="91">
        <f>('13.1н'!E48+'13.2н'!E48+'13.3н'!E48)/3</f>
        <v>0</v>
      </c>
      <c r="F48" s="91">
        <f>('13.1н'!F48+'13.2н'!F48+'13.3н'!F48)/3</f>
        <v>0</v>
      </c>
      <c r="G48" s="91">
        <f>('13.1н'!G48+'13.2н'!G48+'13.3н'!G48)/3</f>
        <v>0</v>
      </c>
      <c r="H48" s="91">
        <f>('13.1н'!H48+'13.2н'!H48+'13.3н'!H48)/3</f>
        <v>0</v>
      </c>
      <c r="I48" s="91">
        <f>('13.1н'!I48+'13.2н'!I48+'13.3н'!I48)/3</f>
        <v>0</v>
      </c>
      <c r="J48" s="91">
        <f>('13.1н'!J48+'13.2н'!J48+'13.3н'!J48)/3</f>
        <v>0</v>
      </c>
      <c r="K48" s="91">
        <f>('13.1н'!K48+'13.2н'!K48+'13.3н'!K48)/3</f>
        <v>0</v>
      </c>
      <c r="L48" s="91">
        <f>('13.1н'!L48+'13.2н'!L48+'13.3н'!L48)/3</f>
        <v>0</v>
      </c>
      <c r="M48" s="91">
        <f>('13.1н'!M48+'13.2н'!M48+'13.3н'!M48)/3</f>
        <v>0</v>
      </c>
      <c r="N48" s="91">
        <f>('13.1н'!N48+'13.2н'!N48+'13.3н'!N48)/3</f>
        <v>0</v>
      </c>
      <c r="O48" s="91">
        <f>('13.1н'!O48+'13.2н'!O48+'13.3н'!O48)/3</f>
        <v>0</v>
      </c>
      <c r="P48" s="91">
        <f>('13.1н'!P48+'13.2н'!P48+'13.3н'!P48)/3</f>
        <v>0</v>
      </c>
      <c r="Q48" s="91">
        <f>('13.1н'!Q48+'13.2н'!Q48+'13.3н'!Q48)/3</f>
        <v>0</v>
      </c>
      <c r="R48" s="91">
        <f>('13.1н'!B48+'13.2н'!B48+'13.3н'!B48)/3</f>
        <v>0.70076548303520836</v>
      </c>
    </row>
    <row r="49" spans="1:18" x14ac:dyDescent="0.25">
      <c r="A49" s="84">
        <v>48</v>
      </c>
      <c r="B49" s="84" t="s">
        <v>48</v>
      </c>
      <c r="C49" s="91" t="e">
        <f>('13.1н'!#REF!+'13.2н'!#REF!+'13.3н'!#REF!)/3</f>
        <v>#REF!</v>
      </c>
      <c r="D49" s="91" t="e">
        <f>('13.1н'!#REF!+'13.2н'!#REF!+'13.3н'!#REF!)/3</f>
        <v>#REF!</v>
      </c>
      <c r="E49" s="91">
        <f>('13.1н'!E49+'13.2н'!E49+'13.3н'!E49)/3</f>
        <v>0</v>
      </c>
      <c r="F49" s="91">
        <f>('13.1н'!F49+'13.2н'!F49+'13.3н'!F49)/3</f>
        <v>0</v>
      </c>
      <c r="G49" s="91">
        <f>('13.1н'!G49+'13.2н'!G49+'13.3н'!G49)/3</f>
        <v>0</v>
      </c>
      <c r="H49" s="91">
        <f>('13.1н'!H49+'13.2н'!H49+'13.3н'!H49)/3</f>
        <v>0</v>
      </c>
      <c r="I49" s="91">
        <f>('13.1н'!I49+'13.2н'!I49+'13.3н'!I49)/3</f>
        <v>0</v>
      </c>
      <c r="J49" s="91">
        <f>('13.1н'!J49+'13.2н'!J49+'13.3н'!J49)/3</f>
        <v>0</v>
      </c>
      <c r="K49" s="91">
        <f>('13.1н'!K49+'13.2н'!K49+'13.3н'!K49)/3</f>
        <v>0</v>
      </c>
      <c r="L49" s="91">
        <f>('13.1н'!L49+'13.2н'!L49+'13.3н'!L49)/3</f>
        <v>0</v>
      </c>
      <c r="M49" s="91">
        <f>('13.1н'!M49+'13.2н'!M49+'13.3н'!M49)/3</f>
        <v>0</v>
      </c>
      <c r="N49" s="91">
        <f>('13.1н'!N49+'13.2н'!N49+'13.3н'!N49)/3</f>
        <v>0</v>
      </c>
      <c r="O49" s="91">
        <f>('13.1н'!O49+'13.2н'!O49+'13.3н'!O49)/3</f>
        <v>0</v>
      </c>
      <c r="P49" s="91">
        <f>('13.1н'!P49+'13.2н'!P49+'13.3н'!P49)/3</f>
        <v>0</v>
      </c>
      <c r="Q49" s="91">
        <f>('13.1н'!Q49+'13.2н'!Q49+'13.3н'!Q49)/3</f>
        <v>0</v>
      </c>
      <c r="R49" s="91">
        <f>('13.1н'!B49+'13.2н'!B49+'13.3н'!B49)/3</f>
        <v>0.60810284907319645</v>
      </c>
    </row>
    <row r="50" spans="1:18" x14ac:dyDescent="0.25">
      <c r="A50" s="84">
        <v>49</v>
      </c>
      <c r="B50" s="84" t="s">
        <v>49</v>
      </c>
      <c r="C50" s="91" t="e">
        <f>('13.1н'!#REF!+'13.2н'!#REF!+'13.3н'!#REF!)/3</f>
        <v>#REF!</v>
      </c>
      <c r="D50" s="91" t="e">
        <f>('13.1н'!#REF!+'13.2н'!#REF!+'13.3н'!#REF!)/3</f>
        <v>#REF!</v>
      </c>
      <c r="E50" s="91">
        <f>('13.1н'!E50+'13.2н'!E50+'13.3н'!E50)/3</f>
        <v>0</v>
      </c>
      <c r="F50" s="91">
        <f>('13.1н'!F50+'13.2н'!F50+'13.3н'!F50)/3</f>
        <v>0</v>
      </c>
      <c r="G50" s="91">
        <f>('13.1н'!G50+'13.2н'!G50+'13.3н'!G50)/3</f>
        <v>0</v>
      </c>
      <c r="H50" s="91">
        <f>('13.1н'!H50+'13.2н'!H50+'13.3н'!H50)/3</f>
        <v>0</v>
      </c>
      <c r="I50" s="91">
        <f>('13.1н'!I50+'13.2н'!I50+'13.3н'!I50)/3</f>
        <v>0</v>
      </c>
      <c r="J50" s="91">
        <f>('13.1н'!J50+'13.2н'!J50+'13.3н'!J50)/3</f>
        <v>0</v>
      </c>
      <c r="K50" s="91">
        <f>('13.1н'!K50+'13.2н'!K50+'13.3н'!K50)/3</f>
        <v>0</v>
      </c>
      <c r="L50" s="91">
        <f>('13.1н'!L50+'13.2н'!L50+'13.3н'!L50)/3</f>
        <v>0</v>
      </c>
      <c r="M50" s="91">
        <f>('13.1н'!M50+'13.2н'!M50+'13.3н'!M50)/3</f>
        <v>0</v>
      </c>
      <c r="N50" s="91">
        <f>('13.1н'!N50+'13.2н'!N50+'13.3н'!N50)/3</f>
        <v>0</v>
      </c>
      <c r="O50" s="91">
        <f>('13.1н'!O50+'13.2н'!O50+'13.3н'!O50)/3</f>
        <v>0</v>
      </c>
      <c r="P50" s="91">
        <f>('13.1н'!P50+'13.2н'!P50+'13.3н'!P50)/3</f>
        <v>0</v>
      </c>
      <c r="Q50" s="91">
        <f>('13.1н'!Q50+'13.2н'!Q50+'13.3н'!Q50)/3</f>
        <v>0</v>
      </c>
      <c r="R50" s="91">
        <f>('13.1н'!B50+'13.2н'!B50+'13.3н'!B50)/3</f>
        <v>0.5803546753801373</v>
      </c>
    </row>
    <row r="51" spans="1:18" x14ac:dyDescent="0.25">
      <c r="A51" s="84">
        <v>50</v>
      </c>
      <c r="B51" s="84" t="s">
        <v>50</v>
      </c>
      <c r="C51" s="91" t="e">
        <f>('13.1н'!#REF!+'13.2н'!#REF!+'13.3н'!#REF!)/3</f>
        <v>#REF!</v>
      </c>
      <c r="D51" s="91" t="e">
        <f>('13.1н'!#REF!+'13.2н'!#REF!+'13.3н'!#REF!)/3</f>
        <v>#REF!</v>
      </c>
      <c r="E51" s="91">
        <f>('13.1н'!E51+'13.2н'!E51+'13.3н'!E51)/3</f>
        <v>0</v>
      </c>
      <c r="F51" s="91">
        <f>('13.1н'!F51+'13.2н'!F51+'13.3н'!F51)/3</f>
        <v>0</v>
      </c>
      <c r="G51" s="91">
        <f>('13.1н'!G51+'13.2н'!G51+'13.3н'!G51)/3</f>
        <v>0</v>
      </c>
      <c r="H51" s="91">
        <f>('13.1н'!H51+'13.2н'!H51+'13.3н'!H51)/3</f>
        <v>0</v>
      </c>
      <c r="I51" s="91">
        <f>('13.1н'!I51+'13.2н'!I51+'13.3н'!I51)/3</f>
        <v>0</v>
      </c>
      <c r="J51" s="91">
        <f>('13.1н'!J51+'13.2н'!J51+'13.3н'!J51)/3</f>
        <v>0</v>
      </c>
      <c r="K51" s="91">
        <f>('13.1н'!K51+'13.2н'!K51+'13.3н'!K51)/3</f>
        <v>0</v>
      </c>
      <c r="L51" s="91">
        <f>('13.1н'!L51+'13.2н'!L51+'13.3н'!L51)/3</f>
        <v>0</v>
      </c>
      <c r="M51" s="91">
        <f>('13.1н'!M51+'13.2н'!M51+'13.3н'!M51)/3</f>
        <v>0</v>
      </c>
      <c r="N51" s="91">
        <f>('13.1н'!N51+'13.2н'!N51+'13.3н'!N51)/3</f>
        <v>0</v>
      </c>
      <c r="O51" s="91">
        <f>('13.1н'!O51+'13.2н'!O51+'13.3н'!O51)/3</f>
        <v>0</v>
      </c>
      <c r="P51" s="91">
        <f>('13.1н'!P51+'13.2н'!P51+'13.3н'!P51)/3</f>
        <v>0</v>
      </c>
      <c r="Q51" s="91">
        <f>('13.1н'!Q51+'13.2н'!Q51+'13.3н'!Q51)/3</f>
        <v>0</v>
      </c>
      <c r="R51" s="91">
        <f>('13.1н'!B51+'13.2н'!B51+'13.3н'!B51)/3</f>
        <v>0.62933678942877369</v>
      </c>
    </row>
    <row r="52" spans="1:18" x14ac:dyDescent="0.25">
      <c r="A52" s="84">
        <v>51</v>
      </c>
      <c r="B52" s="84" t="s">
        <v>51</v>
      </c>
      <c r="C52" s="91" t="e">
        <f>('13.1н'!#REF!+'13.2н'!#REF!+'13.3н'!#REF!)/3</f>
        <v>#REF!</v>
      </c>
      <c r="D52" s="91" t="e">
        <f>('13.1н'!#REF!+'13.2н'!#REF!+'13.3н'!#REF!)/3</f>
        <v>#REF!</v>
      </c>
      <c r="E52" s="91">
        <f>('13.1н'!E52+'13.2н'!E52+'13.3н'!E52)/3</f>
        <v>0</v>
      </c>
      <c r="F52" s="91">
        <f>('13.1н'!F52+'13.2н'!F52+'13.3н'!F52)/3</f>
        <v>0</v>
      </c>
      <c r="G52" s="91">
        <f>('13.1н'!G52+'13.2н'!G52+'13.3н'!G52)/3</f>
        <v>0</v>
      </c>
      <c r="H52" s="91">
        <f>('13.1н'!H52+'13.2н'!H52+'13.3н'!H52)/3</f>
        <v>0</v>
      </c>
      <c r="I52" s="91">
        <f>('13.1н'!I52+'13.2н'!I52+'13.3н'!I52)/3</f>
        <v>0</v>
      </c>
      <c r="J52" s="91">
        <f>('13.1н'!J52+'13.2н'!J52+'13.3н'!J52)/3</f>
        <v>0</v>
      </c>
      <c r="K52" s="91">
        <f>('13.1н'!K52+'13.2н'!K52+'13.3н'!K52)/3</f>
        <v>0</v>
      </c>
      <c r="L52" s="91">
        <f>('13.1н'!L52+'13.2н'!L52+'13.3н'!L52)/3</f>
        <v>0</v>
      </c>
      <c r="M52" s="91">
        <f>('13.1н'!M52+'13.2н'!M52+'13.3н'!M52)/3</f>
        <v>0</v>
      </c>
      <c r="N52" s="91">
        <f>('13.1н'!N52+'13.2н'!N52+'13.3н'!N52)/3</f>
        <v>0</v>
      </c>
      <c r="O52" s="91">
        <f>('13.1н'!O52+'13.2н'!O52+'13.3н'!O52)/3</f>
        <v>0</v>
      </c>
      <c r="P52" s="91">
        <f>('13.1н'!P52+'13.2н'!P52+'13.3н'!P52)/3</f>
        <v>0</v>
      </c>
      <c r="Q52" s="91">
        <f>('13.1н'!Q52+'13.2н'!Q52+'13.3н'!Q52)/3</f>
        <v>0</v>
      </c>
      <c r="R52" s="91">
        <f>('13.1н'!B52+'13.2н'!B52+'13.3н'!B52)/3</f>
        <v>0.54773935678119912</v>
      </c>
    </row>
    <row r="53" spans="1:18" x14ac:dyDescent="0.25">
      <c r="A53" s="84">
        <v>52</v>
      </c>
      <c r="B53" s="84" t="s">
        <v>52</v>
      </c>
      <c r="C53" s="91" t="e">
        <f>('13.1н'!#REF!+'13.2н'!#REF!+'13.3н'!#REF!)/3</f>
        <v>#REF!</v>
      </c>
      <c r="D53" s="91" t="e">
        <f>('13.1н'!#REF!+'13.2н'!#REF!+'13.3н'!#REF!)/3</f>
        <v>#REF!</v>
      </c>
      <c r="E53" s="91">
        <f>('13.1н'!E53+'13.2н'!E53+'13.3н'!E53)/3</f>
        <v>0</v>
      </c>
      <c r="F53" s="91">
        <f>('13.1н'!F53+'13.2н'!F53+'13.3н'!F53)/3</f>
        <v>0</v>
      </c>
      <c r="G53" s="91">
        <f>('13.1н'!G53+'13.2н'!G53+'13.3н'!G53)/3</f>
        <v>0</v>
      </c>
      <c r="H53" s="91">
        <f>('13.1н'!H53+'13.2н'!H53+'13.3н'!H53)/3</f>
        <v>0</v>
      </c>
      <c r="I53" s="91">
        <f>('13.1н'!I53+'13.2н'!I53+'13.3н'!I53)/3</f>
        <v>0</v>
      </c>
      <c r="J53" s="91">
        <f>('13.1н'!J53+'13.2н'!J53+'13.3н'!J53)/3</f>
        <v>0</v>
      </c>
      <c r="K53" s="91">
        <f>('13.1н'!K53+'13.2н'!K53+'13.3н'!K53)/3</f>
        <v>0</v>
      </c>
      <c r="L53" s="91">
        <f>('13.1н'!L53+'13.2н'!L53+'13.3н'!L53)/3</f>
        <v>0</v>
      </c>
      <c r="M53" s="91">
        <f>('13.1н'!M53+'13.2н'!M53+'13.3н'!M53)/3</f>
        <v>0</v>
      </c>
      <c r="N53" s="91">
        <f>('13.1н'!N53+'13.2н'!N53+'13.3н'!N53)/3</f>
        <v>0</v>
      </c>
      <c r="O53" s="91">
        <f>('13.1н'!O53+'13.2н'!O53+'13.3н'!O53)/3</f>
        <v>0</v>
      </c>
      <c r="P53" s="91">
        <f>('13.1н'!P53+'13.2н'!P53+'13.3н'!P53)/3</f>
        <v>0</v>
      </c>
      <c r="Q53" s="91">
        <f>('13.1н'!Q53+'13.2н'!Q53+'13.3н'!Q53)/3</f>
        <v>0</v>
      </c>
      <c r="R53" s="91">
        <f>('13.1н'!B53+'13.2н'!B53+'13.3н'!B53)/3</f>
        <v>0.63770232320356157</v>
      </c>
    </row>
    <row r="54" spans="1:18" x14ac:dyDescent="0.25">
      <c r="A54" s="84">
        <v>53</v>
      </c>
      <c r="B54" s="84" t="s">
        <v>53</v>
      </c>
      <c r="C54" s="91" t="e">
        <f>('13.1н'!#REF!+'13.2н'!#REF!+'13.3н'!#REF!)/3</f>
        <v>#REF!</v>
      </c>
      <c r="D54" s="91" t="e">
        <f>('13.1н'!#REF!+'13.2н'!#REF!+'13.3н'!#REF!)/3</f>
        <v>#REF!</v>
      </c>
      <c r="E54" s="91">
        <f>('13.1н'!E54+'13.2н'!E54+'13.3н'!E54)/3</f>
        <v>0</v>
      </c>
      <c r="F54" s="91">
        <f>('13.1н'!F54+'13.2н'!F54+'13.3н'!F54)/3</f>
        <v>0</v>
      </c>
      <c r="G54" s="91">
        <f>('13.1н'!G54+'13.2н'!G54+'13.3н'!G54)/3</f>
        <v>0</v>
      </c>
      <c r="H54" s="91">
        <f>('13.1н'!H54+'13.2н'!H54+'13.3н'!H54)/3</f>
        <v>0</v>
      </c>
      <c r="I54" s="91">
        <f>('13.1н'!I54+'13.2н'!I54+'13.3н'!I54)/3</f>
        <v>0</v>
      </c>
      <c r="J54" s="91">
        <f>('13.1н'!J54+'13.2н'!J54+'13.3н'!J54)/3</f>
        <v>0</v>
      </c>
      <c r="K54" s="91">
        <f>('13.1н'!K54+'13.2н'!K54+'13.3н'!K54)/3</f>
        <v>0</v>
      </c>
      <c r="L54" s="91">
        <f>('13.1н'!L54+'13.2н'!L54+'13.3н'!L54)/3</f>
        <v>0</v>
      </c>
      <c r="M54" s="91">
        <f>('13.1н'!M54+'13.2н'!M54+'13.3н'!M54)/3</f>
        <v>0</v>
      </c>
      <c r="N54" s="91">
        <f>('13.1н'!N54+'13.2н'!N54+'13.3н'!N54)/3</f>
        <v>0</v>
      </c>
      <c r="O54" s="91">
        <f>('13.1н'!O54+'13.2н'!O54+'13.3н'!O54)/3</f>
        <v>0</v>
      </c>
      <c r="P54" s="91">
        <f>('13.1н'!P54+'13.2н'!P54+'13.3н'!P54)/3</f>
        <v>0</v>
      </c>
      <c r="Q54" s="91">
        <f>('13.1н'!Q54+'13.2н'!Q54+'13.3н'!Q54)/3</f>
        <v>0</v>
      </c>
      <c r="R54" s="91">
        <f>('13.1н'!B54+'13.2н'!B54+'13.3н'!B54)/3</f>
        <v>0.59897947283376596</v>
      </c>
    </row>
    <row r="55" spans="1:18" x14ac:dyDescent="0.25">
      <c r="A55" s="84">
        <v>54</v>
      </c>
      <c r="B55" s="84" t="s">
        <v>54</v>
      </c>
      <c r="C55" s="91" t="e">
        <f>('13.1н'!#REF!+'13.2н'!#REF!+'13.3н'!#REF!)/3</f>
        <v>#REF!</v>
      </c>
      <c r="D55" s="91" t="e">
        <f>('13.1н'!#REF!+'13.2н'!#REF!+'13.3н'!#REF!)/3</f>
        <v>#REF!</v>
      </c>
      <c r="E55" s="91">
        <f>('13.1н'!E55+'13.2н'!E55+'13.3н'!E55)/3</f>
        <v>0</v>
      </c>
      <c r="F55" s="91">
        <f>('13.1н'!F55+'13.2н'!F55+'13.3н'!F55)/3</f>
        <v>0</v>
      </c>
      <c r="G55" s="91">
        <f>('13.1н'!G55+'13.2н'!G55+'13.3н'!G55)/3</f>
        <v>0</v>
      </c>
      <c r="H55" s="91">
        <f>('13.1н'!H55+'13.2н'!H55+'13.3н'!H55)/3</f>
        <v>0</v>
      </c>
      <c r="I55" s="91">
        <f>('13.1н'!I55+'13.2н'!I55+'13.3н'!I55)/3</f>
        <v>0</v>
      </c>
      <c r="J55" s="91">
        <f>('13.1н'!J55+'13.2н'!J55+'13.3н'!J55)/3</f>
        <v>0</v>
      </c>
      <c r="K55" s="91">
        <f>('13.1н'!K55+'13.2н'!K55+'13.3н'!K55)/3</f>
        <v>0</v>
      </c>
      <c r="L55" s="91">
        <f>('13.1н'!L55+'13.2н'!L55+'13.3н'!L55)/3</f>
        <v>0</v>
      </c>
      <c r="M55" s="91">
        <f>('13.1н'!M55+'13.2н'!M55+'13.3н'!M55)/3</f>
        <v>0</v>
      </c>
      <c r="N55" s="91">
        <f>('13.1н'!N55+'13.2н'!N55+'13.3н'!N55)/3</f>
        <v>0</v>
      </c>
      <c r="O55" s="91">
        <f>('13.1н'!O55+'13.2н'!O55+'13.3н'!O55)/3</f>
        <v>0</v>
      </c>
      <c r="P55" s="91">
        <f>('13.1н'!P55+'13.2н'!P55+'13.3н'!P55)/3</f>
        <v>0</v>
      </c>
      <c r="Q55" s="91">
        <f>('13.1н'!Q55+'13.2н'!Q55+'13.3н'!Q55)/3</f>
        <v>0</v>
      </c>
      <c r="R55" s="91">
        <f>('13.1н'!B55+'13.2н'!B55+'13.3н'!B55)/3</f>
        <v>0.53970882212158378</v>
      </c>
    </row>
    <row r="56" spans="1:18" x14ac:dyDescent="0.25">
      <c r="A56" s="84">
        <v>55</v>
      </c>
      <c r="B56" s="84" t="s">
        <v>55</v>
      </c>
      <c r="C56" s="91" t="e">
        <f>('13.1н'!#REF!+'13.2н'!#REF!+'13.3н'!#REF!)/3</f>
        <v>#REF!</v>
      </c>
      <c r="D56" s="91" t="e">
        <f>('13.1н'!#REF!+'13.2н'!#REF!+'13.3н'!#REF!)/3</f>
        <v>#REF!</v>
      </c>
      <c r="E56" s="91">
        <f>('13.1н'!E56+'13.2н'!E56+'13.3н'!E56)/3</f>
        <v>0</v>
      </c>
      <c r="F56" s="91">
        <f>('13.1н'!F56+'13.2н'!F56+'13.3н'!F56)/3</f>
        <v>0</v>
      </c>
      <c r="G56" s="91">
        <f>('13.1н'!G56+'13.2н'!G56+'13.3н'!G56)/3</f>
        <v>0</v>
      </c>
      <c r="H56" s="91">
        <f>('13.1н'!H56+'13.2н'!H56+'13.3н'!H56)/3</f>
        <v>0</v>
      </c>
      <c r="I56" s="91">
        <f>('13.1н'!I56+'13.2н'!I56+'13.3н'!I56)/3</f>
        <v>0</v>
      </c>
      <c r="J56" s="91">
        <f>('13.1н'!J56+'13.2н'!J56+'13.3н'!J56)/3</f>
        <v>0</v>
      </c>
      <c r="K56" s="91">
        <f>('13.1н'!K56+'13.2н'!K56+'13.3н'!K56)/3</f>
        <v>0</v>
      </c>
      <c r="L56" s="91">
        <f>('13.1н'!L56+'13.2н'!L56+'13.3н'!L56)/3</f>
        <v>0</v>
      </c>
      <c r="M56" s="91">
        <f>('13.1н'!M56+'13.2н'!M56+'13.3н'!M56)/3</f>
        <v>0</v>
      </c>
      <c r="N56" s="91">
        <f>('13.1н'!N56+'13.2н'!N56+'13.3н'!N56)/3</f>
        <v>0</v>
      </c>
      <c r="O56" s="91">
        <f>('13.1н'!O56+'13.2н'!O56+'13.3н'!O56)/3</f>
        <v>0</v>
      </c>
      <c r="P56" s="91">
        <f>('13.1н'!P56+'13.2н'!P56+'13.3н'!P56)/3</f>
        <v>0</v>
      </c>
      <c r="Q56" s="91">
        <f>('13.1н'!Q56+'13.2н'!Q56+'13.3н'!Q56)/3</f>
        <v>0</v>
      </c>
      <c r="R56" s="91">
        <f>('13.1н'!B56+'13.2н'!B56+'13.3н'!B56)/3</f>
        <v>0.66004202787694155</v>
      </c>
    </row>
    <row r="57" spans="1:18" x14ac:dyDescent="0.25">
      <c r="A57" s="84">
        <v>56</v>
      </c>
      <c r="B57" s="84" t="s">
        <v>56</v>
      </c>
      <c r="C57" s="91" t="e">
        <f>('13.1н'!#REF!+'13.2н'!#REF!+'13.3н'!#REF!)/3</f>
        <v>#REF!</v>
      </c>
      <c r="D57" s="91" t="e">
        <f>('13.1н'!#REF!+'13.2н'!#REF!+'13.3н'!#REF!)/3</f>
        <v>#REF!</v>
      </c>
      <c r="E57" s="91">
        <f>('13.1н'!E57+'13.2н'!E57+'13.3н'!E57)/3</f>
        <v>0</v>
      </c>
      <c r="F57" s="91">
        <f>('13.1н'!F57+'13.2н'!F57+'13.3н'!F57)/3</f>
        <v>0</v>
      </c>
      <c r="G57" s="91">
        <f>('13.1н'!G57+'13.2н'!G57+'13.3н'!G57)/3</f>
        <v>0</v>
      </c>
      <c r="H57" s="91">
        <f>('13.1н'!H57+'13.2н'!H57+'13.3н'!H57)/3</f>
        <v>0</v>
      </c>
      <c r="I57" s="91">
        <f>('13.1н'!I57+'13.2н'!I57+'13.3н'!I57)/3</f>
        <v>0</v>
      </c>
      <c r="J57" s="91">
        <f>('13.1н'!J57+'13.2н'!J57+'13.3н'!J57)/3</f>
        <v>0</v>
      </c>
      <c r="K57" s="91">
        <f>('13.1н'!K57+'13.2н'!K57+'13.3н'!K57)/3</f>
        <v>0</v>
      </c>
      <c r="L57" s="91">
        <f>('13.1н'!L57+'13.2н'!L57+'13.3н'!L57)/3</f>
        <v>0</v>
      </c>
      <c r="M57" s="91">
        <f>('13.1н'!M57+'13.2н'!M57+'13.3н'!M57)/3</f>
        <v>0</v>
      </c>
      <c r="N57" s="91">
        <f>('13.1н'!N57+'13.2н'!N57+'13.3н'!N57)/3</f>
        <v>0</v>
      </c>
      <c r="O57" s="91">
        <f>('13.1н'!O57+'13.2н'!O57+'13.3н'!O57)/3</f>
        <v>0</v>
      </c>
      <c r="P57" s="91">
        <f>('13.1н'!P57+'13.2н'!P57+'13.3н'!P57)/3</f>
        <v>0</v>
      </c>
      <c r="Q57" s="91">
        <f>('13.1н'!Q57+'13.2н'!Q57+'13.3н'!Q57)/3</f>
        <v>0</v>
      </c>
      <c r="R57" s="91">
        <f>('13.1н'!B57+'13.2н'!B57+'13.3н'!B57)/3</f>
        <v>0.56194109704729012</v>
      </c>
    </row>
    <row r="58" spans="1:18" x14ac:dyDescent="0.25">
      <c r="A58" s="84">
        <v>57</v>
      </c>
      <c r="B58" s="84" t="s">
        <v>57</v>
      </c>
      <c r="C58" s="91" t="e">
        <f>('13.1н'!#REF!+'13.2н'!#REF!+'13.3н'!#REF!)/3</f>
        <v>#REF!</v>
      </c>
      <c r="D58" s="91" t="e">
        <f>('13.1н'!#REF!+'13.2н'!#REF!+'13.3н'!#REF!)/3</f>
        <v>#REF!</v>
      </c>
      <c r="E58" s="91">
        <f>('13.1н'!E58+'13.2н'!E58+'13.3н'!E58)/3</f>
        <v>0</v>
      </c>
      <c r="F58" s="91">
        <f>('13.1н'!F58+'13.2н'!F58+'13.3н'!F58)/3</f>
        <v>0</v>
      </c>
      <c r="G58" s="91">
        <f>('13.1н'!G58+'13.2н'!G58+'13.3н'!G58)/3</f>
        <v>0</v>
      </c>
      <c r="H58" s="91">
        <f>('13.1н'!H58+'13.2н'!H58+'13.3н'!H58)/3</f>
        <v>0</v>
      </c>
      <c r="I58" s="91">
        <f>('13.1н'!I58+'13.2н'!I58+'13.3н'!I58)/3</f>
        <v>0</v>
      </c>
      <c r="J58" s="91">
        <f>('13.1н'!J58+'13.2н'!J58+'13.3н'!J58)/3</f>
        <v>0</v>
      </c>
      <c r="K58" s="91">
        <f>('13.1н'!K58+'13.2н'!K58+'13.3н'!K58)/3</f>
        <v>0</v>
      </c>
      <c r="L58" s="91">
        <f>('13.1н'!L58+'13.2н'!L58+'13.3н'!L58)/3</f>
        <v>0</v>
      </c>
      <c r="M58" s="91">
        <f>('13.1н'!M58+'13.2н'!M58+'13.3н'!M58)/3</f>
        <v>0</v>
      </c>
      <c r="N58" s="91">
        <f>('13.1н'!N58+'13.2н'!N58+'13.3н'!N58)/3</f>
        <v>0</v>
      </c>
      <c r="O58" s="91">
        <f>('13.1н'!O58+'13.2н'!O58+'13.3н'!O58)/3</f>
        <v>0</v>
      </c>
      <c r="P58" s="91">
        <f>('13.1н'!P58+'13.2н'!P58+'13.3н'!P58)/3</f>
        <v>0</v>
      </c>
      <c r="Q58" s="91">
        <f>('13.1н'!Q58+'13.2н'!Q58+'13.3н'!Q58)/3</f>
        <v>0</v>
      </c>
      <c r="R58" s="91">
        <f>('13.1н'!B58+'13.2н'!B58+'13.3н'!B58)/3</f>
        <v>0.57683760163119946</v>
      </c>
    </row>
    <row r="59" spans="1:18" x14ac:dyDescent="0.25">
      <c r="A59" s="84">
        <v>58</v>
      </c>
      <c r="B59" s="84" t="s">
        <v>58</v>
      </c>
      <c r="C59" s="91" t="e">
        <f>('13.1н'!#REF!+'13.2н'!#REF!+'13.3н'!#REF!)/3</f>
        <v>#REF!</v>
      </c>
      <c r="D59" s="91" t="e">
        <f>('13.1н'!#REF!+'13.2н'!#REF!+'13.3н'!#REF!)/3</f>
        <v>#REF!</v>
      </c>
      <c r="E59" s="91">
        <f>('13.1н'!E59+'13.2н'!E59+'13.3н'!E59)/3</f>
        <v>0</v>
      </c>
      <c r="F59" s="91">
        <f>('13.1н'!F59+'13.2н'!F59+'13.3н'!F59)/3</f>
        <v>0</v>
      </c>
      <c r="G59" s="91">
        <f>('13.1н'!G59+'13.2н'!G59+'13.3н'!G59)/3</f>
        <v>0</v>
      </c>
      <c r="H59" s="91">
        <f>('13.1н'!H59+'13.2н'!H59+'13.3н'!H59)/3</f>
        <v>0</v>
      </c>
      <c r="I59" s="91">
        <f>('13.1н'!I59+'13.2н'!I59+'13.3н'!I59)/3</f>
        <v>0</v>
      </c>
      <c r="J59" s="91">
        <f>('13.1н'!J59+'13.2н'!J59+'13.3н'!J59)/3</f>
        <v>0</v>
      </c>
      <c r="K59" s="91">
        <f>('13.1н'!K59+'13.2н'!K59+'13.3н'!K59)/3</f>
        <v>0</v>
      </c>
      <c r="L59" s="91">
        <f>('13.1н'!L59+'13.2н'!L59+'13.3н'!L59)/3</f>
        <v>0</v>
      </c>
      <c r="M59" s="91">
        <f>('13.1н'!M59+'13.2н'!M59+'13.3н'!M59)/3</f>
        <v>0</v>
      </c>
      <c r="N59" s="91">
        <f>('13.1н'!N59+'13.2н'!N59+'13.3н'!N59)/3</f>
        <v>0</v>
      </c>
      <c r="O59" s="91">
        <f>('13.1н'!O59+'13.2н'!O59+'13.3н'!O59)/3</f>
        <v>0</v>
      </c>
      <c r="P59" s="91">
        <f>('13.1н'!P59+'13.2н'!P59+'13.3н'!P59)/3</f>
        <v>0</v>
      </c>
      <c r="Q59" s="91">
        <f>('13.1н'!Q59+'13.2н'!Q59+'13.3н'!Q59)/3</f>
        <v>0</v>
      </c>
      <c r="R59" s="91">
        <f>('13.1н'!B59+'13.2н'!B59+'13.3н'!B59)/3</f>
        <v>0.48177850604499367</v>
      </c>
    </row>
    <row r="60" spans="1:18" x14ac:dyDescent="0.25">
      <c r="A60" s="84">
        <v>59</v>
      </c>
      <c r="B60" s="84" t="s">
        <v>59</v>
      </c>
      <c r="C60" s="91" t="e">
        <f>('13.1н'!#REF!+'13.2н'!#REF!+'13.3н'!#REF!)/3</f>
        <v>#REF!</v>
      </c>
      <c r="D60" s="91" t="e">
        <f>('13.1н'!#REF!+'13.2н'!#REF!+'13.3н'!#REF!)/3</f>
        <v>#REF!</v>
      </c>
      <c r="E60" s="91">
        <f>('13.1н'!E60+'13.2н'!E60+'13.3н'!E60)/3</f>
        <v>0</v>
      </c>
      <c r="F60" s="91">
        <f>('13.1н'!F60+'13.2н'!F60+'13.3н'!F60)/3</f>
        <v>0</v>
      </c>
      <c r="G60" s="91">
        <f>('13.1н'!G60+'13.2н'!G60+'13.3н'!G60)/3</f>
        <v>0</v>
      </c>
      <c r="H60" s="91">
        <f>('13.1н'!H60+'13.2н'!H60+'13.3н'!H60)/3</f>
        <v>0</v>
      </c>
      <c r="I60" s="91">
        <f>('13.1н'!I60+'13.2н'!I60+'13.3н'!I60)/3</f>
        <v>0</v>
      </c>
      <c r="J60" s="91">
        <f>('13.1н'!J60+'13.2н'!J60+'13.3н'!J60)/3</f>
        <v>0</v>
      </c>
      <c r="K60" s="91">
        <f>('13.1н'!K60+'13.2н'!K60+'13.3н'!K60)/3</f>
        <v>0</v>
      </c>
      <c r="L60" s="91">
        <f>('13.1н'!L60+'13.2н'!L60+'13.3н'!L60)/3</f>
        <v>0</v>
      </c>
      <c r="M60" s="91">
        <f>('13.1н'!M60+'13.2н'!M60+'13.3н'!M60)/3</f>
        <v>0</v>
      </c>
      <c r="N60" s="91">
        <f>('13.1н'!N60+'13.2н'!N60+'13.3н'!N60)/3</f>
        <v>0</v>
      </c>
      <c r="O60" s="91">
        <f>('13.1н'!O60+'13.2н'!O60+'13.3н'!O60)/3</f>
        <v>0</v>
      </c>
      <c r="P60" s="91">
        <f>('13.1н'!P60+'13.2н'!P60+'13.3н'!P60)/3</f>
        <v>0</v>
      </c>
      <c r="Q60" s="91">
        <f>('13.1н'!Q60+'13.2н'!Q60+'13.3н'!Q60)/3</f>
        <v>0</v>
      </c>
      <c r="R60" s="91">
        <f>('13.1н'!B60+'13.2н'!B60+'13.3н'!B60)/3</f>
        <v>0.62720666775649014</v>
      </c>
    </row>
    <row r="61" spans="1:18" x14ac:dyDescent="0.25">
      <c r="A61" s="84">
        <v>60</v>
      </c>
      <c r="B61" s="84" t="s">
        <v>60</v>
      </c>
      <c r="C61" s="91" t="e">
        <f>('13.1н'!#REF!+'13.2н'!#REF!+'13.3н'!#REF!)/3</f>
        <v>#REF!</v>
      </c>
      <c r="D61" s="91" t="e">
        <f>('13.1н'!#REF!+'13.2н'!#REF!+'13.3н'!#REF!)/3</f>
        <v>#REF!</v>
      </c>
      <c r="E61" s="91">
        <f>('13.1н'!E61+'13.2н'!E61+'13.3н'!E61)/3</f>
        <v>0</v>
      </c>
      <c r="F61" s="91">
        <f>('13.1н'!F61+'13.2н'!F61+'13.3н'!F61)/3</f>
        <v>0</v>
      </c>
      <c r="G61" s="91">
        <f>('13.1н'!G61+'13.2н'!G61+'13.3н'!G61)/3</f>
        <v>0</v>
      </c>
      <c r="H61" s="91">
        <f>('13.1н'!H61+'13.2н'!H61+'13.3н'!H61)/3</f>
        <v>0</v>
      </c>
      <c r="I61" s="91">
        <f>('13.1н'!I61+'13.2н'!I61+'13.3н'!I61)/3</f>
        <v>0</v>
      </c>
      <c r="J61" s="91">
        <f>('13.1н'!J61+'13.2н'!J61+'13.3н'!J61)/3</f>
        <v>0</v>
      </c>
      <c r="K61" s="91">
        <f>('13.1н'!K61+'13.2н'!K61+'13.3н'!K61)/3</f>
        <v>0</v>
      </c>
      <c r="L61" s="91">
        <f>('13.1н'!L61+'13.2н'!L61+'13.3н'!L61)/3</f>
        <v>0</v>
      </c>
      <c r="M61" s="91">
        <f>('13.1н'!M61+'13.2н'!M61+'13.3н'!M61)/3</f>
        <v>0</v>
      </c>
      <c r="N61" s="91">
        <f>('13.1н'!N61+'13.2н'!N61+'13.3н'!N61)/3</f>
        <v>0</v>
      </c>
      <c r="O61" s="91">
        <f>('13.1н'!O61+'13.2н'!O61+'13.3н'!O61)/3</f>
        <v>0</v>
      </c>
      <c r="P61" s="91">
        <f>('13.1н'!P61+'13.2н'!P61+'13.3н'!P61)/3</f>
        <v>0</v>
      </c>
      <c r="Q61" s="91">
        <f>('13.1н'!Q61+'13.2н'!Q61+'13.3н'!Q61)/3</f>
        <v>0</v>
      </c>
      <c r="R61" s="91">
        <f>('13.1н'!B61+'13.2н'!B61+'13.3н'!B61)/3</f>
        <v>0.52715632269878721</v>
      </c>
    </row>
    <row r="62" spans="1:18" x14ac:dyDescent="0.25">
      <c r="A62" s="84">
        <v>61</v>
      </c>
      <c r="B62" s="84" t="s">
        <v>61</v>
      </c>
      <c r="C62" s="91" t="e">
        <f>('13.1н'!#REF!+'13.2н'!#REF!+'13.3н'!#REF!)/3</f>
        <v>#REF!</v>
      </c>
      <c r="D62" s="91" t="e">
        <f>('13.1н'!#REF!+'13.2н'!#REF!+'13.3н'!#REF!)/3</f>
        <v>#REF!</v>
      </c>
      <c r="E62" s="91">
        <f>('13.1н'!E62+'13.2н'!E62+'13.3н'!E62)/3</f>
        <v>0</v>
      </c>
      <c r="F62" s="91">
        <f>('13.1н'!F62+'13.2н'!F62+'13.3н'!F62)/3</f>
        <v>0</v>
      </c>
      <c r="G62" s="91">
        <f>('13.1н'!G62+'13.2н'!G62+'13.3н'!G62)/3</f>
        <v>0</v>
      </c>
      <c r="H62" s="91">
        <f>('13.1н'!H62+'13.2н'!H62+'13.3н'!H62)/3</f>
        <v>0</v>
      </c>
      <c r="I62" s="91">
        <f>('13.1н'!I62+'13.2н'!I62+'13.3н'!I62)/3</f>
        <v>0</v>
      </c>
      <c r="J62" s="91">
        <f>('13.1н'!J62+'13.2н'!J62+'13.3н'!J62)/3</f>
        <v>0</v>
      </c>
      <c r="K62" s="91">
        <f>('13.1н'!K62+'13.2н'!K62+'13.3н'!K62)/3</f>
        <v>0</v>
      </c>
      <c r="L62" s="91">
        <f>('13.1н'!L62+'13.2н'!L62+'13.3н'!L62)/3</f>
        <v>0</v>
      </c>
      <c r="M62" s="91">
        <f>('13.1н'!M62+'13.2н'!M62+'13.3н'!M62)/3</f>
        <v>0</v>
      </c>
      <c r="N62" s="91">
        <f>('13.1н'!N62+'13.2н'!N62+'13.3н'!N62)/3</f>
        <v>0</v>
      </c>
      <c r="O62" s="91">
        <f>('13.1н'!O62+'13.2н'!O62+'13.3н'!O62)/3</f>
        <v>0</v>
      </c>
      <c r="P62" s="91">
        <f>('13.1н'!P62+'13.2н'!P62+'13.3н'!P62)/3</f>
        <v>0</v>
      </c>
      <c r="Q62" s="91">
        <f>('13.1н'!Q62+'13.2н'!Q62+'13.3н'!Q62)/3</f>
        <v>0</v>
      </c>
      <c r="R62" s="91">
        <f>('13.1н'!B62+'13.2н'!B62+'13.3н'!B62)/3</f>
        <v>0.57969587925647914</v>
      </c>
    </row>
    <row r="63" spans="1:18" x14ac:dyDescent="0.25">
      <c r="A63" s="84">
        <v>62</v>
      </c>
      <c r="B63" s="84" t="s">
        <v>62</v>
      </c>
      <c r="C63" s="91" t="e">
        <f>('13.1н'!#REF!+'13.2н'!#REF!+'13.3н'!#REF!)/3</f>
        <v>#REF!</v>
      </c>
      <c r="D63" s="91" t="e">
        <f>('13.1н'!#REF!+'13.2н'!#REF!+'13.3н'!#REF!)/3</f>
        <v>#REF!</v>
      </c>
      <c r="E63" s="91">
        <f>('13.1н'!E63+'13.2н'!E63+'13.3н'!E63)/3</f>
        <v>0</v>
      </c>
      <c r="F63" s="91">
        <f>('13.1н'!F63+'13.2н'!F63+'13.3н'!F63)/3</f>
        <v>0</v>
      </c>
      <c r="G63" s="91">
        <f>('13.1н'!G63+'13.2н'!G63+'13.3н'!G63)/3</f>
        <v>0</v>
      </c>
      <c r="H63" s="91">
        <f>('13.1н'!H63+'13.2н'!H63+'13.3н'!H63)/3</f>
        <v>0</v>
      </c>
      <c r="I63" s="91">
        <f>('13.1н'!I63+'13.2н'!I63+'13.3н'!I63)/3</f>
        <v>0</v>
      </c>
      <c r="J63" s="91">
        <f>('13.1н'!J63+'13.2н'!J63+'13.3н'!J63)/3</f>
        <v>0</v>
      </c>
      <c r="K63" s="91">
        <f>('13.1н'!K63+'13.2н'!K63+'13.3н'!K63)/3</f>
        <v>0</v>
      </c>
      <c r="L63" s="91">
        <f>('13.1н'!L63+'13.2н'!L63+'13.3н'!L63)/3</f>
        <v>0</v>
      </c>
      <c r="M63" s="91">
        <f>('13.1н'!M63+'13.2н'!M63+'13.3н'!M63)/3</f>
        <v>0</v>
      </c>
      <c r="N63" s="91">
        <f>('13.1н'!N63+'13.2н'!N63+'13.3н'!N63)/3</f>
        <v>0</v>
      </c>
      <c r="O63" s="91">
        <f>('13.1н'!O63+'13.2н'!O63+'13.3н'!O63)/3</f>
        <v>0</v>
      </c>
      <c r="P63" s="91">
        <f>('13.1н'!P63+'13.2н'!P63+'13.3н'!P63)/3</f>
        <v>0</v>
      </c>
      <c r="Q63" s="91">
        <f>('13.1н'!Q63+'13.2н'!Q63+'13.3н'!Q63)/3</f>
        <v>0</v>
      </c>
      <c r="R63" s="91">
        <f>('13.1н'!B63+'13.2н'!B63+'13.3н'!B63)/3</f>
        <v>0.37630853976883033</v>
      </c>
    </row>
    <row r="64" spans="1:18" x14ac:dyDescent="0.25">
      <c r="A64" s="84">
        <v>63</v>
      </c>
      <c r="B64" s="84" t="s">
        <v>63</v>
      </c>
      <c r="C64" s="91" t="e">
        <f>('13.1н'!#REF!+'13.2н'!#REF!+'13.3н'!#REF!)/3</f>
        <v>#REF!</v>
      </c>
      <c r="D64" s="91" t="e">
        <f>('13.1н'!#REF!+'13.2н'!#REF!+'13.3н'!#REF!)/3</f>
        <v>#REF!</v>
      </c>
      <c r="E64" s="91">
        <f>('13.1н'!E64+'13.2н'!E64+'13.3н'!E64)/3</f>
        <v>0</v>
      </c>
      <c r="F64" s="91">
        <f>('13.1н'!F64+'13.2н'!F64+'13.3н'!F64)/3</f>
        <v>0</v>
      </c>
      <c r="G64" s="91">
        <f>('13.1н'!G64+'13.2н'!G64+'13.3н'!G64)/3</f>
        <v>0</v>
      </c>
      <c r="H64" s="91">
        <f>('13.1н'!H64+'13.2н'!H64+'13.3н'!H64)/3</f>
        <v>0</v>
      </c>
      <c r="I64" s="91">
        <f>('13.1н'!I64+'13.2н'!I64+'13.3н'!I64)/3</f>
        <v>0</v>
      </c>
      <c r="J64" s="91">
        <f>('13.1н'!J64+'13.2н'!J64+'13.3н'!J64)/3</f>
        <v>0</v>
      </c>
      <c r="K64" s="91">
        <f>('13.1н'!K64+'13.2н'!K64+'13.3н'!K64)/3</f>
        <v>0</v>
      </c>
      <c r="L64" s="91">
        <f>('13.1н'!L64+'13.2н'!L64+'13.3н'!L64)/3</f>
        <v>0</v>
      </c>
      <c r="M64" s="91">
        <f>('13.1н'!M64+'13.2н'!M64+'13.3н'!M64)/3</f>
        <v>0</v>
      </c>
      <c r="N64" s="91">
        <f>('13.1н'!N64+'13.2н'!N64+'13.3н'!N64)/3</f>
        <v>0</v>
      </c>
      <c r="O64" s="91">
        <f>('13.1н'!O64+'13.2н'!O64+'13.3н'!O64)/3</f>
        <v>0</v>
      </c>
      <c r="P64" s="91">
        <f>('13.1н'!P64+'13.2н'!P64+'13.3н'!P64)/3</f>
        <v>0</v>
      </c>
      <c r="Q64" s="91">
        <f>('13.1н'!Q64+'13.2н'!Q64+'13.3н'!Q64)/3</f>
        <v>0</v>
      </c>
      <c r="R64" s="91">
        <f>('13.1н'!B64+'13.2н'!B64+'13.3н'!B64)/3</f>
        <v>0.42717666328125675</v>
      </c>
    </row>
    <row r="65" spans="1:18" x14ac:dyDescent="0.25">
      <c r="A65" s="84">
        <v>64</v>
      </c>
      <c r="B65" s="84" t="s">
        <v>64</v>
      </c>
      <c r="C65" s="91" t="e">
        <f>('13.1н'!#REF!+'13.2н'!#REF!+'13.3н'!#REF!)/3</f>
        <v>#REF!</v>
      </c>
      <c r="D65" s="91" t="e">
        <f>('13.1н'!#REF!+'13.2н'!#REF!+'13.3н'!#REF!)/3</f>
        <v>#REF!</v>
      </c>
      <c r="E65" s="91">
        <f>('13.1н'!E65+'13.2н'!E65+'13.3н'!E65)/3</f>
        <v>0</v>
      </c>
      <c r="F65" s="91">
        <f>('13.1н'!F65+'13.2н'!F65+'13.3н'!F65)/3</f>
        <v>0</v>
      </c>
      <c r="G65" s="91">
        <f>('13.1н'!G65+'13.2н'!G65+'13.3н'!G65)/3</f>
        <v>0</v>
      </c>
      <c r="H65" s="91">
        <f>('13.1н'!H65+'13.2н'!H65+'13.3н'!H65)/3</f>
        <v>0</v>
      </c>
      <c r="I65" s="91">
        <f>('13.1н'!I65+'13.2н'!I65+'13.3н'!I65)/3</f>
        <v>0</v>
      </c>
      <c r="J65" s="91">
        <f>('13.1н'!J65+'13.2н'!J65+'13.3н'!J65)/3</f>
        <v>0</v>
      </c>
      <c r="K65" s="91">
        <f>('13.1н'!K65+'13.2н'!K65+'13.3н'!K65)/3</f>
        <v>0</v>
      </c>
      <c r="L65" s="91">
        <f>('13.1н'!L65+'13.2н'!L65+'13.3н'!L65)/3</f>
        <v>0</v>
      </c>
      <c r="M65" s="91">
        <f>('13.1н'!M65+'13.2н'!M65+'13.3н'!M65)/3</f>
        <v>0</v>
      </c>
      <c r="N65" s="91">
        <f>('13.1н'!N65+'13.2н'!N65+'13.3н'!N65)/3</f>
        <v>0</v>
      </c>
      <c r="O65" s="91">
        <f>('13.1н'!O65+'13.2н'!O65+'13.3н'!O65)/3</f>
        <v>0</v>
      </c>
      <c r="P65" s="91">
        <f>('13.1н'!P65+'13.2н'!P65+'13.3н'!P65)/3</f>
        <v>0</v>
      </c>
      <c r="Q65" s="91">
        <f>('13.1н'!Q65+'13.2н'!Q65+'13.3н'!Q65)/3</f>
        <v>0</v>
      </c>
      <c r="R65" s="91">
        <f>('13.1н'!B65+'13.2н'!B65+'13.3н'!B65)/3</f>
        <v>0.33579608563497493</v>
      </c>
    </row>
    <row r="66" spans="1:18" x14ac:dyDescent="0.25">
      <c r="A66" s="84">
        <v>65</v>
      </c>
      <c r="B66" s="84" t="s">
        <v>65</v>
      </c>
      <c r="C66" s="91" t="e">
        <f>('13.1н'!#REF!+'13.2н'!#REF!+'13.3н'!#REF!)/3</f>
        <v>#REF!</v>
      </c>
      <c r="D66" s="91" t="e">
        <f>('13.1н'!#REF!+'13.2н'!#REF!+'13.3н'!#REF!)/3</f>
        <v>#REF!</v>
      </c>
      <c r="E66" s="91">
        <f>('13.1н'!E66+'13.2н'!E66+'13.3н'!E66)/3</f>
        <v>0</v>
      </c>
      <c r="F66" s="91">
        <f>('13.1н'!F66+'13.2н'!F66+'13.3н'!F66)/3</f>
        <v>0</v>
      </c>
      <c r="G66" s="91">
        <f>('13.1н'!G66+'13.2н'!G66+'13.3н'!G66)/3</f>
        <v>0</v>
      </c>
      <c r="H66" s="91">
        <f>('13.1н'!H66+'13.2н'!H66+'13.3н'!H66)/3</f>
        <v>0</v>
      </c>
      <c r="I66" s="91">
        <f>('13.1н'!I66+'13.2н'!I66+'13.3н'!I66)/3</f>
        <v>0</v>
      </c>
      <c r="J66" s="91">
        <f>('13.1н'!J66+'13.2н'!J66+'13.3н'!J66)/3</f>
        <v>0</v>
      </c>
      <c r="K66" s="91">
        <f>('13.1н'!K66+'13.2н'!K66+'13.3н'!K66)/3</f>
        <v>0</v>
      </c>
      <c r="L66" s="91">
        <f>('13.1н'!L66+'13.2н'!L66+'13.3н'!L66)/3</f>
        <v>0</v>
      </c>
      <c r="M66" s="91">
        <f>('13.1н'!M66+'13.2н'!M66+'13.3н'!M66)/3</f>
        <v>0</v>
      </c>
      <c r="N66" s="91">
        <f>('13.1н'!N66+'13.2н'!N66+'13.3н'!N66)/3</f>
        <v>0</v>
      </c>
      <c r="O66" s="91">
        <f>('13.1н'!O66+'13.2н'!O66+'13.3н'!O66)/3</f>
        <v>0</v>
      </c>
      <c r="P66" s="91">
        <f>('13.1н'!P66+'13.2н'!P66+'13.3н'!P66)/3</f>
        <v>0</v>
      </c>
      <c r="Q66" s="91">
        <f>('13.1н'!Q66+'13.2н'!Q66+'13.3н'!Q66)/3</f>
        <v>0</v>
      </c>
      <c r="R66" s="91">
        <f>('13.1н'!B66+'13.2н'!B66+'13.3н'!B66)/3</f>
        <v>0.4370307675843062</v>
      </c>
    </row>
    <row r="67" spans="1:18" x14ac:dyDescent="0.25">
      <c r="A67" s="84">
        <v>66</v>
      </c>
      <c r="B67" s="84" t="s">
        <v>66</v>
      </c>
      <c r="C67" s="91" t="e">
        <f>('13.1н'!#REF!+'13.2н'!#REF!+'13.3н'!#REF!)/3</f>
        <v>#REF!</v>
      </c>
      <c r="D67" s="91" t="e">
        <f>('13.1н'!#REF!+'13.2н'!#REF!+'13.3н'!#REF!)/3</f>
        <v>#REF!</v>
      </c>
      <c r="E67" s="91">
        <f>('13.1н'!E67+'13.2н'!E67+'13.3н'!E67)/3</f>
        <v>0</v>
      </c>
      <c r="F67" s="91">
        <f>('13.1н'!F67+'13.2н'!F67+'13.3н'!F67)/3</f>
        <v>0</v>
      </c>
      <c r="G67" s="91">
        <f>('13.1н'!G67+'13.2н'!G67+'13.3н'!G67)/3</f>
        <v>0</v>
      </c>
      <c r="H67" s="91">
        <f>('13.1н'!H67+'13.2н'!H67+'13.3н'!H67)/3</f>
        <v>0</v>
      </c>
      <c r="I67" s="91">
        <f>('13.1н'!I67+'13.2н'!I67+'13.3н'!I67)/3</f>
        <v>0</v>
      </c>
      <c r="J67" s="91">
        <f>('13.1н'!J67+'13.2н'!J67+'13.3н'!J67)/3</f>
        <v>0</v>
      </c>
      <c r="K67" s="91">
        <f>('13.1н'!K67+'13.2н'!K67+'13.3н'!K67)/3</f>
        <v>0</v>
      </c>
      <c r="L67" s="91">
        <f>('13.1н'!L67+'13.2н'!L67+'13.3н'!L67)/3</f>
        <v>0</v>
      </c>
      <c r="M67" s="91">
        <f>('13.1н'!M67+'13.2н'!M67+'13.3н'!M67)/3</f>
        <v>0</v>
      </c>
      <c r="N67" s="91">
        <f>('13.1н'!N67+'13.2н'!N67+'13.3н'!N67)/3</f>
        <v>0</v>
      </c>
      <c r="O67" s="91">
        <f>('13.1н'!O67+'13.2н'!O67+'13.3н'!O67)/3</f>
        <v>0</v>
      </c>
      <c r="P67" s="91">
        <f>('13.1н'!P67+'13.2н'!P67+'13.3н'!P67)/3</f>
        <v>0</v>
      </c>
      <c r="Q67" s="91">
        <f>('13.1н'!Q67+'13.2н'!Q67+'13.3н'!Q67)/3</f>
        <v>0</v>
      </c>
      <c r="R67" s="91">
        <f>('13.1н'!B67+'13.2н'!B67+'13.3н'!B67)/3</f>
        <v>0.52665628108178664</v>
      </c>
    </row>
    <row r="68" spans="1:18" x14ac:dyDescent="0.25">
      <c r="A68" s="84">
        <v>67</v>
      </c>
      <c r="B68" s="84" t="s">
        <v>73</v>
      </c>
      <c r="C68" s="91" t="e">
        <f>('13.1н'!#REF!+'13.2н'!#REF!+'13.3н'!#REF!)/3</f>
        <v>#REF!</v>
      </c>
      <c r="D68" s="91" t="e">
        <f>('13.1н'!#REF!+'13.2н'!#REF!+'13.3н'!#REF!)/3</f>
        <v>#REF!</v>
      </c>
      <c r="E68" s="91">
        <f>('13.1н'!E68+'13.2н'!E68+'13.3н'!E68)/3</f>
        <v>0</v>
      </c>
      <c r="F68" s="91">
        <f>('13.1н'!F68+'13.2н'!F68+'13.3н'!F68)/3</f>
        <v>0</v>
      </c>
      <c r="G68" s="91">
        <f>('13.1н'!G68+'13.2н'!G68+'13.3н'!G68)/3</f>
        <v>0</v>
      </c>
      <c r="H68" s="91">
        <f>('13.1н'!H68+'13.2н'!H68+'13.3н'!H68)/3</f>
        <v>0</v>
      </c>
      <c r="I68" s="91">
        <f>('13.1н'!I68+'13.2н'!I68+'13.3н'!I68)/3</f>
        <v>0</v>
      </c>
      <c r="J68" s="91">
        <f>('13.1н'!J68+'13.2н'!J68+'13.3н'!J68)/3</f>
        <v>0</v>
      </c>
      <c r="K68" s="91">
        <f>('13.1н'!K68+'13.2н'!K68+'13.3н'!K68)/3</f>
        <v>0</v>
      </c>
      <c r="L68" s="91">
        <f>('13.1н'!L68+'13.2н'!L68+'13.3н'!L68)/3</f>
        <v>0</v>
      </c>
      <c r="M68" s="91">
        <f>('13.1н'!M68+'13.2н'!M68+'13.3н'!M68)/3</f>
        <v>0</v>
      </c>
      <c r="N68" s="91">
        <f>('13.1н'!N68+'13.2н'!N68+'13.3н'!N68)/3</f>
        <v>0</v>
      </c>
      <c r="O68" s="91">
        <f>('13.1н'!O68+'13.2н'!O68+'13.3н'!O68)/3</f>
        <v>0</v>
      </c>
      <c r="P68" s="91">
        <f>('13.1н'!P68+'13.2н'!P68+'13.3н'!P68)/3</f>
        <v>0</v>
      </c>
      <c r="Q68" s="91">
        <f>('13.1н'!Q68+'13.2н'!Q68+'13.3н'!Q68)/3</f>
        <v>0</v>
      </c>
      <c r="R68" s="91">
        <f>('13.1н'!B68+'13.2н'!B68+'13.3н'!B68)/3</f>
        <v>0.45395073879827158</v>
      </c>
    </row>
    <row r="69" spans="1:18" x14ac:dyDescent="0.25">
      <c r="A69" s="84">
        <v>68</v>
      </c>
      <c r="B69" s="84" t="s">
        <v>67</v>
      </c>
      <c r="C69" s="91" t="e">
        <f>('13.1н'!#REF!+'13.2н'!#REF!+'13.3н'!#REF!)/3</f>
        <v>#REF!</v>
      </c>
      <c r="D69" s="91" t="e">
        <f>('13.1н'!#REF!+'13.2н'!#REF!+'13.3н'!#REF!)/3</f>
        <v>#REF!</v>
      </c>
      <c r="E69" s="91">
        <f>('13.1н'!E69+'13.2н'!E69+'13.3н'!E69)/3</f>
        <v>0</v>
      </c>
      <c r="F69" s="91">
        <f>('13.1н'!F69+'13.2н'!F69+'13.3н'!F69)/3</f>
        <v>0</v>
      </c>
      <c r="G69" s="91">
        <f>('13.1н'!G69+'13.2н'!G69+'13.3н'!G69)/3</f>
        <v>0</v>
      </c>
      <c r="H69" s="91">
        <f>('13.1н'!H69+'13.2н'!H69+'13.3н'!H69)/3</f>
        <v>0</v>
      </c>
      <c r="I69" s="91">
        <f>('13.1н'!I69+'13.2н'!I69+'13.3н'!I69)/3</f>
        <v>0</v>
      </c>
      <c r="J69" s="91">
        <f>('13.1н'!J69+'13.2н'!J69+'13.3н'!J69)/3</f>
        <v>0</v>
      </c>
      <c r="K69" s="91">
        <f>('13.1н'!K69+'13.2н'!K69+'13.3н'!K69)/3</f>
        <v>0</v>
      </c>
      <c r="L69" s="91">
        <f>('13.1н'!L69+'13.2н'!L69+'13.3н'!L69)/3</f>
        <v>0</v>
      </c>
      <c r="M69" s="91">
        <f>('13.1н'!M69+'13.2н'!M69+'13.3н'!M69)/3</f>
        <v>0</v>
      </c>
      <c r="N69" s="91">
        <f>('13.1н'!N69+'13.2н'!N69+'13.3н'!N69)/3</f>
        <v>0</v>
      </c>
      <c r="O69" s="91">
        <f>('13.1н'!O69+'13.2н'!O69+'13.3н'!O69)/3</f>
        <v>0</v>
      </c>
      <c r="P69" s="91">
        <f>('13.1н'!P69+'13.2н'!P69+'13.3н'!P69)/3</f>
        <v>0</v>
      </c>
      <c r="Q69" s="91">
        <f>('13.1н'!Q69+'13.2н'!Q69+'13.3н'!Q69)/3</f>
        <v>0</v>
      </c>
      <c r="R69" s="91">
        <f>('13.1н'!B69+'13.2н'!B69+'13.3н'!B69)/3</f>
        <v>0.6285648021689213</v>
      </c>
    </row>
    <row r="70" spans="1:18" x14ac:dyDescent="0.25">
      <c r="A70" s="84">
        <v>69</v>
      </c>
      <c r="B70" s="84" t="s">
        <v>68</v>
      </c>
      <c r="C70" s="91" t="e">
        <f>('13.1н'!#REF!+'13.2н'!#REF!+'13.3н'!#REF!)/3</f>
        <v>#REF!</v>
      </c>
      <c r="D70" s="91" t="e">
        <f>('13.1н'!#REF!+'13.2н'!#REF!+'13.3н'!#REF!)/3</f>
        <v>#REF!</v>
      </c>
      <c r="E70" s="91">
        <f>('13.1н'!E70+'13.2н'!E70+'13.3н'!E70)/3</f>
        <v>0</v>
      </c>
      <c r="F70" s="91">
        <f>('13.1н'!F70+'13.2н'!F70+'13.3н'!F70)/3</f>
        <v>0</v>
      </c>
      <c r="G70" s="91">
        <f>('13.1н'!G70+'13.2н'!G70+'13.3н'!G70)/3</f>
        <v>0</v>
      </c>
      <c r="H70" s="91">
        <f>('13.1н'!H70+'13.2н'!H70+'13.3н'!H70)/3</f>
        <v>0</v>
      </c>
      <c r="I70" s="91">
        <f>('13.1н'!I70+'13.2н'!I70+'13.3н'!I70)/3</f>
        <v>0</v>
      </c>
      <c r="J70" s="91">
        <f>('13.1н'!J70+'13.2н'!J70+'13.3н'!J70)/3</f>
        <v>0</v>
      </c>
      <c r="K70" s="91">
        <f>('13.1н'!K70+'13.2н'!K70+'13.3н'!K70)/3</f>
        <v>0</v>
      </c>
      <c r="L70" s="91">
        <f>('13.1н'!L70+'13.2н'!L70+'13.3н'!L70)/3</f>
        <v>0</v>
      </c>
      <c r="M70" s="91">
        <f>('13.1н'!M70+'13.2н'!M70+'13.3н'!M70)/3</f>
        <v>0</v>
      </c>
      <c r="N70" s="91">
        <f>('13.1н'!N70+'13.2н'!N70+'13.3н'!N70)/3</f>
        <v>0</v>
      </c>
      <c r="O70" s="91">
        <f>('13.1н'!O70+'13.2н'!O70+'13.3н'!O70)/3</f>
        <v>0</v>
      </c>
      <c r="P70" s="91">
        <f>('13.1н'!P70+'13.2н'!P70+'13.3н'!P70)/3</f>
        <v>0</v>
      </c>
      <c r="Q70" s="91">
        <f>('13.1н'!Q70+'13.2н'!Q70+'13.3н'!Q70)/3</f>
        <v>0</v>
      </c>
      <c r="R70" s="91">
        <f>('13.1н'!B70+'13.2н'!B70+'13.3н'!B70)/3</f>
        <v>0.62824684728731206</v>
      </c>
    </row>
    <row r="71" spans="1:18" x14ac:dyDescent="0.25">
      <c r="A71" s="84">
        <v>70</v>
      </c>
      <c r="B71" s="84" t="s">
        <v>69</v>
      </c>
      <c r="C71" s="91" t="e">
        <f>('13.1н'!#REF!+'13.2н'!#REF!+'13.3н'!#REF!)/3</f>
        <v>#REF!</v>
      </c>
      <c r="D71" s="91" t="e">
        <f>('13.1н'!#REF!+'13.2н'!#REF!+'13.3н'!#REF!)/3</f>
        <v>#REF!</v>
      </c>
      <c r="E71" s="91">
        <f>('13.1н'!E71+'13.2н'!E71+'13.3н'!E71)/3</f>
        <v>0</v>
      </c>
      <c r="F71" s="91">
        <f>('13.1н'!F71+'13.2н'!F71+'13.3н'!F71)/3</f>
        <v>0</v>
      </c>
      <c r="G71" s="91">
        <f>('13.1н'!G71+'13.2н'!G71+'13.3н'!G71)/3</f>
        <v>0</v>
      </c>
      <c r="H71" s="91">
        <f>('13.1н'!H71+'13.2н'!H71+'13.3н'!H71)/3</f>
        <v>0</v>
      </c>
      <c r="I71" s="91">
        <f>('13.1н'!I71+'13.2н'!I71+'13.3н'!I71)/3</f>
        <v>0</v>
      </c>
      <c r="J71" s="91">
        <f>('13.1н'!J71+'13.2н'!J71+'13.3н'!J71)/3</f>
        <v>0</v>
      </c>
      <c r="K71" s="91">
        <f>('13.1н'!K71+'13.2н'!K71+'13.3н'!K71)/3</f>
        <v>0</v>
      </c>
      <c r="L71" s="91">
        <f>('13.1н'!L71+'13.2н'!L71+'13.3н'!L71)/3</f>
        <v>0</v>
      </c>
      <c r="M71" s="91">
        <f>('13.1н'!M71+'13.2н'!M71+'13.3н'!M71)/3</f>
        <v>0</v>
      </c>
      <c r="N71" s="91">
        <f>('13.1н'!N71+'13.2н'!N71+'13.3н'!N71)/3</f>
        <v>0</v>
      </c>
      <c r="O71" s="91">
        <f>('13.1н'!O71+'13.2н'!O71+'13.3н'!O71)/3</f>
        <v>0</v>
      </c>
      <c r="P71" s="91">
        <f>('13.1н'!P71+'13.2н'!P71+'13.3н'!P71)/3</f>
        <v>0</v>
      </c>
      <c r="Q71" s="91">
        <f>('13.1н'!Q71+'13.2н'!Q71+'13.3н'!Q71)/3</f>
        <v>0</v>
      </c>
      <c r="R71" s="91">
        <f>('13.1н'!B71+'13.2н'!B71+'13.3н'!B71)/3</f>
        <v>0.48696473362584197</v>
      </c>
    </row>
    <row r="72" spans="1:18" x14ac:dyDescent="0.25">
      <c r="A72" s="84">
        <v>71</v>
      </c>
      <c r="B72" s="84" t="s">
        <v>70</v>
      </c>
      <c r="C72" s="91" t="e">
        <f>('13.1н'!#REF!+'13.2н'!#REF!+'13.3н'!#REF!)/3</f>
        <v>#REF!</v>
      </c>
      <c r="D72" s="91" t="e">
        <f>('13.1н'!#REF!+'13.2н'!#REF!+'13.3н'!#REF!)/3</f>
        <v>#REF!</v>
      </c>
      <c r="E72" s="91">
        <f>('13.1н'!E72+'13.2н'!E72+'13.3н'!E72)/3</f>
        <v>0</v>
      </c>
      <c r="F72" s="91">
        <f>('13.1н'!F72+'13.2н'!F72+'13.3н'!F72)/3</f>
        <v>0</v>
      </c>
      <c r="G72" s="91">
        <f>('13.1н'!G72+'13.2н'!G72+'13.3н'!G72)/3</f>
        <v>0</v>
      </c>
      <c r="H72" s="91">
        <f>('13.1н'!H72+'13.2н'!H72+'13.3н'!H72)/3</f>
        <v>0</v>
      </c>
      <c r="I72" s="91">
        <f>('13.1н'!I72+'13.2н'!I72+'13.3н'!I72)/3</f>
        <v>0</v>
      </c>
      <c r="J72" s="91">
        <f>('13.1н'!J72+'13.2н'!J72+'13.3н'!J72)/3</f>
        <v>0</v>
      </c>
      <c r="K72" s="91">
        <f>('13.1н'!K72+'13.2н'!K72+'13.3н'!K72)/3</f>
        <v>0</v>
      </c>
      <c r="L72" s="91">
        <f>('13.1н'!L72+'13.2н'!L72+'13.3н'!L72)/3</f>
        <v>0</v>
      </c>
      <c r="M72" s="91">
        <f>('13.1н'!M72+'13.2н'!M72+'13.3н'!M72)/3</f>
        <v>0</v>
      </c>
      <c r="N72" s="91">
        <f>('13.1н'!N72+'13.2н'!N72+'13.3н'!N72)/3</f>
        <v>0</v>
      </c>
      <c r="O72" s="91">
        <f>('13.1н'!O72+'13.2н'!O72+'13.3н'!O72)/3</f>
        <v>0</v>
      </c>
      <c r="P72" s="91">
        <f>('13.1н'!P72+'13.2н'!P72+'13.3н'!P72)/3</f>
        <v>0</v>
      </c>
      <c r="Q72" s="91">
        <f>('13.1н'!Q72+'13.2н'!Q72+'13.3н'!Q72)/3</f>
        <v>0</v>
      </c>
      <c r="R72" s="91">
        <f>('13.1н'!B72+'13.2н'!B72+'13.3н'!B72)/3</f>
        <v>0.61853253826681687</v>
      </c>
    </row>
    <row r="73" spans="1:18" x14ac:dyDescent="0.25">
      <c r="A73" s="84">
        <v>72</v>
      </c>
      <c r="B73" s="84" t="s">
        <v>71</v>
      </c>
      <c r="C73" s="91" t="e">
        <f>('13.1н'!#REF!+'13.2н'!#REF!+'13.3н'!#REF!)/3</f>
        <v>#REF!</v>
      </c>
      <c r="D73" s="91" t="e">
        <f>('13.1н'!#REF!+'13.2н'!#REF!+'13.3н'!#REF!)/3</f>
        <v>#REF!</v>
      </c>
      <c r="E73" s="91">
        <f>('13.1н'!E73+'13.2н'!E73+'13.3н'!E73)/3</f>
        <v>0</v>
      </c>
      <c r="F73" s="91">
        <f>('13.1н'!F73+'13.2н'!F73+'13.3н'!F73)/3</f>
        <v>0</v>
      </c>
      <c r="G73" s="91">
        <f>('13.1н'!G73+'13.2н'!G73+'13.3н'!G73)/3</f>
        <v>0</v>
      </c>
      <c r="H73" s="91">
        <f>('13.1н'!H73+'13.2н'!H73+'13.3н'!H73)/3</f>
        <v>0</v>
      </c>
      <c r="I73" s="91">
        <f>('13.1н'!I73+'13.2н'!I73+'13.3н'!I73)/3</f>
        <v>0</v>
      </c>
      <c r="J73" s="91">
        <f>('13.1н'!J73+'13.2н'!J73+'13.3н'!J73)/3</f>
        <v>0</v>
      </c>
      <c r="K73" s="91">
        <f>('13.1н'!K73+'13.2н'!K73+'13.3н'!K73)/3</f>
        <v>0</v>
      </c>
      <c r="L73" s="91">
        <f>('13.1н'!L73+'13.2н'!L73+'13.3н'!L73)/3</f>
        <v>0</v>
      </c>
      <c r="M73" s="91">
        <f>('13.1н'!M73+'13.2н'!M73+'13.3н'!M73)/3</f>
        <v>0</v>
      </c>
      <c r="N73" s="91">
        <f>('13.1н'!N73+'13.2н'!N73+'13.3н'!N73)/3</f>
        <v>0</v>
      </c>
      <c r="O73" s="91">
        <f>('13.1н'!O73+'13.2н'!O73+'13.3н'!O73)/3</f>
        <v>0</v>
      </c>
      <c r="P73" s="91">
        <f>('13.1н'!P73+'13.2н'!P73+'13.3н'!P73)/3</f>
        <v>0</v>
      </c>
      <c r="Q73" s="91">
        <f>('13.1н'!Q73+'13.2н'!Q73+'13.3н'!Q73)/3</f>
        <v>0</v>
      </c>
      <c r="R73" s="91">
        <f>('13.1н'!B73+'13.2н'!B73+'13.3н'!B73)/3</f>
        <v>0.61248400646353129</v>
      </c>
    </row>
    <row r="74" spans="1:18" x14ac:dyDescent="0.25">
      <c r="A74" s="84">
        <v>73</v>
      </c>
      <c r="B74" s="84" t="s">
        <v>72</v>
      </c>
      <c r="C74" s="91" t="e">
        <f>('13.1н'!#REF!+'13.2н'!#REF!+'13.3н'!#REF!)/3</f>
        <v>#REF!</v>
      </c>
      <c r="D74" s="91" t="e">
        <f>('13.1н'!#REF!+'13.2н'!#REF!+'13.3н'!#REF!)/3</f>
        <v>#REF!</v>
      </c>
      <c r="E74" s="91">
        <f>('13.1н'!E74+'13.2н'!E74+'13.3н'!E74)/3</f>
        <v>0</v>
      </c>
      <c r="F74" s="91">
        <f>('13.1н'!F74+'13.2н'!F74+'13.3н'!F74)/3</f>
        <v>0</v>
      </c>
      <c r="G74" s="91">
        <f>('13.1н'!G74+'13.2н'!G74+'13.3н'!G74)/3</f>
        <v>0</v>
      </c>
      <c r="H74" s="91">
        <f>('13.1н'!H74+'13.2н'!H74+'13.3н'!H74)/3</f>
        <v>0</v>
      </c>
      <c r="I74" s="91">
        <f>('13.1н'!I74+'13.2н'!I74+'13.3н'!I74)/3</f>
        <v>0</v>
      </c>
      <c r="J74" s="91">
        <f>('13.1н'!J74+'13.2н'!J74+'13.3н'!J74)/3</f>
        <v>0</v>
      </c>
      <c r="K74" s="91">
        <f>('13.1н'!K74+'13.2н'!K74+'13.3н'!K74)/3</f>
        <v>0</v>
      </c>
      <c r="L74" s="91">
        <f>('13.1н'!L74+'13.2н'!L74+'13.3н'!L74)/3</f>
        <v>0</v>
      </c>
      <c r="M74" s="91">
        <f>('13.1н'!M74+'13.2н'!M74+'13.3н'!M74)/3</f>
        <v>0</v>
      </c>
      <c r="N74" s="91">
        <f>('13.1н'!N74+'13.2н'!N74+'13.3н'!N74)/3</f>
        <v>0</v>
      </c>
      <c r="O74" s="91">
        <f>('13.1н'!O74+'13.2н'!O74+'13.3н'!O74)/3</f>
        <v>0</v>
      </c>
      <c r="P74" s="91">
        <f>('13.1н'!P74+'13.2н'!P74+'13.3н'!P74)/3</f>
        <v>0</v>
      </c>
      <c r="Q74" s="91">
        <f>('13.1н'!Q74+'13.2н'!Q74+'13.3н'!Q74)/3</f>
        <v>0</v>
      </c>
      <c r="R74" s="91">
        <f>('13.1н'!B74+'13.2н'!B74+'13.3н'!B74)/3</f>
        <v>0.63151461122209518</v>
      </c>
    </row>
    <row r="75" spans="1:18" x14ac:dyDescent="0.25">
      <c r="A75" s="84">
        <v>74</v>
      </c>
      <c r="B75" s="84" t="s">
        <v>74</v>
      </c>
      <c r="C75" s="91" t="e">
        <f>('13.1н'!#REF!+'13.2н'!#REF!+'13.3н'!#REF!)/3</f>
        <v>#REF!</v>
      </c>
      <c r="D75" s="91" t="e">
        <f>('13.1н'!#REF!+'13.2н'!#REF!+'13.3н'!#REF!)/3</f>
        <v>#REF!</v>
      </c>
      <c r="E75" s="91">
        <f>('13.1н'!E75+'13.2н'!E75+'13.3н'!E75)/3</f>
        <v>0</v>
      </c>
      <c r="F75" s="91">
        <f>('13.1н'!F75+'13.2н'!F75+'13.3н'!F75)/3</f>
        <v>0</v>
      </c>
      <c r="G75" s="91">
        <f>('13.1н'!G75+'13.2н'!G75+'13.3н'!G75)/3</f>
        <v>0</v>
      </c>
      <c r="H75" s="91">
        <f>('13.1н'!H75+'13.2н'!H75+'13.3н'!H75)/3</f>
        <v>0</v>
      </c>
      <c r="I75" s="91">
        <f>('13.1н'!I75+'13.2н'!I75+'13.3н'!I75)/3</f>
        <v>0</v>
      </c>
      <c r="J75" s="91">
        <f>('13.1н'!J75+'13.2н'!J75+'13.3н'!J75)/3</f>
        <v>0</v>
      </c>
      <c r="K75" s="91">
        <f>('13.1н'!K75+'13.2н'!K75+'13.3н'!K75)/3</f>
        <v>0</v>
      </c>
      <c r="L75" s="91">
        <f>('13.1н'!L75+'13.2н'!L75+'13.3н'!L75)/3</f>
        <v>0</v>
      </c>
      <c r="M75" s="91">
        <f>('13.1н'!M75+'13.2н'!M75+'13.3н'!M75)/3</f>
        <v>0</v>
      </c>
      <c r="N75" s="91">
        <f>('13.1н'!N75+'13.2н'!N75+'13.3н'!N75)/3</f>
        <v>0</v>
      </c>
      <c r="O75" s="91">
        <f>('13.1н'!O75+'13.2н'!O75+'13.3н'!O75)/3</f>
        <v>0</v>
      </c>
      <c r="P75" s="91">
        <f>('13.1н'!P75+'13.2н'!P75+'13.3н'!P75)/3</f>
        <v>0</v>
      </c>
      <c r="Q75" s="91">
        <f>('13.1н'!Q75+'13.2н'!Q75+'13.3н'!Q75)/3</f>
        <v>0</v>
      </c>
      <c r="R75" s="91">
        <f>('13.1н'!B75+'13.2н'!B75+'13.3н'!B75)/3</f>
        <v>0.6291537921055389</v>
      </c>
    </row>
    <row r="76" spans="1:18" x14ac:dyDescent="0.25">
      <c r="A76" s="84">
        <v>75</v>
      </c>
      <c r="B76" s="84" t="s">
        <v>75</v>
      </c>
      <c r="C76" s="91" t="e">
        <f>('13.1н'!#REF!+'13.2н'!#REF!+'13.3н'!#REF!)/3</f>
        <v>#REF!</v>
      </c>
      <c r="D76" s="91" t="e">
        <f>('13.1н'!#REF!+'13.2н'!#REF!+'13.3н'!#REF!)/3</f>
        <v>#REF!</v>
      </c>
      <c r="E76" s="91">
        <f>('13.1н'!E76+'13.2н'!E76+'13.3н'!E76)/3</f>
        <v>0</v>
      </c>
      <c r="F76" s="91">
        <f>('13.1н'!F76+'13.2н'!F76+'13.3н'!F76)/3</f>
        <v>0</v>
      </c>
      <c r="G76" s="91">
        <f>('13.1н'!G76+'13.2н'!G76+'13.3н'!G76)/3</f>
        <v>0</v>
      </c>
      <c r="H76" s="91">
        <f>('13.1н'!H76+'13.2н'!H76+'13.3н'!H76)/3</f>
        <v>0</v>
      </c>
      <c r="I76" s="91">
        <f>('13.1н'!I76+'13.2н'!I76+'13.3н'!I76)/3</f>
        <v>0</v>
      </c>
      <c r="J76" s="91">
        <f>('13.1н'!J76+'13.2н'!J76+'13.3н'!J76)/3</f>
        <v>0</v>
      </c>
      <c r="K76" s="91">
        <f>('13.1н'!K76+'13.2н'!K76+'13.3н'!K76)/3</f>
        <v>0</v>
      </c>
      <c r="L76" s="91">
        <f>('13.1н'!L76+'13.2н'!L76+'13.3н'!L76)/3</f>
        <v>0</v>
      </c>
      <c r="M76" s="91">
        <f>('13.1н'!M76+'13.2н'!M76+'13.3н'!M76)/3</f>
        <v>0</v>
      </c>
      <c r="N76" s="91">
        <f>('13.1н'!N76+'13.2н'!N76+'13.3н'!N76)/3</f>
        <v>0</v>
      </c>
      <c r="O76" s="91">
        <f>('13.1н'!O76+'13.2н'!O76+'13.3н'!O76)/3</f>
        <v>0</v>
      </c>
      <c r="P76" s="91">
        <f>('13.1н'!P76+'13.2н'!P76+'13.3н'!P76)/3</f>
        <v>0</v>
      </c>
      <c r="Q76" s="91">
        <f>('13.1н'!Q76+'13.2н'!Q76+'13.3н'!Q76)/3</f>
        <v>0</v>
      </c>
      <c r="R76" s="91">
        <f>('13.1н'!B76+'13.2н'!B76+'13.3н'!B76)/3</f>
        <v>0.66344132226983288</v>
      </c>
    </row>
    <row r="77" spans="1:18" x14ac:dyDescent="0.25">
      <c r="A77" s="84">
        <v>76</v>
      </c>
      <c r="B77" s="84" t="s">
        <v>76</v>
      </c>
      <c r="C77" s="91" t="e">
        <f>('13.1н'!#REF!+'13.2н'!#REF!+'13.3н'!#REF!)/3</f>
        <v>#REF!</v>
      </c>
      <c r="D77" s="91" t="e">
        <f>('13.1н'!#REF!+'13.2н'!#REF!+'13.3н'!#REF!)/3</f>
        <v>#REF!</v>
      </c>
      <c r="E77" s="91">
        <f>('13.1н'!E77+'13.2н'!E77+'13.3н'!E77)/3</f>
        <v>0</v>
      </c>
      <c r="F77" s="91">
        <f>('13.1н'!F77+'13.2н'!F77+'13.3н'!F77)/3</f>
        <v>0</v>
      </c>
      <c r="G77" s="91">
        <f>('13.1н'!G77+'13.2н'!G77+'13.3н'!G77)/3</f>
        <v>0</v>
      </c>
      <c r="H77" s="91">
        <f>('13.1н'!H77+'13.2н'!H77+'13.3н'!H77)/3</f>
        <v>0</v>
      </c>
      <c r="I77" s="91">
        <f>('13.1н'!I77+'13.2н'!I77+'13.3н'!I77)/3</f>
        <v>0</v>
      </c>
      <c r="J77" s="91">
        <f>('13.1н'!J77+'13.2н'!J77+'13.3н'!J77)/3</f>
        <v>0</v>
      </c>
      <c r="K77" s="91">
        <f>('13.1н'!K77+'13.2н'!K77+'13.3н'!K77)/3</f>
        <v>0</v>
      </c>
      <c r="L77" s="91">
        <f>('13.1н'!L77+'13.2н'!L77+'13.3н'!L77)/3</f>
        <v>0</v>
      </c>
      <c r="M77" s="91">
        <f>('13.1н'!M77+'13.2н'!M77+'13.3н'!M77)/3</f>
        <v>0</v>
      </c>
      <c r="N77" s="91">
        <f>('13.1н'!N77+'13.2н'!N77+'13.3н'!N77)/3</f>
        <v>0</v>
      </c>
      <c r="O77" s="91">
        <f>('13.1н'!O77+'13.2н'!O77+'13.3н'!O77)/3</f>
        <v>0</v>
      </c>
      <c r="P77" s="91">
        <f>('13.1н'!P77+'13.2н'!P77+'13.3н'!P77)/3</f>
        <v>0</v>
      </c>
      <c r="Q77" s="91">
        <f>('13.1н'!Q77+'13.2н'!Q77+'13.3н'!Q77)/3</f>
        <v>0</v>
      </c>
      <c r="R77" s="91">
        <f>('13.1н'!B77+'13.2н'!B77+'13.3н'!B77)/3</f>
        <v>0.60879878763870432</v>
      </c>
    </row>
    <row r="78" spans="1:18" x14ac:dyDescent="0.25">
      <c r="A78" s="84">
        <v>77</v>
      </c>
      <c r="B78" s="84" t="s">
        <v>77</v>
      </c>
      <c r="C78" s="91" t="e">
        <f>('13.1н'!#REF!+'13.2н'!#REF!+'13.3н'!#REF!)/3</f>
        <v>#REF!</v>
      </c>
      <c r="D78" s="91" t="e">
        <f>('13.1н'!#REF!+'13.2н'!#REF!+'13.3н'!#REF!)/3</f>
        <v>#REF!</v>
      </c>
      <c r="E78" s="91">
        <f>('13.1н'!E78+'13.2н'!E78+'13.3н'!E78)/3</f>
        <v>0</v>
      </c>
      <c r="F78" s="91">
        <f>('13.1н'!F78+'13.2н'!F78+'13.3н'!F78)/3</f>
        <v>0</v>
      </c>
      <c r="G78" s="91">
        <f>('13.1н'!G78+'13.2н'!G78+'13.3н'!G78)/3</f>
        <v>0</v>
      </c>
      <c r="H78" s="91">
        <f>('13.1н'!H78+'13.2н'!H78+'13.3н'!H78)/3</f>
        <v>0</v>
      </c>
      <c r="I78" s="91">
        <f>('13.1н'!I78+'13.2н'!I78+'13.3н'!I78)/3</f>
        <v>0</v>
      </c>
      <c r="J78" s="91">
        <f>('13.1н'!J78+'13.2н'!J78+'13.3н'!J78)/3</f>
        <v>0</v>
      </c>
      <c r="K78" s="91">
        <f>('13.1н'!K78+'13.2н'!K78+'13.3н'!K78)/3</f>
        <v>0</v>
      </c>
      <c r="L78" s="91">
        <f>('13.1н'!L78+'13.2н'!L78+'13.3н'!L78)/3</f>
        <v>0</v>
      </c>
      <c r="M78" s="91">
        <f>('13.1н'!M78+'13.2н'!M78+'13.3н'!M78)/3</f>
        <v>0</v>
      </c>
      <c r="N78" s="91">
        <f>('13.1н'!N78+'13.2н'!N78+'13.3н'!N78)/3</f>
        <v>0</v>
      </c>
      <c r="O78" s="91">
        <f>('13.1н'!O78+'13.2н'!O78+'13.3н'!O78)/3</f>
        <v>0</v>
      </c>
      <c r="P78" s="91">
        <f>('13.1н'!P78+'13.2н'!P78+'13.3н'!P78)/3</f>
        <v>0</v>
      </c>
      <c r="Q78" s="91">
        <f>('13.1н'!Q78+'13.2н'!Q78+'13.3н'!Q78)/3</f>
        <v>0</v>
      </c>
      <c r="R78" s="91">
        <f>('13.1н'!B78+'13.2н'!B78+'13.3н'!B78)/3</f>
        <v>0.662228954569407</v>
      </c>
    </row>
    <row r="79" spans="1:18" x14ac:dyDescent="0.25">
      <c r="A79" s="84">
        <v>78</v>
      </c>
      <c r="B79" s="84" t="s">
        <v>78</v>
      </c>
      <c r="C79" s="91" t="e">
        <f>('13.1н'!#REF!+'13.2н'!#REF!+'13.3н'!#REF!)/3</f>
        <v>#REF!</v>
      </c>
      <c r="D79" s="91" t="e">
        <f>('13.1н'!#REF!+'13.2н'!#REF!+'13.3н'!#REF!)/3</f>
        <v>#REF!</v>
      </c>
      <c r="E79" s="91">
        <f>('13.1н'!E79+'13.2н'!E79+'13.3н'!E79)/3</f>
        <v>0</v>
      </c>
      <c r="F79" s="91">
        <f>('13.1н'!F79+'13.2н'!F79+'13.3н'!F79)/3</f>
        <v>0</v>
      </c>
      <c r="G79" s="91">
        <f>('13.1н'!G79+'13.2н'!G79+'13.3н'!G79)/3</f>
        <v>0</v>
      </c>
      <c r="H79" s="91">
        <f>('13.1н'!H79+'13.2н'!H79+'13.3н'!H79)/3</f>
        <v>0</v>
      </c>
      <c r="I79" s="91">
        <f>('13.1н'!I79+'13.2н'!I79+'13.3н'!I79)/3</f>
        <v>0</v>
      </c>
      <c r="J79" s="91">
        <f>('13.1н'!J79+'13.2н'!J79+'13.3н'!J79)/3</f>
        <v>0</v>
      </c>
      <c r="K79" s="91">
        <f>('13.1н'!K79+'13.2н'!K79+'13.3н'!K79)/3</f>
        <v>0</v>
      </c>
      <c r="L79" s="91">
        <f>('13.1н'!L79+'13.2н'!L79+'13.3н'!L79)/3</f>
        <v>0</v>
      </c>
      <c r="M79" s="91">
        <f>('13.1н'!M79+'13.2н'!M79+'13.3н'!M79)/3</f>
        <v>0</v>
      </c>
      <c r="N79" s="91">
        <f>('13.1н'!N79+'13.2н'!N79+'13.3н'!N79)/3</f>
        <v>0</v>
      </c>
      <c r="O79" s="91">
        <f>('13.1н'!O79+'13.2н'!O79+'13.3н'!O79)/3</f>
        <v>0</v>
      </c>
      <c r="P79" s="91">
        <f>('13.1н'!P79+'13.2н'!P79+'13.3н'!P79)/3</f>
        <v>0</v>
      </c>
      <c r="Q79" s="91">
        <f>('13.1н'!Q79+'13.2н'!Q79+'13.3н'!Q79)/3</f>
        <v>0</v>
      </c>
      <c r="R79" s="91">
        <f>('13.1н'!B79+'13.2н'!B79+'13.3н'!B79)/3</f>
        <v>0.48945695885151114</v>
      </c>
    </row>
    <row r="80" spans="1:18" x14ac:dyDescent="0.25">
      <c r="A80" s="84">
        <v>79</v>
      </c>
      <c r="B80" s="84" t="s">
        <v>79</v>
      </c>
      <c r="C80" s="91" t="e">
        <f>('13.1н'!#REF!+'13.2н'!#REF!+'13.3н'!#REF!)/3</f>
        <v>#REF!</v>
      </c>
      <c r="D80" s="91" t="e">
        <f>('13.1н'!#REF!+'13.2н'!#REF!+'13.3н'!#REF!)/3</f>
        <v>#REF!</v>
      </c>
      <c r="E80" s="91">
        <f>('13.1н'!E80+'13.2н'!E80+'13.3н'!E80)/3</f>
        <v>0</v>
      </c>
      <c r="F80" s="91">
        <f>('13.1н'!F80+'13.2н'!F80+'13.3н'!F80)/3</f>
        <v>0</v>
      </c>
      <c r="G80" s="91">
        <f>('13.1н'!G80+'13.2н'!G80+'13.3н'!G80)/3</f>
        <v>0</v>
      </c>
      <c r="H80" s="91">
        <f>('13.1н'!H80+'13.2н'!H80+'13.3н'!H80)/3</f>
        <v>0</v>
      </c>
      <c r="I80" s="91">
        <f>('13.1н'!I80+'13.2н'!I80+'13.3н'!I80)/3</f>
        <v>0</v>
      </c>
      <c r="J80" s="91">
        <f>('13.1н'!J80+'13.2н'!J80+'13.3н'!J80)/3</f>
        <v>0</v>
      </c>
      <c r="K80" s="91">
        <f>('13.1н'!K80+'13.2н'!K80+'13.3н'!K80)/3</f>
        <v>0</v>
      </c>
      <c r="L80" s="91">
        <f>('13.1н'!L80+'13.2н'!L80+'13.3н'!L80)/3</f>
        <v>0</v>
      </c>
      <c r="M80" s="91">
        <f>('13.1н'!M80+'13.2н'!M80+'13.3н'!M80)/3</f>
        <v>0</v>
      </c>
      <c r="N80" s="91">
        <f>('13.1н'!N80+'13.2н'!N80+'13.3н'!N80)/3</f>
        <v>0</v>
      </c>
      <c r="O80" s="91">
        <f>('13.1н'!O80+'13.2н'!O80+'13.3н'!O80)/3</f>
        <v>0</v>
      </c>
      <c r="P80" s="91">
        <f>('13.1н'!P80+'13.2н'!P80+'13.3н'!P80)/3</f>
        <v>0</v>
      </c>
      <c r="Q80" s="91">
        <f>('13.1н'!Q80+'13.2н'!Q80+'13.3н'!Q80)/3</f>
        <v>0</v>
      </c>
      <c r="R80" s="91">
        <f>('13.1н'!B80+'13.2н'!B80+'13.3н'!B80)/3</f>
        <v>0.6812065365128589</v>
      </c>
    </row>
    <row r="81" spans="1:18" x14ac:dyDescent="0.25">
      <c r="A81" s="84">
        <v>80</v>
      </c>
      <c r="B81" s="84" t="s">
        <v>80</v>
      </c>
      <c r="C81" s="91" t="e">
        <f>('13.1н'!#REF!+'13.2н'!#REF!+'13.3н'!#REF!)/3</f>
        <v>#REF!</v>
      </c>
      <c r="D81" s="91" t="e">
        <f>('13.1н'!#REF!+'13.2н'!#REF!+'13.3н'!#REF!)/3</f>
        <v>#REF!</v>
      </c>
      <c r="E81" s="91">
        <f>('13.1н'!E81+'13.2н'!E81+'13.3н'!E81)/3</f>
        <v>0</v>
      </c>
      <c r="F81" s="91">
        <f>('13.1н'!F81+'13.2н'!F81+'13.3н'!F81)/3</f>
        <v>0</v>
      </c>
      <c r="G81" s="91">
        <f>('13.1н'!G81+'13.2н'!G81+'13.3н'!G81)/3</f>
        <v>0</v>
      </c>
      <c r="H81" s="91">
        <f>('13.1н'!H81+'13.2н'!H81+'13.3н'!H81)/3</f>
        <v>0</v>
      </c>
      <c r="I81" s="91">
        <f>('13.1н'!I81+'13.2н'!I81+'13.3н'!I81)/3</f>
        <v>0</v>
      </c>
      <c r="J81" s="91">
        <f>('13.1н'!J81+'13.2н'!J81+'13.3н'!J81)/3</f>
        <v>0</v>
      </c>
      <c r="K81" s="91">
        <f>('13.1н'!K81+'13.2н'!K81+'13.3н'!K81)/3</f>
        <v>0</v>
      </c>
      <c r="L81" s="91">
        <f>('13.1н'!L81+'13.2н'!L81+'13.3н'!L81)/3</f>
        <v>0</v>
      </c>
      <c r="M81" s="91">
        <f>('13.1н'!M81+'13.2н'!M81+'13.3н'!M81)/3</f>
        <v>0</v>
      </c>
      <c r="N81" s="91">
        <f>('13.1н'!N81+'13.2н'!N81+'13.3н'!N81)/3</f>
        <v>0</v>
      </c>
      <c r="O81" s="91">
        <f>('13.1н'!O81+'13.2н'!O81+'13.3н'!O81)/3</f>
        <v>0</v>
      </c>
      <c r="P81" s="91">
        <f>('13.1н'!P81+'13.2н'!P81+'13.3н'!P81)/3</f>
        <v>0</v>
      </c>
      <c r="Q81" s="91">
        <f>('13.1н'!Q81+'13.2н'!Q81+'13.3н'!Q81)/3</f>
        <v>0</v>
      </c>
      <c r="R81" s="91">
        <f>('13.1н'!B81+'13.2н'!B81+'13.3н'!B81)/3</f>
        <v>0.74555688145501797</v>
      </c>
    </row>
    <row r="82" spans="1:18" x14ac:dyDescent="0.25">
      <c r="A82" s="84">
        <v>81</v>
      </c>
      <c r="B82" s="84" t="s">
        <v>81</v>
      </c>
      <c r="C82" s="91" t="e">
        <f>('13.1н'!#REF!+'13.2н'!#REF!+'13.3н'!#REF!)/3</f>
        <v>#REF!</v>
      </c>
      <c r="D82" s="91" t="e">
        <f>('13.1н'!#REF!+'13.2н'!#REF!+'13.3н'!#REF!)/3</f>
        <v>#REF!</v>
      </c>
      <c r="E82" s="91">
        <f>('13.1н'!E82+'13.2н'!E82+'13.3н'!E82)/3</f>
        <v>0</v>
      </c>
      <c r="F82" s="91">
        <f>('13.1н'!F82+'13.2н'!F82+'13.3н'!F82)/3</f>
        <v>0</v>
      </c>
      <c r="G82" s="91">
        <f>('13.1н'!G82+'13.2н'!G82+'13.3н'!G82)/3</f>
        <v>0</v>
      </c>
      <c r="H82" s="91">
        <f>('13.1н'!H82+'13.2н'!H82+'13.3н'!H82)/3</f>
        <v>0</v>
      </c>
      <c r="I82" s="91">
        <f>('13.1н'!I82+'13.2н'!I82+'13.3н'!I82)/3</f>
        <v>0</v>
      </c>
      <c r="J82" s="91">
        <f>('13.1н'!J82+'13.2н'!J82+'13.3н'!J82)/3</f>
        <v>0</v>
      </c>
      <c r="K82" s="91">
        <f>('13.1н'!K82+'13.2н'!K82+'13.3н'!K82)/3</f>
        <v>0</v>
      </c>
      <c r="L82" s="91">
        <f>('13.1н'!L82+'13.2н'!L82+'13.3н'!L82)/3</f>
        <v>0</v>
      </c>
      <c r="M82" s="91">
        <f>('13.1н'!M82+'13.2н'!M82+'13.3н'!M82)/3</f>
        <v>0</v>
      </c>
      <c r="N82" s="91">
        <f>('13.1н'!N82+'13.2н'!N82+'13.3н'!N82)/3</f>
        <v>0</v>
      </c>
      <c r="O82" s="91">
        <f>('13.1н'!O82+'13.2н'!O82+'13.3н'!O82)/3</f>
        <v>0</v>
      </c>
      <c r="P82" s="91">
        <f>('13.1н'!P82+'13.2н'!P82+'13.3н'!P82)/3</f>
        <v>0</v>
      </c>
      <c r="Q82" s="91">
        <f>('13.1н'!Q82+'13.2н'!Q82+'13.3н'!Q82)/3</f>
        <v>0</v>
      </c>
      <c r="R82" s="91">
        <f>('13.1н'!B82+'13.2н'!B82+'13.3н'!B82)/3</f>
        <v>0.47374689411837662</v>
      </c>
    </row>
    <row r="83" spans="1:18" x14ac:dyDescent="0.25">
      <c r="A83" s="84">
        <v>82</v>
      </c>
      <c r="B83" s="84" t="s">
        <v>82</v>
      </c>
      <c r="C83" s="91" t="e">
        <f>('13.1н'!#REF!+'13.2н'!#REF!+'13.3н'!#REF!)/3</f>
        <v>#REF!</v>
      </c>
      <c r="D83" s="91" t="e">
        <f>('13.1н'!#REF!+'13.2н'!#REF!+'13.3н'!#REF!)/3</f>
        <v>#REF!</v>
      </c>
      <c r="E83" s="91">
        <f>('13.1н'!E83+'13.2н'!E83+'13.3н'!E83)/3</f>
        <v>0</v>
      </c>
      <c r="F83" s="91">
        <f>('13.1н'!F83+'13.2н'!F83+'13.3н'!F83)/3</f>
        <v>0</v>
      </c>
      <c r="G83" s="91">
        <f>('13.1н'!G83+'13.2н'!G83+'13.3н'!G83)/3</f>
        <v>0</v>
      </c>
      <c r="H83" s="91">
        <f>('13.1н'!H83+'13.2н'!H83+'13.3н'!H83)/3</f>
        <v>0</v>
      </c>
      <c r="I83" s="91">
        <f>('13.1н'!I83+'13.2н'!I83+'13.3н'!I83)/3</f>
        <v>0</v>
      </c>
      <c r="J83" s="91">
        <f>('13.1н'!J83+'13.2н'!J83+'13.3н'!J83)/3</f>
        <v>0</v>
      </c>
      <c r="K83" s="91">
        <f>('13.1н'!K83+'13.2н'!K83+'13.3н'!K83)/3</f>
        <v>0</v>
      </c>
      <c r="L83" s="91">
        <f>('13.1н'!L83+'13.2н'!L83+'13.3н'!L83)/3</f>
        <v>0</v>
      </c>
      <c r="M83" s="91">
        <f>('13.1н'!M83+'13.2н'!M83+'13.3н'!M83)/3</f>
        <v>0</v>
      </c>
      <c r="N83" s="91">
        <f>('13.1н'!N83+'13.2н'!N83+'13.3н'!N83)/3</f>
        <v>0</v>
      </c>
      <c r="O83" s="91">
        <f>('13.1н'!O83+'13.2н'!O83+'13.3н'!O83)/3</f>
        <v>0</v>
      </c>
      <c r="P83" s="91">
        <f>('13.1н'!P83+'13.2н'!P83+'13.3н'!P83)/3</f>
        <v>0</v>
      </c>
      <c r="Q83" s="91">
        <f>('13.1н'!Q83+'13.2н'!Q83+'13.3н'!Q83)/3</f>
        <v>0</v>
      </c>
      <c r="R83" s="91">
        <f>('13.1н'!B83+'13.2н'!B83+'13.3н'!B83)/3</f>
        <v>0.71710988540470344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R83"/>
  <sheetViews>
    <sheetView topLeftCell="B49" zoomScaleNormal="100" workbookViewId="0">
      <selection activeCell="C21" sqref="C21"/>
    </sheetView>
  </sheetViews>
  <sheetFormatPr defaultRowHeight="15.75" x14ac:dyDescent="0.25"/>
  <cols>
    <col min="1" max="1" width="9.140625" style="80"/>
    <col min="2" max="2" width="36.140625" style="80" customWidth="1"/>
    <col min="3" max="3" width="9.7109375" style="80" customWidth="1"/>
    <col min="4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91" t="e">
        <f>('14.1н'!#REF!+'14.2н'!#REF!+'14.3н'!#REF!)/3</f>
        <v>#REF!</v>
      </c>
      <c r="D2" s="91" t="e">
        <f>('14.1н'!#REF!+'14.2н'!#REF!+'14.3н'!#REF!)/3</f>
        <v>#REF!</v>
      </c>
      <c r="E2" s="91">
        <f>('14.1н'!E2+'14.2н'!E2+'14.3н'!E2)/3</f>
        <v>0</v>
      </c>
      <c r="F2" s="91">
        <f>('14.1н'!F2+'14.2н'!F2+'14.3н'!F2)/3</f>
        <v>0</v>
      </c>
      <c r="G2" s="91">
        <f>('14.1н'!G2+'14.2н'!G2+'14.3н'!G2)/3</f>
        <v>0</v>
      </c>
      <c r="H2" s="91">
        <f>('14.1н'!H2+'14.2н'!H2+'14.3н'!H2)/3</f>
        <v>0</v>
      </c>
      <c r="I2" s="91">
        <f>('14.1н'!I2+'14.2н'!I2+'14.3н'!I2)/3</f>
        <v>0</v>
      </c>
      <c r="J2" s="91">
        <f>('14.1н'!J2+'14.2н'!J2+'14.3н'!J2)/3</f>
        <v>0</v>
      </c>
      <c r="K2" s="91">
        <f>('14.1н'!K2+'14.2н'!K2+'14.3н'!K2)/3</f>
        <v>0</v>
      </c>
      <c r="L2" s="91">
        <f>('14.1н'!L2+'14.2н'!L2+'14.3н'!L2)/3</f>
        <v>0</v>
      </c>
      <c r="M2" s="91">
        <f>('14.1н'!M2+'14.2н'!M2+'14.3н'!M2)/3</f>
        <v>0</v>
      </c>
      <c r="N2" s="91">
        <f>('14.1н'!N2+'14.2н'!N2+'14.3н'!N2)/3</f>
        <v>0</v>
      </c>
      <c r="O2" s="91">
        <f>('14.1н'!O2+'14.2н'!O2+'14.3н'!O2)/3</f>
        <v>0</v>
      </c>
      <c r="P2" s="91">
        <f>('14.1н'!P2+'14.2н'!P2+'14.3н'!P2)/3</f>
        <v>0</v>
      </c>
      <c r="Q2" s="91">
        <f>('14.1н'!Q2+'14.2н'!Q2+'14.3н'!Q2)/3</f>
        <v>0</v>
      </c>
      <c r="R2" s="91">
        <f>('14.1н'!B2+'14.2н'!B2+'14.3н'!B2)/3</f>
        <v>0.3738361227835732</v>
      </c>
    </row>
    <row r="3" spans="1:18" x14ac:dyDescent="0.25">
      <c r="A3" s="84">
        <v>2</v>
      </c>
      <c r="B3" s="84" t="s">
        <v>2</v>
      </c>
      <c r="C3" s="91" t="e">
        <f>('14.1н'!#REF!+'14.2н'!#REF!+'14.3н'!#REF!)/3</f>
        <v>#REF!</v>
      </c>
      <c r="D3" s="91" t="e">
        <f>('14.1н'!#REF!+'14.2н'!#REF!+'14.3н'!#REF!)/3</f>
        <v>#REF!</v>
      </c>
      <c r="E3" s="91">
        <f>('14.1н'!E3+'14.2н'!E3+'14.3н'!E3)/3</f>
        <v>0</v>
      </c>
      <c r="F3" s="91">
        <f>('14.1н'!F3+'14.2н'!F3+'14.3н'!F3)/3</f>
        <v>0</v>
      </c>
      <c r="G3" s="91">
        <f>('14.1н'!G3+'14.2н'!G3+'14.3н'!G3)/3</f>
        <v>0</v>
      </c>
      <c r="H3" s="91">
        <f>('14.1н'!H3+'14.2н'!H3+'14.3н'!H3)/3</f>
        <v>0</v>
      </c>
      <c r="I3" s="91">
        <f>('14.1н'!I3+'14.2н'!I3+'14.3н'!I3)/3</f>
        <v>0</v>
      </c>
      <c r="J3" s="91">
        <f>('14.1н'!J3+'14.2н'!J3+'14.3н'!J3)/3</f>
        <v>0</v>
      </c>
      <c r="K3" s="91">
        <f>('14.1н'!K3+'14.2н'!K3+'14.3н'!K3)/3</f>
        <v>0</v>
      </c>
      <c r="L3" s="91">
        <f>('14.1н'!L3+'14.2н'!L3+'14.3н'!L3)/3</f>
        <v>0</v>
      </c>
      <c r="M3" s="91">
        <f>('14.1н'!M3+'14.2н'!M3+'14.3н'!M3)/3</f>
        <v>0</v>
      </c>
      <c r="N3" s="91">
        <f>('14.1н'!N3+'14.2н'!N3+'14.3н'!N3)/3</f>
        <v>0</v>
      </c>
      <c r="O3" s="91">
        <f>('14.1н'!O3+'14.2н'!O3+'14.3н'!O3)/3</f>
        <v>0</v>
      </c>
      <c r="P3" s="91">
        <f>('14.1н'!P3+'14.2н'!P3+'14.3н'!P3)/3</f>
        <v>0</v>
      </c>
      <c r="Q3" s="91">
        <f>('14.1н'!Q3+'14.2н'!Q3+'14.3н'!Q3)/3</f>
        <v>0</v>
      </c>
      <c r="R3" s="91">
        <f>('14.1н'!B3+'14.2н'!B3+'14.3н'!B3)/3</f>
        <v>0.21513431841542474</v>
      </c>
    </row>
    <row r="4" spans="1:18" x14ac:dyDescent="0.25">
      <c r="A4" s="84">
        <v>3</v>
      </c>
      <c r="B4" s="84" t="s">
        <v>3</v>
      </c>
      <c r="C4" s="91" t="e">
        <f>('14.1н'!#REF!+'14.2н'!#REF!+'14.3н'!#REF!)/3</f>
        <v>#REF!</v>
      </c>
      <c r="D4" s="91" t="e">
        <f>('14.1н'!#REF!+'14.2н'!#REF!+'14.3н'!#REF!)/3</f>
        <v>#REF!</v>
      </c>
      <c r="E4" s="91">
        <f>('14.1н'!E4+'14.2н'!E4+'14.3н'!E4)/3</f>
        <v>0</v>
      </c>
      <c r="F4" s="91">
        <f>('14.1н'!F4+'14.2н'!F4+'14.3н'!F4)/3</f>
        <v>0</v>
      </c>
      <c r="G4" s="91">
        <f>('14.1н'!G4+'14.2н'!G4+'14.3н'!G4)/3</f>
        <v>0</v>
      </c>
      <c r="H4" s="91">
        <f>('14.1н'!H4+'14.2н'!H4+'14.3н'!H4)/3</f>
        <v>0</v>
      </c>
      <c r="I4" s="91">
        <f>('14.1н'!I4+'14.2н'!I4+'14.3н'!I4)/3</f>
        <v>0</v>
      </c>
      <c r="J4" s="91">
        <f>('14.1н'!J4+'14.2н'!J4+'14.3н'!J4)/3</f>
        <v>0</v>
      </c>
      <c r="K4" s="91">
        <f>('14.1н'!K4+'14.2н'!K4+'14.3н'!K4)/3</f>
        <v>0</v>
      </c>
      <c r="L4" s="91">
        <f>('14.1н'!L4+'14.2н'!L4+'14.3н'!L4)/3</f>
        <v>0</v>
      </c>
      <c r="M4" s="91">
        <f>('14.1н'!M4+'14.2н'!M4+'14.3н'!M4)/3</f>
        <v>0</v>
      </c>
      <c r="N4" s="91">
        <f>('14.1н'!N4+'14.2н'!N4+'14.3н'!N4)/3</f>
        <v>0</v>
      </c>
      <c r="O4" s="91">
        <f>('14.1н'!O4+'14.2н'!O4+'14.3н'!O4)/3</f>
        <v>0</v>
      </c>
      <c r="P4" s="91">
        <f>('14.1н'!P4+'14.2н'!P4+'14.3н'!P4)/3</f>
        <v>0</v>
      </c>
      <c r="Q4" s="91">
        <f>('14.1н'!Q4+'14.2н'!Q4+'14.3н'!Q4)/3</f>
        <v>0</v>
      </c>
      <c r="R4" s="91">
        <f>('14.1н'!B4+'14.2н'!B4+'14.3н'!B4)/3</f>
        <v>0.27608907728987958</v>
      </c>
    </row>
    <row r="5" spans="1:18" x14ac:dyDescent="0.25">
      <c r="A5" s="84">
        <v>4</v>
      </c>
      <c r="B5" s="84" t="s">
        <v>4</v>
      </c>
      <c r="C5" s="91" t="e">
        <f>('14.1н'!#REF!+'14.2н'!#REF!+'14.3н'!#REF!)/3</f>
        <v>#REF!</v>
      </c>
      <c r="D5" s="91" t="e">
        <f>('14.1н'!#REF!+'14.2н'!#REF!+'14.3н'!#REF!)/3</f>
        <v>#REF!</v>
      </c>
      <c r="E5" s="91">
        <f>('14.1н'!E5+'14.2н'!E5+'14.3н'!E5)/3</f>
        <v>0</v>
      </c>
      <c r="F5" s="91">
        <f>('14.1н'!F5+'14.2н'!F5+'14.3н'!F5)/3</f>
        <v>0</v>
      </c>
      <c r="G5" s="91">
        <f>('14.1н'!G5+'14.2н'!G5+'14.3н'!G5)/3</f>
        <v>0</v>
      </c>
      <c r="H5" s="91">
        <f>('14.1н'!H5+'14.2н'!H5+'14.3н'!H5)/3</f>
        <v>0</v>
      </c>
      <c r="I5" s="91">
        <f>('14.1н'!I5+'14.2н'!I5+'14.3н'!I5)/3</f>
        <v>0</v>
      </c>
      <c r="J5" s="91">
        <f>('14.1н'!J5+'14.2н'!J5+'14.3н'!J5)/3</f>
        <v>0</v>
      </c>
      <c r="K5" s="91">
        <f>('14.1н'!K5+'14.2н'!K5+'14.3н'!K5)/3</f>
        <v>0</v>
      </c>
      <c r="L5" s="91">
        <f>('14.1н'!L5+'14.2н'!L5+'14.3н'!L5)/3</f>
        <v>0</v>
      </c>
      <c r="M5" s="91">
        <f>('14.1н'!M5+'14.2н'!M5+'14.3н'!M5)/3</f>
        <v>0</v>
      </c>
      <c r="N5" s="91">
        <f>('14.1н'!N5+'14.2н'!N5+'14.3н'!N5)/3</f>
        <v>0</v>
      </c>
      <c r="O5" s="91">
        <f>('14.1н'!O5+'14.2н'!O5+'14.3н'!O5)/3</f>
        <v>0</v>
      </c>
      <c r="P5" s="91">
        <f>('14.1н'!P5+'14.2н'!P5+'14.3н'!P5)/3</f>
        <v>0</v>
      </c>
      <c r="Q5" s="91">
        <f>('14.1н'!Q5+'14.2н'!Q5+'14.3н'!Q5)/3</f>
        <v>0</v>
      </c>
      <c r="R5" s="91">
        <f>('14.1н'!B5+'14.2н'!B5+'14.3н'!B5)/3</f>
        <v>0.35446682927419221</v>
      </c>
    </row>
    <row r="6" spans="1:18" x14ac:dyDescent="0.25">
      <c r="A6" s="84">
        <v>5</v>
      </c>
      <c r="B6" s="84" t="s">
        <v>5</v>
      </c>
      <c r="C6" s="91" t="e">
        <f>('14.1н'!#REF!+'14.2н'!#REF!+'14.3н'!#REF!)/3</f>
        <v>#REF!</v>
      </c>
      <c r="D6" s="91" t="e">
        <f>('14.1н'!#REF!+'14.2н'!#REF!+'14.3н'!#REF!)/3</f>
        <v>#REF!</v>
      </c>
      <c r="E6" s="91">
        <f>('14.1н'!E6+'14.2н'!E6+'14.3н'!E6)/3</f>
        <v>0</v>
      </c>
      <c r="F6" s="91">
        <f>('14.1н'!F6+'14.2н'!F6+'14.3н'!F6)/3</f>
        <v>0</v>
      </c>
      <c r="G6" s="91">
        <f>('14.1н'!G6+'14.2н'!G6+'14.3н'!G6)/3</f>
        <v>0</v>
      </c>
      <c r="H6" s="91">
        <f>('14.1н'!H6+'14.2н'!H6+'14.3н'!H6)/3</f>
        <v>0</v>
      </c>
      <c r="I6" s="91">
        <f>('14.1н'!I6+'14.2н'!I6+'14.3н'!I6)/3</f>
        <v>0</v>
      </c>
      <c r="J6" s="91">
        <f>('14.1н'!J6+'14.2н'!J6+'14.3н'!J6)/3</f>
        <v>0</v>
      </c>
      <c r="K6" s="91">
        <f>('14.1н'!K6+'14.2н'!K6+'14.3н'!K6)/3</f>
        <v>0</v>
      </c>
      <c r="L6" s="91">
        <f>('14.1н'!L6+'14.2н'!L6+'14.3н'!L6)/3</f>
        <v>0</v>
      </c>
      <c r="M6" s="91">
        <f>('14.1н'!M6+'14.2н'!M6+'14.3н'!M6)/3</f>
        <v>0</v>
      </c>
      <c r="N6" s="91">
        <f>('14.1н'!N6+'14.2н'!N6+'14.3н'!N6)/3</f>
        <v>0</v>
      </c>
      <c r="O6" s="91">
        <f>('14.1н'!O6+'14.2н'!O6+'14.3н'!O6)/3</f>
        <v>0</v>
      </c>
      <c r="P6" s="91">
        <f>('14.1н'!P6+'14.2н'!P6+'14.3н'!P6)/3</f>
        <v>0</v>
      </c>
      <c r="Q6" s="91">
        <f>('14.1н'!Q6+'14.2н'!Q6+'14.3н'!Q6)/3</f>
        <v>0</v>
      </c>
      <c r="R6" s="91">
        <f>('14.1н'!B6+'14.2н'!B6+'14.3н'!B6)/3</f>
        <v>0.17681925268044418</v>
      </c>
    </row>
    <row r="7" spans="1:18" x14ac:dyDescent="0.25">
      <c r="A7" s="84">
        <v>6</v>
      </c>
      <c r="B7" s="84" t="s">
        <v>6</v>
      </c>
      <c r="C7" s="91" t="e">
        <f>('14.1н'!#REF!+'14.2н'!#REF!+'14.3н'!#REF!)/3</f>
        <v>#REF!</v>
      </c>
      <c r="D7" s="91" t="e">
        <f>('14.1н'!#REF!+'14.2н'!#REF!+'14.3н'!#REF!)/3</f>
        <v>#REF!</v>
      </c>
      <c r="E7" s="91">
        <f>('14.1н'!E7+'14.2н'!E7+'14.3н'!E7)/3</f>
        <v>0</v>
      </c>
      <c r="F7" s="91">
        <f>('14.1н'!F7+'14.2н'!F7+'14.3н'!F7)/3</f>
        <v>0</v>
      </c>
      <c r="G7" s="91">
        <f>('14.1н'!G7+'14.2н'!G7+'14.3н'!G7)/3</f>
        <v>0</v>
      </c>
      <c r="H7" s="91">
        <f>('14.1н'!H7+'14.2н'!H7+'14.3н'!H7)/3</f>
        <v>0</v>
      </c>
      <c r="I7" s="91">
        <f>('14.1н'!I7+'14.2н'!I7+'14.3н'!I7)/3</f>
        <v>0</v>
      </c>
      <c r="J7" s="91">
        <f>('14.1н'!J7+'14.2н'!J7+'14.3н'!J7)/3</f>
        <v>0</v>
      </c>
      <c r="K7" s="91">
        <f>('14.1н'!K7+'14.2н'!K7+'14.3н'!K7)/3</f>
        <v>0</v>
      </c>
      <c r="L7" s="91">
        <f>('14.1н'!L7+'14.2н'!L7+'14.3н'!L7)/3</f>
        <v>0</v>
      </c>
      <c r="M7" s="91">
        <f>('14.1н'!M7+'14.2н'!M7+'14.3н'!M7)/3</f>
        <v>0</v>
      </c>
      <c r="N7" s="91">
        <f>('14.1н'!N7+'14.2н'!N7+'14.3н'!N7)/3</f>
        <v>0</v>
      </c>
      <c r="O7" s="91">
        <f>('14.1н'!O7+'14.2н'!O7+'14.3н'!O7)/3</f>
        <v>0</v>
      </c>
      <c r="P7" s="91">
        <f>('14.1н'!P7+'14.2н'!P7+'14.3н'!P7)/3</f>
        <v>0</v>
      </c>
      <c r="Q7" s="91">
        <f>('14.1н'!Q7+'14.2н'!Q7+'14.3н'!Q7)/3</f>
        <v>0</v>
      </c>
      <c r="R7" s="91">
        <f>('14.1н'!B7+'14.2н'!B7+'14.3н'!B7)/3</f>
        <v>0.1385419561741594</v>
      </c>
    </row>
    <row r="8" spans="1:18" x14ac:dyDescent="0.25">
      <c r="A8" s="84">
        <v>7</v>
      </c>
      <c r="B8" s="84" t="s">
        <v>7</v>
      </c>
      <c r="C8" s="91" t="e">
        <f>('14.1н'!#REF!+'14.2н'!#REF!+'14.3н'!#REF!)/3</f>
        <v>#REF!</v>
      </c>
      <c r="D8" s="91" t="e">
        <f>('14.1н'!#REF!+'14.2н'!#REF!+'14.3н'!#REF!)/3</f>
        <v>#REF!</v>
      </c>
      <c r="E8" s="91">
        <f>('14.1н'!E8+'14.2н'!E8+'14.3н'!E8)/3</f>
        <v>0</v>
      </c>
      <c r="F8" s="91">
        <f>('14.1н'!F8+'14.2н'!F8+'14.3н'!F8)/3</f>
        <v>0</v>
      </c>
      <c r="G8" s="91">
        <f>('14.1н'!G8+'14.2н'!G8+'14.3н'!G8)/3</f>
        <v>0</v>
      </c>
      <c r="H8" s="91">
        <f>('14.1н'!H8+'14.2н'!H8+'14.3н'!H8)/3</f>
        <v>0</v>
      </c>
      <c r="I8" s="91">
        <f>('14.1н'!I8+'14.2н'!I8+'14.3н'!I8)/3</f>
        <v>0</v>
      </c>
      <c r="J8" s="91">
        <f>('14.1н'!J8+'14.2н'!J8+'14.3н'!J8)/3</f>
        <v>0</v>
      </c>
      <c r="K8" s="91">
        <f>('14.1н'!K8+'14.2н'!K8+'14.3н'!K8)/3</f>
        <v>0</v>
      </c>
      <c r="L8" s="91">
        <f>('14.1н'!L8+'14.2н'!L8+'14.3н'!L8)/3</f>
        <v>0</v>
      </c>
      <c r="M8" s="91">
        <f>('14.1н'!M8+'14.2н'!M8+'14.3н'!M8)/3</f>
        <v>0</v>
      </c>
      <c r="N8" s="91">
        <f>('14.1н'!N8+'14.2н'!N8+'14.3н'!N8)/3</f>
        <v>0</v>
      </c>
      <c r="O8" s="91">
        <f>('14.1н'!O8+'14.2н'!O8+'14.3н'!O8)/3</f>
        <v>0</v>
      </c>
      <c r="P8" s="91">
        <f>('14.1н'!P8+'14.2н'!P8+'14.3н'!P8)/3</f>
        <v>0</v>
      </c>
      <c r="Q8" s="91">
        <f>('14.1н'!Q8+'14.2н'!Q8+'14.3н'!Q8)/3</f>
        <v>0</v>
      </c>
      <c r="R8" s="91">
        <f>('14.1н'!B8+'14.2н'!B8+'14.3н'!B8)/3</f>
        <v>5.6761712161970533E-2</v>
      </c>
    </row>
    <row r="9" spans="1:18" x14ac:dyDescent="0.25">
      <c r="A9" s="84">
        <v>8</v>
      </c>
      <c r="B9" s="84" t="s">
        <v>8</v>
      </c>
      <c r="C9" s="91" t="e">
        <f>('14.1н'!#REF!+'14.2н'!#REF!+'14.3н'!#REF!)/3</f>
        <v>#REF!</v>
      </c>
      <c r="D9" s="91" t="e">
        <f>('14.1н'!#REF!+'14.2н'!#REF!+'14.3н'!#REF!)/3</f>
        <v>#REF!</v>
      </c>
      <c r="E9" s="91">
        <f>('14.1н'!E9+'14.2н'!E9+'14.3н'!E9)/3</f>
        <v>0</v>
      </c>
      <c r="F9" s="91">
        <f>('14.1н'!F9+'14.2н'!F9+'14.3н'!F9)/3</f>
        <v>0</v>
      </c>
      <c r="G9" s="91">
        <f>('14.1н'!G9+'14.2н'!G9+'14.3н'!G9)/3</f>
        <v>0</v>
      </c>
      <c r="H9" s="91">
        <f>('14.1н'!H9+'14.2н'!H9+'14.3н'!H9)/3</f>
        <v>0</v>
      </c>
      <c r="I9" s="91">
        <f>('14.1н'!I9+'14.2н'!I9+'14.3н'!I9)/3</f>
        <v>0</v>
      </c>
      <c r="J9" s="91">
        <f>('14.1н'!J9+'14.2н'!J9+'14.3н'!J9)/3</f>
        <v>0</v>
      </c>
      <c r="K9" s="91">
        <f>('14.1н'!K9+'14.2н'!K9+'14.3н'!K9)/3</f>
        <v>0</v>
      </c>
      <c r="L9" s="91">
        <f>('14.1н'!L9+'14.2н'!L9+'14.3н'!L9)/3</f>
        <v>0</v>
      </c>
      <c r="M9" s="91">
        <f>('14.1н'!M9+'14.2н'!M9+'14.3н'!M9)/3</f>
        <v>0</v>
      </c>
      <c r="N9" s="91">
        <f>('14.1н'!N9+'14.2н'!N9+'14.3н'!N9)/3</f>
        <v>0</v>
      </c>
      <c r="O9" s="91">
        <f>('14.1н'!O9+'14.2н'!O9+'14.3н'!O9)/3</f>
        <v>0</v>
      </c>
      <c r="P9" s="91">
        <f>('14.1н'!P9+'14.2н'!P9+'14.3н'!P9)/3</f>
        <v>0</v>
      </c>
      <c r="Q9" s="91">
        <f>('14.1н'!Q9+'14.2н'!Q9+'14.3н'!Q9)/3</f>
        <v>0</v>
      </c>
      <c r="R9" s="91">
        <f>('14.1н'!B9+'14.2н'!B9+'14.3н'!B9)/3</f>
        <v>8.6671991474946308E-2</v>
      </c>
    </row>
    <row r="10" spans="1:18" x14ac:dyDescent="0.25">
      <c r="A10" s="84">
        <v>9</v>
      </c>
      <c r="B10" s="84" t="s">
        <v>9</v>
      </c>
      <c r="C10" s="91" t="e">
        <f>('14.1н'!#REF!+'14.2н'!#REF!+'14.3н'!#REF!)/3</f>
        <v>#REF!</v>
      </c>
      <c r="D10" s="91" t="e">
        <f>('14.1н'!#REF!+'14.2н'!#REF!+'14.3н'!#REF!)/3</f>
        <v>#REF!</v>
      </c>
      <c r="E10" s="91">
        <f>('14.1н'!E10+'14.2н'!E10+'14.3н'!E10)/3</f>
        <v>0</v>
      </c>
      <c r="F10" s="91">
        <f>('14.1н'!F10+'14.2н'!F10+'14.3н'!F10)/3</f>
        <v>0</v>
      </c>
      <c r="G10" s="91">
        <f>('14.1н'!G10+'14.2н'!G10+'14.3н'!G10)/3</f>
        <v>0</v>
      </c>
      <c r="H10" s="91">
        <f>('14.1н'!H10+'14.2н'!H10+'14.3н'!H10)/3</f>
        <v>0</v>
      </c>
      <c r="I10" s="91">
        <f>('14.1н'!I10+'14.2н'!I10+'14.3н'!I10)/3</f>
        <v>0</v>
      </c>
      <c r="J10" s="91">
        <f>('14.1н'!J10+'14.2н'!J10+'14.3н'!J10)/3</f>
        <v>0</v>
      </c>
      <c r="K10" s="91">
        <f>('14.1н'!K10+'14.2н'!K10+'14.3н'!K10)/3</f>
        <v>0</v>
      </c>
      <c r="L10" s="91">
        <f>('14.1н'!L10+'14.2н'!L10+'14.3н'!L10)/3</f>
        <v>0</v>
      </c>
      <c r="M10" s="91">
        <f>('14.1н'!M10+'14.2н'!M10+'14.3н'!M10)/3</f>
        <v>0</v>
      </c>
      <c r="N10" s="91">
        <f>('14.1н'!N10+'14.2н'!N10+'14.3н'!N10)/3</f>
        <v>0</v>
      </c>
      <c r="O10" s="91">
        <f>('14.1н'!O10+'14.2н'!O10+'14.3н'!O10)/3</f>
        <v>0</v>
      </c>
      <c r="P10" s="91">
        <f>('14.1н'!P10+'14.2н'!P10+'14.3н'!P10)/3</f>
        <v>0</v>
      </c>
      <c r="Q10" s="91">
        <f>('14.1н'!Q10+'14.2н'!Q10+'14.3н'!Q10)/3</f>
        <v>0</v>
      </c>
      <c r="R10" s="91">
        <f>('14.1н'!B10+'14.2н'!B10+'14.3н'!B10)/3</f>
        <v>0.35014052241400795</v>
      </c>
    </row>
    <row r="11" spans="1:18" x14ac:dyDescent="0.25">
      <c r="A11" s="84">
        <v>10</v>
      </c>
      <c r="B11" s="84" t="s">
        <v>10</v>
      </c>
      <c r="C11" s="91" t="e">
        <f>('14.1н'!#REF!+'14.2н'!#REF!+'14.3н'!#REF!)/3</f>
        <v>#REF!</v>
      </c>
      <c r="D11" s="91" t="e">
        <f>('14.1н'!#REF!+'14.2н'!#REF!+'14.3н'!#REF!)/3</f>
        <v>#REF!</v>
      </c>
      <c r="E11" s="91">
        <f>('14.1н'!E11+'14.2н'!E11+'14.3н'!E11)/3</f>
        <v>0</v>
      </c>
      <c r="F11" s="91">
        <f>('14.1н'!F11+'14.2н'!F11+'14.3н'!F11)/3</f>
        <v>0</v>
      </c>
      <c r="G11" s="91">
        <f>('14.1н'!G11+'14.2н'!G11+'14.3н'!G11)/3</f>
        <v>0</v>
      </c>
      <c r="H11" s="91">
        <f>('14.1н'!H11+'14.2н'!H11+'14.3н'!H11)/3</f>
        <v>0</v>
      </c>
      <c r="I11" s="91">
        <f>('14.1н'!I11+'14.2н'!I11+'14.3н'!I11)/3</f>
        <v>0</v>
      </c>
      <c r="J11" s="91">
        <f>('14.1н'!J11+'14.2н'!J11+'14.3н'!J11)/3</f>
        <v>0</v>
      </c>
      <c r="K11" s="91">
        <f>('14.1н'!K11+'14.2н'!K11+'14.3н'!K11)/3</f>
        <v>0</v>
      </c>
      <c r="L11" s="91">
        <f>('14.1н'!L11+'14.2н'!L11+'14.3н'!L11)/3</f>
        <v>0</v>
      </c>
      <c r="M11" s="91">
        <f>('14.1н'!M11+'14.2н'!M11+'14.3н'!M11)/3</f>
        <v>0</v>
      </c>
      <c r="N11" s="91">
        <f>('14.1н'!N11+'14.2н'!N11+'14.3н'!N11)/3</f>
        <v>0</v>
      </c>
      <c r="O11" s="91">
        <f>('14.1н'!O11+'14.2н'!O11+'14.3н'!O11)/3</f>
        <v>0</v>
      </c>
      <c r="P11" s="91">
        <f>('14.1н'!P11+'14.2н'!P11+'14.3н'!P11)/3</f>
        <v>0</v>
      </c>
      <c r="Q11" s="91">
        <f>('14.1н'!Q11+'14.2н'!Q11+'14.3н'!Q11)/3</f>
        <v>0</v>
      </c>
      <c r="R11" s="91">
        <f>('14.1н'!B11+'14.2н'!B11+'14.3н'!B11)/3</f>
        <v>0.35702107000709038</v>
      </c>
    </row>
    <row r="12" spans="1:18" x14ac:dyDescent="0.25">
      <c r="A12" s="84">
        <v>11</v>
      </c>
      <c r="B12" s="84" t="s">
        <v>11</v>
      </c>
      <c r="C12" s="91" t="e">
        <f>('14.1н'!#REF!+'14.2н'!#REF!+'14.3н'!#REF!)/3</f>
        <v>#REF!</v>
      </c>
      <c r="D12" s="91" t="e">
        <f>('14.1н'!#REF!+'14.2н'!#REF!+'14.3н'!#REF!)/3</f>
        <v>#REF!</v>
      </c>
      <c r="E12" s="91">
        <f>('14.1н'!E12+'14.2н'!E12+'14.3н'!E12)/3</f>
        <v>0</v>
      </c>
      <c r="F12" s="91">
        <f>('14.1н'!F12+'14.2н'!F12+'14.3н'!F12)/3</f>
        <v>0</v>
      </c>
      <c r="G12" s="91">
        <f>('14.1н'!G12+'14.2н'!G12+'14.3н'!G12)/3</f>
        <v>0</v>
      </c>
      <c r="H12" s="91">
        <f>('14.1н'!H12+'14.2н'!H12+'14.3н'!H12)/3</f>
        <v>0</v>
      </c>
      <c r="I12" s="91">
        <f>('14.1н'!I12+'14.2н'!I12+'14.3н'!I12)/3</f>
        <v>0</v>
      </c>
      <c r="J12" s="91">
        <f>('14.1н'!J12+'14.2н'!J12+'14.3н'!J12)/3</f>
        <v>0</v>
      </c>
      <c r="K12" s="91">
        <f>('14.1н'!K12+'14.2н'!K12+'14.3н'!K12)/3</f>
        <v>0</v>
      </c>
      <c r="L12" s="91">
        <f>('14.1н'!L12+'14.2н'!L12+'14.3н'!L12)/3</f>
        <v>0</v>
      </c>
      <c r="M12" s="91">
        <f>('14.1н'!M12+'14.2н'!M12+'14.3н'!M12)/3</f>
        <v>0</v>
      </c>
      <c r="N12" s="91">
        <f>('14.1н'!N12+'14.2н'!N12+'14.3н'!N12)/3</f>
        <v>0</v>
      </c>
      <c r="O12" s="91">
        <f>('14.1н'!O12+'14.2н'!O12+'14.3н'!O12)/3</f>
        <v>0</v>
      </c>
      <c r="P12" s="91">
        <f>('14.1н'!P12+'14.2н'!P12+'14.3н'!P12)/3</f>
        <v>0</v>
      </c>
      <c r="Q12" s="91">
        <f>('14.1н'!Q12+'14.2н'!Q12+'14.3н'!Q12)/3</f>
        <v>0</v>
      </c>
      <c r="R12" s="91">
        <f>('14.1н'!B12+'14.2н'!B12+'14.3н'!B12)/3</f>
        <v>0.15184017378346321</v>
      </c>
    </row>
    <row r="13" spans="1:18" x14ac:dyDescent="0.25">
      <c r="A13" s="84">
        <v>12</v>
      </c>
      <c r="B13" s="84" t="s">
        <v>12</v>
      </c>
      <c r="C13" s="91" t="e">
        <f>('14.1н'!#REF!+'14.2н'!#REF!+'14.3н'!#REF!)/3</f>
        <v>#REF!</v>
      </c>
      <c r="D13" s="91" t="e">
        <f>('14.1н'!#REF!+'14.2н'!#REF!+'14.3н'!#REF!)/3</f>
        <v>#REF!</v>
      </c>
      <c r="E13" s="91">
        <f>('14.1н'!E13+'14.2н'!E13+'14.3н'!E13)/3</f>
        <v>0</v>
      </c>
      <c r="F13" s="91">
        <f>('14.1н'!F13+'14.2н'!F13+'14.3н'!F13)/3</f>
        <v>0</v>
      </c>
      <c r="G13" s="91">
        <f>('14.1н'!G13+'14.2н'!G13+'14.3н'!G13)/3</f>
        <v>0</v>
      </c>
      <c r="H13" s="91">
        <f>('14.1н'!H13+'14.2н'!H13+'14.3н'!H13)/3</f>
        <v>0</v>
      </c>
      <c r="I13" s="91">
        <f>('14.1н'!I13+'14.2н'!I13+'14.3н'!I13)/3</f>
        <v>0</v>
      </c>
      <c r="J13" s="91">
        <f>('14.1н'!J13+'14.2н'!J13+'14.3н'!J13)/3</f>
        <v>0</v>
      </c>
      <c r="K13" s="91">
        <f>('14.1н'!K13+'14.2н'!K13+'14.3н'!K13)/3</f>
        <v>0</v>
      </c>
      <c r="L13" s="91">
        <f>('14.1н'!L13+'14.2н'!L13+'14.3н'!L13)/3</f>
        <v>0</v>
      </c>
      <c r="M13" s="91">
        <f>('14.1н'!M13+'14.2н'!M13+'14.3н'!M13)/3</f>
        <v>0</v>
      </c>
      <c r="N13" s="91">
        <f>('14.1н'!N13+'14.2н'!N13+'14.3н'!N13)/3</f>
        <v>0</v>
      </c>
      <c r="O13" s="91">
        <f>('14.1н'!O13+'14.2н'!O13+'14.3н'!O13)/3</f>
        <v>0</v>
      </c>
      <c r="P13" s="91">
        <f>('14.1н'!P13+'14.2н'!P13+'14.3н'!P13)/3</f>
        <v>0</v>
      </c>
      <c r="Q13" s="91">
        <f>('14.1н'!Q13+'14.2н'!Q13+'14.3н'!Q13)/3</f>
        <v>0</v>
      </c>
      <c r="R13" s="91">
        <f>('14.1н'!B13+'14.2н'!B13+'14.3н'!B13)/3</f>
        <v>0.15719122786908793</v>
      </c>
    </row>
    <row r="14" spans="1:18" x14ac:dyDescent="0.25">
      <c r="A14" s="84">
        <v>13</v>
      </c>
      <c r="B14" s="84" t="s">
        <v>13</v>
      </c>
      <c r="C14" s="91" t="e">
        <f>('14.1н'!#REF!+'14.2н'!#REF!+'14.3н'!#REF!)/3</f>
        <v>#REF!</v>
      </c>
      <c r="D14" s="91" t="e">
        <f>('14.1н'!#REF!+'14.2н'!#REF!+'14.3н'!#REF!)/3</f>
        <v>#REF!</v>
      </c>
      <c r="E14" s="91">
        <f>('14.1н'!E14+'14.2н'!E14+'14.3н'!E14)/3</f>
        <v>0</v>
      </c>
      <c r="F14" s="91">
        <f>('14.1н'!F14+'14.2н'!F14+'14.3н'!F14)/3</f>
        <v>0</v>
      </c>
      <c r="G14" s="91">
        <f>('14.1н'!G14+'14.2н'!G14+'14.3н'!G14)/3</f>
        <v>0</v>
      </c>
      <c r="H14" s="91">
        <f>('14.1н'!H14+'14.2н'!H14+'14.3н'!H14)/3</f>
        <v>0</v>
      </c>
      <c r="I14" s="91">
        <f>('14.1н'!I14+'14.2н'!I14+'14.3н'!I14)/3</f>
        <v>0</v>
      </c>
      <c r="J14" s="91">
        <f>('14.1н'!J14+'14.2н'!J14+'14.3н'!J14)/3</f>
        <v>0</v>
      </c>
      <c r="K14" s="91">
        <f>('14.1н'!K14+'14.2н'!K14+'14.3н'!K14)/3</f>
        <v>0</v>
      </c>
      <c r="L14" s="91">
        <f>('14.1н'!L14+'14.2н'!L14+'14.3н'!L14)/3</f>
        <v>0</v>
      </c>
      <c r="M14" s="91">
        <f>('14.1н'!M14+'14.2н'!M14+'14.3н'!M14)/3</f>
        <v>0</v>
      </c>
      <c r="N14" s="91">
        <f>('14.1н'!N14+'14.2н'!N14+'14.3н'!N14)/3</f>
        <v>0</v>
      </c>
      <c r="O14" s="91">
        <f>('14.1н'!O14+'14.2н'!O14+'14.3н'!O14)/3</f>
        <v>0</v>
      </c>
      <c r="P14" s="91">
        <f>('14.1н'!P14+'14.2н'!P14+'14.3н'!P14)/3</f>
        <v>0</v>
      </c>
      <c r="Q14" s="91">
        <f>('14.1н'!Q14+'14.2н'!Q14+'14.3н'!Q14)/3</f>
        <v>0</v>
      </c>
      <c r="R14" s="91">
        <f>('14.1н'!B14+'14.2н'!B14+'14.3н'!B14)/3</f>
        <v>0.10437625815966949</v>
      </c>
    </row>
    <row r="15" spans="1:18" x14ac:dyDescent="0.25">
      <c r="A15" s="84">
        <v>14</v>
      </c>
      <c r="B15" s="84" t="s">
        <v>14</v>
      </c>
      <c r="C15" s="91" t="e">
        <f>('14.1н'!#REF!+'14.2н'!#REF!+'14.3н'!#REF!)/3</f>
        <v>#REF!</v>
      </c>
      <c r="D15" s="91" t="e">
        <f>('14.1н'!#REF!+'14.2н'!#REF!+'14.3н'!#REF!)/3</f>
        <v>#REF!</v>
      </c>
      <c r="E15" s="91">
        <f>('14.1н'!E15+'14.2н'!E15+'14.3н'!E15)/3</f>
        <v>0</v>
      </c>
      <c r="F15" s="91">
        <f>('14.1н'!F15+'14.2н'!F15+'14.3н'!F15)/3</f>
        <v>0</v>
      </c>
      <c r="G15" s="91">
        <f>('14.1н'!G15+'14.2н'!G15+'14.3н'!G15)/3</f>
        <v>0</v>
      </c>
      <c r="H15" s="91">
        <f>('14.1н'!H15+'14.2н'!H15+'14.3н'!H15)/3</f>
        <v>0</v>
      </c>
      <c r="I15" s="91">
        <f>('14.1н'!I15+'14.2н'!I15+'14.3н'!I15)/3</f>
        <v>0</v>
      </c>
      <c r="J15" s="91">
        <f>('14.1н'!J15+'14.2н'!J15+'14.3н'!J15)/3</f>
        <v>0</v>
      </c>
      <c r="K15" s="91">
        <f>('14.1н'!K15+'14.2н'!K15+'14.3н'!K15)/3</f>
        <v>0</v>
      </c>
      <c r="L15" s="91">
        <f>('14.1н'!L15+'14.2н'!L15+'14.3н'!L15)/3</f>
        <v>0</v>
      </c>
      <c r="M15" s="91">
        <f>('14.1н'!M15+'14.2н'!M15+'14.3н'!M15)/3</f>
        <v>0</v>
      </c>
      <c r="N15" s="91">
        <f>('14.1н'!N15+'14.2н'!N15+'14.3н'!N15)/3</f>
        <v>0</v>
      </c>
      <c r="O15" s="91">
        <f>('14.1н'!O15+'14.2н'!O15+'14.3н'!O15)/3</f>
        <v>0</v>
      </c>
      <c r="P15" s="91">
        <f>('14.1н'!P15+'14.2н'!P15+'14.3н'!P15)/3</f>
        <v>0</v>
      </c>
      <c r="Q15" s="91">
        <f>('14.1н'!Q15+'14.2н'!Q15+'14.3н'!Q15)/3</f>
        <v>0</v>
      </c>
      <c r="R15" s="91">
        <f>('14.1н'!B15+'14.2н'!B15+'14.3н'!B15)/3</f>
        <v>0.18694536111558804</v>
      </c>
    </row>
    <row r="16" spans="1:18" x14ac:dyDescent="0.25">
      <c r="A16" s="84">
        <v>15</v>
      </c>
      <c r="B16" s="84" t="s">
        <v>15</v>
      </c>
      <c r="C16" s="91" t="e">
        <f>('14.1н'!#REF!+'14.2н'!#REF!+'14.3н'!#REF!)/3</f>
        <v>#REF!</v>
      </c>
      <c r="D16" s="91" t="e">
        <f>('14.1н'!#REF!+'14.2н'!#REF!+'14.3н'!#REF!)/3</f>
        <v>#REF!</v>
      </c>
      <c r="E16" s="91">
        <f>('14.1н'!E16+'14.2н'!E16+'14.3н'!E16)/3</f>
        <v>0</v>
      </c>
      <c r="F16" s="91">
        <f>('14.1н'!F16+'14.2н'!F16+'14.3н'!F16)/3</f>
        <v>0</v>
      </c>
      <c r="G16" s="91">
        <f>('14.1н'!G16+'14.2н'!G16+'14.3н'!G16)/3</f>
        <v>0</v>
      </c>
      <c r="H16" s="91">
        <f>('14.1н'!H16+'14.2н'!H16+'14.3н'!H16)/3</f>
        <v>0</v>
      </c>
      <c r="I16" s="91">
        <f>('14.1н'!I16+'14.2н'!I16+'14.3н'!I16)/3</f>
        <v>0</v>
      </c>
      <c r="J16" s="91">
        <f>('14.1н'!J16+'14.2н'!J16+'14.3н'!J16)/3</f>
        <v>0</v>
      </c>
      <c r="K16" s="91">
        <f>('14.1н'!K16+'14.2н'!K16+'14.3н'!K16)/3</f>
        <v>0</v>
      </c>
      <c r="L16" s="91">
        <f>('14.1н'!L16+'14.2н'!L16+'14.3н'!L16)/3</f>
        <v>0</v>
      </c>
      <c r="M16" s="91">
        <f>('14.1н'!M16+'14.2н'!M16+'14.3н'!M16)/3</f>
        <v>0</v>
      </c>
      <c r="N16" s="91">
        <f>('14.1н'!N16+'14.2н'!N16+'14.3н'!N16)/3</f>
        <v>0</v>
      </c>
      <c r="O16" s="91">
        <f>('14.1н'!O16+'14.2н'!O16+'14.3н'!O16)/3</f>
        <v>0</v>
      </c>
      <c r="P16" s="91">
        <f>('14.1н'!P16+'14.2н'!P16+'14.3н'!P16)/3</f>
        <v>0</v>
      </c>
      <c r="Q16" s="91">
        <f>('14.1н'!Q16+'14.2н'!Q16+'14.3н'!Q16)/3</f>
        <v>0</v>
      </c>
      <c r="R16" s="91">
        <f>('14.1н'!B16+'14.2н'!B16+'14.3н'!B16)/3</f>
        <v>0.22573983853582535</v>
      </c>
    </row>
    <row r="17" spans="1:18" x14ac:dyDescent="0.25">
      <c r="A17" s="84">
        <v>16</v>
      </c>
      <c r="B17" s="84" t="s">
        <v>16</v>
      </c>
      <c r="C17" s="91" t="e">
        <f>('14.1н'!#REF!+'14.2н'!#REF!+'14.3н'!#REF!)/3</f>
        <v>#REF!</v>
      </c>
      <c r="D17" s="91" t="e">
        <f>('14.1н'!#REF!+'14.2н'!#REF!+'14.3н'!#REF!)/3</f>
        <v>#REF!</v>
      </c>
      <c r="E17" s="91">
        <f>('14.1н'!E17+'14.2н'!E17+'14.3н'!E17)/3</f>
        <v>0</v>
      </c>
      <c r="F17" s="91">
        <f>('14.1н'!F17+'14.2н'!F17+'14.3н'!F17)/3</f>
        <v>0</v>
      </c>
      <c r="G17" s="91">
        <f>('14.1н'!G17+'14.2н'!G17+'14.3н'!G17)/3</f>
        <v>0</v>
      </c>
      <c r="H17" s="91">
        <f>('14.1н'!H17+'14.2н'!H17+'14.3н'!H17)/3</f>
        <v>0</v>
      </c>
      <c r="I17" s="91">
        <f>('14.1н'!I17+'14.2н'!I17+'14.3н'!I17)/3</f>
        <v>0</v>
      </c>
      <c r="J17" s="91">
        <f>('14.1н'!J17+'14.2н'!J17+'14.3н'!J17)/3</f>
        <v>0</v>
      </c>
      <c r="K17" s="91">
        <f>('14.1н'!K17+'14.2н'!K17+'14.3н'!K17)/3</f>
        <v>0</v>
      </c>
      <c r="L17" s="91">
        <f>('14.1н'!L17+'14.2н'!L17+'14.3н'!L17)/3</f>
        <v>0</v>
      </c>
      <c r="M17" s="91">
        <f>('14.1н'!M17+'14.2н'!M17+'14.3н'!M17)/3</f>
        <v>0</v>
      </c>
      <c r="N17" s="91">
        <f>('14.1н'!N17+'14.2н'!N17+'14.3н'!N17)/3</f>
        <v>0</v>
      </c>
      <c r="O17" s="91">
        <f>('14.1н'!O17+'14.2н'!O17+'14.3н'!O17)/3</f>
        <v>0</v>
      </c>
      <c r="P17" s="91">
        <f>('14.1н'!P17+'14.2н'!P17+'14.3н'!P17)/3</f>
        <v>0</v>
      </c>
      <c r="Q17" s="91">
        <f>('14.1н'!Q17+'14.2н'!Q17+'14.3н'!Q17)/3</f>
        <v>0</v>
      </c>
      <c r="R17" s="91">
        <f>('14.1н'!B17+'14.2н'!B17+'14.3н'!B17)/3</f>
        <v>0.4258444189417836</v>
      </c>
    </row>
    <row r="18" spans="1:18" x14ac:dyDescent="0.25">
      <c r="A18" s="84">
        <v>17</v>
      </c>
      <c r="B18" s="84" t="s">
        <v>17</v>
      </c>
      <c r="C18" s="91" t="e">
        <f>('14.1н'!#REF!+'14.2н'!#REF!+'14.3н'!#REF!)/3</f>
        <v>#REF!</v>
      </c>
      <c r="D18" s="91" t="e">
        <f>('14.1н'!#REF!+'14.2н'!#REF!+'14.3н'!#REF!)/3</f>
        <v>#REF!</v>
      </c>
      <c r="E18" s="91">
        <f>('14.1н'!E18+'14.2н'!E18+'14.3н'!E18)/3</f>
        <v>0</v>
      </c>
      <c r="F18" s="91">
        <f>('14.1н'!F18+'14.2н'!F18+'14.3н'!F18)/3</f>
        <v>0</v>
      </c>
      <c r="G18" s="91">
        <f>('14.1н'!G18+'14.2н'!G18+'14.3н'!G18)/3</f>
        <v>0</v>
      </c>
      <c r="H18" s="91">
        <f>('14.1н'!H18+'14.2н'!H18+'14.3н'!H18)/3</f>
        <v>0</v>
      </c>
      <c r="I18" s="91">
        <f>('14.1н'!I18+'14.2н'!I18+'14.3н'!I18)/3</f>
        <v>0</v>
      </c>
      <c r="J18" s="91">
        <f>('14.1н'!J18+'14.2н'!J18+'14.3н'!J18)/3</f>
        <v>0</v>
      </c>
      <c r="K18" s="91">
        <f>('14.1н'!K18+'14.2н'!K18+'14.3н'!K18)/3</f>
        <v>0</v>
      </c>
      <c r="L18" s="91">
        <f>('14.1н'!L18+'14.2н'!L18+'14.3н'!L18)/3</f>
        <v>0</v>
      </c>
      <c r="M18" s="91">
        <f>('14.1н'!M18+'14.2н'!M18+'14.3н'!M18)/3</f>
        <v>0</v>
      </c>
      <c r="N18" s="91">
        <f>('14.1н'!N18+'14.2н'!N18+'14.3н'!N18)/3</f>
        <v>0</v>
      </c>
      <c r="O18" s="91">
        <f>('14.1н'!O18+'14.2н'!O18+'14.3н'!O18)/3</f>
        <v>0</v>
      </c>
      <c r="P18" s="91">
        <f>('14.1н'!P18+'14.2н'!P18+'14.3н'!P18)/3</f>
        <v>0</v>
      </c>
      <c r="Q18" s="91">
        <f>('14.1н'!Q18+'14.2н'!Q18+'14.3н'!Q18)/3</f>
        <v>0</v>
      </c>
      <c r="R18" s="91">
        <f>('14.1н'!B18+'14.2н'!B18+'14.3н'!B18)/3</f>
        <v>0.20292018322393091</v>
      </c>
    </row>
    <row r="19" spans="1:18" x14ac:dyDescent="0.25">
      <c r="A19" s="84">
        <v>18</v>
      </c>
      <c r="B19" s="84" t="s">
        <v>18</v>
      </c>
      <c r="C19" s="91" t="e">
        <f>('14.1н'!#REF!+'14.2н'!#REF!+'14.3н'!#REF!)/3</f>
        <v>#REF!</v>
      </c>
      <c r="D19" s="91" t="e">
        <f>('14.1н'!#REF!+'14.2н'!#REF!+'14.3н'!#REF!)/3</f>
        <v>#REF!</v>
      </c>
      <c r="E19" s="91">
        <f>('14.1н'!E19+'14.2н'!E19+'14.3н'!E19)/3</f>
        <v>0</v>
      </c>
      <c r="F19" s="91">
        <f>('14.1н'!F19+'14.2н'!F19+'14.3н'!F19)/3</f>
        <v>0</v>
      </c>
      <c r="G19" s="91">
        <f>('14.1н'!G19+'14.2н'!G19+'14.3н'!G19)/3</f>
        <v>0</v>
      </c>
      <c r="H19" s="91">
        <f>('14.1н'!H19+'14.2н'!H19+'14.3н'!H19)/3</f>
        <v>0</v>
      </c>
      <c r="I19" s="91">
        <f>('14.1н'!I19+'14.2н'!I19+'14.3н'!I19)/3</f>
        <v>0</v>
      </c>
      <c r="J19" s="91">
        <f>('14.1н'!J19+'14.2н'!J19+'14.3н'!J19)/3</f>
        <v>0</v>
      </c>
      <c r="K19" s="91">
        <f>('14.1н'!K19+'14.2н'!K19+'14.3н'!K19)/3</f>
        <v>0</v>
      </c>
      <c r="L19" s="91">
        <f>('14.1н'!L19+'14.2н'!L19+'14.3н'!L19)/3</f>
        <v>0</v>
      </c>
      <c r="M19" s="91">
        <f>('14.1н'!M19+'14.2н'!M19+'14.3н'!M19)/3</f>
        <v>0</v>
      </c>
      <c r="N19" s="91">
        <f>('14.1н'!N19+'14.2н'!N19+'14.3н'!N19)/3</f>
        <v>0</v>
      </c>
      <c r="O19" s="91">
        <f>('14.1н'!O19+'14.2н'!O19+'14.3н'!O19)/3</f>
        <v>0</v>
      </c>
      <c r="P19" s="91">
        <f>('14.1н'!P19+'14.2н'!P19+'14.3н'!P19)/3</f>
        <v>0</v>
      </c>
      <c r="Q19" s="91">
        <f>('14.1н'!Q19+'14.2н'!Q19+'14.3н'!Q19)/3</f>
        <v>0</v>
      </c>
      <c r="R19" s="91">
        <f>('14.1н'!B19+'14.2н'!B19+'14.3н'!B19)/3</f>
        <v>0.2948675894730593</v>
      </c>
    </row>
    <row r="20" spans="1:18" x14ac:dyDescent="0.25">
      <c r="A20" s="84">
        <v>19</v>
      </c>
      <c r="B20" s="84" t="s">
        <v>19</v>
      </c>
      <c r="C20" s="91" t="e">
        <f>('14.1н'!#REF!+'14.2н'!#REF!+'14.3н'!#REF!)/3</f>
        <v>#REF!</v>
      </c>
      <c r="D20" s="91" t="e">
        <f>('14.1н'!#REF!+'14.2н'!#REF!+'14.3н'!#REF!)/3</f>
        <v>#REF!</v>
      </c>
      <c r="E20" s="91">
        <f>('14.1н'!E20+'14.2н'!E20+'14.3н'!E20)/3</f>
        <v>0</v>
      </c>
      <c r="F20" s="91">
        <f>('14.1н'!F20+'14.2н'!F20+'14.3н'!F20)/3</f>
        <v>0</v>
      </c>
      <c r="G20" s="91">
        <f>('14.1н'!G20+'14.2н'!G20+'14.3н'!G20)/3</f>
        <v>0</v>
      </c>
      <c r="H20" s="91">
        <f>('14.1н'!H20+'14.2н'!H20+'14.3н'!H20)/3</f>
        <v>0</v>
      </c>
      <c r="I20" s="91">
        <f>('14.1н'!I20+'14.2н'!I20+'14.3н'!I20)/3</f>
        <v>0</v>
      </c>
      <c r="J20" s="91">
        <f>('14.1н'!J20+'14.2н'!J20+'14.3н'!J20)/3</f>
        <v>0</v>
      </c>
      <c r="K20" s="91">
        <f>('14.1н'!K20+'14.2н'!K20+'14.3н'!K20)/3</f>
        <v>0</v>
      </c>
      <c r="L20" s="91">
        <f>('14.1н'!L20+'14.2н'!L20+'14.3н'!L20)/3</f>
        <v>0</v>
      </c>
      <c r="M20" s="91">
        <f>('14.1н'!M20+'14.2н'!M20+'14.3н'!M20)/3</f>
        <v>0</v>
      </c>
      <c r="N20" s="91">
        <f>('14.1н'!N20+'14.2н'!N20+'14.3н'!N20)/3</f>
        <v>0</v>
      </c>
      <c r="O20" s="91">
        <f>('14.1н'!O20+'14.2н'!O20+'14.3н'!O20)/3</f>
        <v>0</v>
      </c>
      <c r="P20" s="91">
        <f>('14.1н'!P20+'14.2н'!P20+'14.3н'!P20)/3</f>
        <v>0</v>
      </c>
      <c r="Q20" s="91">
        <f>('14.1н'!Q20+'14.2н'!Q20+'14.3н'!Q20)/3</f>
        <v>0</v>
      </c>
      <c r="R20" s="91">
        <f>('14.1н'!B20+'14.2н'!B20+'14.3н'!B20)/3</f>
        <v>0.16271287332824155</v>
      </c>
    </row>
    <row r="21" spans="1:18" x14ac:dyDescent="0.25">
      <c r="A21" s="84">
        <v>20</v>
      </c>
      <c r="B21" s="84" t="s">
        <v>20</v>
      </c>
      <c r="C21" s="91"/>
      <c r="D21" s="91" t="e">
        <f>('14.1н'!#REF!+'14.2н'!#REF!+'14.3н'!#REF!)/3</f>
        <v>#REF!</v>
      </c>
      <c r="E21" s="91">
        <f>('14.1н'!E21+'14.2н'!E21+'14.3н'!E21)/3</f>
        <v>0</v>
      </c>
      <c r="F21" s="91">
        <f>('14.1н'!F21+'14.2н'!F21+'14.3н'!F21)/3</f>
        <v>0</v>
      </c>
      <c r="G21" s="91">
        <f>('14.1н'!G21+'14.2н'!G21+'14.3н'!G21)/3</f>
        <v>0</v>
      </c>
      <c r="H21" s="91">
        <f>('14.1н'!H21+'14.2н'!H21+'14.3н'!H21)/3</f>
        <v>0</v>
      </c>
      <c r="I21" s="91">
        <f>('14.1н'!I21+'14.2н'!I21+'14.3н'!I21)/3</f>
        <v>0</v>
      </c>
      <c r="J21" s="91">
        <f>('14.1н'!J21+'14.2н'!J21+'14.3н'!J21)/3</f>
        <v>0</v>
      </c>
      <c r="K21" s="91">
        <f>('14.1н'!K21+'14.2н'!K21+'14.3н'!K21)/3</f>
        <v>0</v>
      </c>
      <c r="L21" s="91">
        <f>('14.1н'!L21+'14.2н'!L21+'14.3н'!L21)/3</f>
        <v>0</v>
      </c>
      <c r="M21" s="91">
        <f>('14.1н'!M21+'14.2н'!M21+'14.3н'!M21)/3</f>
        <v>0</v>
      </c>
      <c r="N21" s="91">
        <f>('14.1н'!N21+'14.2н'!N21+'14.3н'!N21)/3</f>
        <v>0</v>
      </c>
      <c r="O21" s="91">
        <f>('14.1н'!O21+'14.2н'!O21+'14.3н'!O21)/3</f>
        <v>0</v>
      </c>
      <c r="P21" s="91">
        <f>('14.1н'!P21+'14.2н'!P21+'14.3н'!P21)/3</f>
        <v>0</v>
      </c>
      <c r="Q21" s="91">
        <f>('14.1н'!Q21+'14.2н'!Q21+'14.3н'!Q21)/3</f>
        <v>0</v>
      </c>
      <c r="R21" s="91">
        <f>('14.1н'!B21+'14.2н'!B21+'14.3н'!B21)/3</f>
        <v>8.453986096004551E-2</v>
      </c>
    </row>
    <row r="22" spans="1:18" x14ac:dyDescent="0.25">
      <c r="A22" s="84">
        <v>21</v>
      </c>
      <c r="B22" s="84" t="s">
        <v>21</v>
      </c>
      <c r="C22" s="91" t="e">
        <f>('14.1н'!#REF!+'14.2н'!#REF!+'14.3н'!#REF!)/3</f>
        <v>#REF!</v>
      </c>
      <c r="D22" s="91" t="e">
        <f>('14.1н'!#REF!+'14.2н'!#REF!+'14.3н'!#REF!)/3</f>
        <v>#REF!</v>
      </c>
      <c r="E22" s="91">
        <f>('14.1н'!E22+'14.2н'!E22+'14.3н'!E22)/3</f>
        <v>0</v>
      </c>
      <c r="F22" s="91">
        <f>('14.1н'!F22+'14.2н'!F22+'14.3н'!F22)/3</f>
        <v>0</v>
      </c>
      <c r="G22" s="91">
        <f>('14.1н'!G22+'14.2н'!G22+'14.3н'!G22)/3</f>
        <v>0</v>
      </c>
      <c r="H22" s="91">
        <f>('14.1н'!H22+'14.2н'!H22+'14.3н'!H22)/3</f>
        <v>0</v>
      </c>
      <c r="I22" s="91">
        <f>('14.1н'!I22+'14.2н'!I22+'14.3н'!I22)/3</f>
        <v>0</v>
      </c>
      <c r="J22" s="91">
        <f>('14.1н'!J22+'14.2н'!J22+'14.3н'!J22)/3</f>
        <v>0</v>
      </c>
      <c r="K22" s="91">
        <f>('14.1н'!K22+'14.2н'!K22+'14.3н'!K22)/3</f>
        <v>0</v>
      </c>
      <c r="L22" s="91">
        <f>('14.1н'!L22+'14.2н'!L22+'14.3н'!L22)/3</f>
        <v>0</v>
      </c>
      <c r="M22" s="91">
        <f>('14.1н'!M22+'14.2н'!M22+'14.3н'!M22)/3</f>
        <v>0</v>
      </c>
      <c r="N22" s="91">
        <f>('14.1н'!N22+'14.2н'!N22+'14.3н'!N22)/3</f>
        <v>0</v>
      </c>
      <c r="O22" s="91">
        <f>('14.1н'!O22+'14.2н'!O22+'14.3н'!O22)/3</f>
        <v>0</v>
      </c>
      <c r="P22" s="91">
        <f>('14.1н'!P22+'14.2н'!P22+'14.3н'!P22)/3</f>
        <v>0</v>
      </c>
      <c r="Q22" s="91">
        <f>('14.1н'!Q22+'14.2н'!Q22+'14.3н'!Q22)/3</f>
        <v>0</v>
      </c>
      <c r="R22" s="91">
        <f>('14.1н'!B22+'14.2н'!B22+'14.3н'!B22)/3</f>
        <v>5.6520129221873688E-2</v>
      </c>
    </row>
    <row r="23" spans="1:18" x14ac:dyDescent="0.25">
      <c r="A23" s="84">
        <v>22</v>
      </c>
      <c r="B23" s="84" t="s">
        <v>22</v>
      </c>
      <c r="C23" s="91" t="e">
        <f>('14.1н'!#REF!+'14.2н'!#REF!+'14.3н'!#REF!)/3</f>
        <v>#REF!</v>
      </c>
      <c r="D23" s="91" t="e">
        <f>('14.1н'!#REF!+'14.2н'!#REF!+'14.3н'!#REF!)/3</f>
        <v>#REF!</v>
      </c>
      <c r="E23" s="91">
        <f>('14.1н'!E23+'14.2н'!E23+'14.3н'!E23)/3</f>
        <v>0</v>
      </c>
      <c r="F23" s="91">
        <f>('14.1н'!F23+'14.2н'!F23+'14.3н'!F23)/3</f>
        <v>0</v>
      </c>
      <c r="G23" s="91">
        <f>('14.1н'!G23+'14.2н'!G23+'14.3н'!G23)/3</f>
        <v>0</v>
      </c>
      <c r="H23" s="91">
        <f>('14.1н'!H23+'14.2н'!H23+'14.3н'!H23)/3</f>
        <v>0</v>
      </c>
      <c r="I23" s="91">
        <f>('14.1н'!I23+'14.2н'!I23+'14.3н'!I23)/3</f>
        <v>0</v>
      </c>
      <c r="J23" s="91">
        <f>('14.1н'!J23+'14.2н'!J23+'14.3н'!J23)/3</f>
        <v>0</v>
      </c>
      <c r="K23" s="91">
        <f>('14.1н'!K23+'14.2н'!K23+'14.3н'!K23)/3</f>
        <v>0</v>
      </c>
      <c r="L23" s="91">
        <f>('14.1н'!L23+'14.2н'!L23+'14.3н'!L23)/3</f>
        <v>0</v>
      </c>
      <c r="M23" s="91">
        <f>('14.1н'!M23+'14.2н'!M23+'14.3н'!M23)/3</f>
        <v>0</v>
      </c>
      <c r="N23" s="91">
        <f>('14.1н'!N23+'14.2н'!N23+'14.3н'!N23)/3</f>
        <v>0</v>
      </c>
      <c r="O23" s="91">
        <f>('14.1н'!O23+'14.2н'!O23+'14.3н'!O23)/3</f>
        <v>0</v>
      </c>
      <c r="P23" s="91">
        <f>('14.1н'!P23+'14.2н'!P23+'14.3н'!P23)/3</f>
        <v>0</v>
      </c>
      <c r="Q23" s="91">
        <f>('14.1н'!Q23+'14.2н'!Q23+'14.3н'!Q23)/3</f>
        <v>0</v>
      </c>
      <c r="R23" s="91">
        <f>('14.1н'!B23+'14.2н'!B23+'14.3н'!B23)/3</f>
        <v>0.12493808101144044</v>
      </c>
    </row>
    <row r="24" spans="1:18" x14ac:dyDescent="0.25">
      <c r="A24" s="84">
        <v>23</v>
      </c>
      <c r="B24" s="84" t="s">
        <v>23</v>
      </c>
      <c r="C24" s="91" t="e">
        <f>('14.1н'!#REF!+'14.2н'!#REF!+'14.3н'!#REF!)/3</f>
        <v>#REF!</v>
      </c>
      <c r="D24" s="91" t="e">
        <f>('14.1н'!#REF!+'14.2н'!#REF!+'14.3н'!#REF!)/3</f>
        <v>#REF!</v>
      </c>
      <c r="E24" s="91">
        <f>('14.1н'!E24+'14.2н'!E24+'14.3н'!E24)/3</f>
        <v>0</v>
      </c>
      <c r="F24" s="91">
        <f>('14.1н'!F24+'14.2н'!F24+'14.3н'!F24)/3</f>
        <v>0</v>
      </c>
      <c r="G24" s="91">
        <f>('14.1н'!G24+'14.2н'!G24+'14.3н'!G24)/3</f>
        <v>0</v>
      </c>
      <c r="H24" s="91">
        <f>('14.1н'!H24+'14.2н'!H24+'14.3н'!H24)/3</f>
        <v>0</v>
      </c>
      <c r="I24" s="91">
        <f>('14.1н'!I24+'14.2н'!I24+'14.3н'!I24)/3</f>
        <v>0</v>
      </c>
      <c r="J24" s="91">
        <f>('14.1н'!J24+'14.2н'!J24+'14.3н'!J24)/3</f>
        <v>0</v>
      </c>
      <c r="K24" s="91">
        <f>('14.1н'!K24+'14.2н'!K24+'14.3н'!K24)/3</f>
        <v>0</v>
      </c>
      <c r="L24" s="91">
        <f>('14.1н'!L24+'14.2н'!L24+'14.3н'!L24)/3</f>
        <v>0</v>
      </c>
      <c r="M24" s="91">
        <f>('14.1н'!M24+'14.2н'!M24+'14.3н'!M24)/3</f>
        <v>0</v>
      </c>
      <c r="N24" s="91">
        <f>('14.1н'!N24+'14.2н'!N24+'14.3н'!N24)/3</f>
        <v>0</v>
      </c>
      <c r="O24" s="91">
        <f>('14.1н'!O24+'14.2н'!O24+'14.3н'!O24)/3</f>
        <v>0</v>
      </c>
      <c r="P24" s="91">
        <f>('14.1н'!P24+'14.2н'!P24+'14.3н'!P24)/3</f>
        <v>0</v>
      </c>
      <c r="Q24" s="91">
        <f>('14.1н'!Q24+'14.2н'!Q24+'14.3н'!Q24)/3</f>
        <v>0</v>
      </c>
      <c r="R24" s="91">
        <f>('14.1н'!B24+'14.2н'!B24+'14.3н'!B24)/3</f>
        <v>3.8784117660143454E-2</v>
      </c>
    </row>
    <row r="25" spans="1:18" x14ac:dyDescent="0.25">
      <c r="A25" s="84">
        <v>24</v>
      </c>
      <c r="B25" s="84" t="s">
        <v>24</v>
      </c>
      <c r="C25" s="91" t="e">
        <f>('14.1н'!#REF!+'14.2н'!#REF!+'14.3н'!#REF!)/3</f>
        <v>#REF!</v>
      </c>
      <c r="D25" s="91" t="e">
        <f>('14.1н'!#REF!+'14.2н'!#REF!+'14.3н'!#REF!)/3</f>
        <v>#REF!</v>
      </c>
      <c r="E25" s="91">
        <f>('14.1н'!E25+'14.2н'!E25+'14.3н'!E25)/3</f>
        <v>0</v>
      </c>
      <c r="F25" s="91">
        <f>('14.1н'!F25+'14.2н'!F25+'14.3н'!F25)/3</f>
        <v>0</v>
      </c>
      <c r="G25" s="91">
        <f>('14.1н'!G25+'14.2н'!G25+'14.3н'!G25)/3</f>
        <v>0</v>
      </c>
      <c r="H25" s="91">
        <f>('14.1н'!H25+'14.2н'!H25+'14.3н'!H25)/3</f>
        <v>0</v>
      </c>
      <c r="I25" s="91">
        <f>('14.1н'!I25+'14.2н'!I25+'14.3н'!I25)/3</f>
        <v>0</v>
      </c>
      <c r="J25" s="91">
        <f>('14.1н'!J25+'14.2н'!J25+'14.3н'!J25)/3</f>
        <v>0</v>
      </c>
      <c r="K25" s="91">
        <f>('14.1н'!K25+'14.2н'!K25+'14.3н'!K25)/3</f>
        <v>0</v>
      </c>
      <c r="L25" s="91">
        <f>('14.1н'!L25+'14.2н'!L25+'14.3н'!L25)/3</f>
        <v>0</v>
      </c>
      <c r="M25" s="91">
        <f>('14.1н'!M25+'14.2н'!M25+'14.3н'!M25)/3</f>
        <v>0</v>
      </c>
      <c r="N25" s="91">
        <f>('14.1н'!N25+'14.2н'!N25+'14.3н'!N25)/3</f>
        <v>0</v>
      </c>
      <c r="O25" s="91">
        <f>('14.1н'!O25+'14.2н'!O25+'14.3н'!O25)/3</f>
        <v>0</v>
      </c>
      <c r="P25" s="91">
        <f>('14.1н'!P25+'14.2н'!P25+'14.3н'!P25)/3</f>
        <v>0</v>
      </c>
      <c r="Q25" s="91">
        <f>('14.1н'!Q25+'14.2н'!Q25+'14.3н'!Q25)/3</f>
        <v>0</v>
      </c>
      <c r="R25" s="91">
        <f>('14.1н'!B25+'14.2н'!B25+'14.3н'!B25)/3</f>
        <v>0.15878838128160108</v>
      </c>
    </row>
    <row r="26" spans="1:18" x14ac:dyDescent="0.25">
      <c r="A26" s="84">
        <v>25</v>
      </c>
      <c r="B26" s="84" t="s">
        <v>25</v>
      </c>
      <c r="C26" s="91" t="e">
        <f>('14.1н'!#REF!+'14.2н'!#REF!+'14.3н'!#REF!)/3</f>
        <v>#REF!</v>
      </c>
      <c r="D26" s="91" t="e">
        <f>('14.1н'!#REF!+'14.2н'!#REF!+'14.3н'!#REF!)/3</f>
        <v>#REF!</v>
      </c>
      <c r="E26" s="91">
        <f>('14.1н'!E26+'14.2н'!E26+'14.3н'!E26)/3</f>
        <v>0</v>
      </c>
      <c r="F26" s="91">
        <f>('14.1н'!F26+'14.2н'!F26+'14.3н'!F26)/3</f>
        <v>0</v>
      </c>
      <c r="G26" s="91">
        <f>('14.1н'!G26+'14.2н'!G26+'14.3н'!G26)/3</f>
        <v>0</v>
      </c>
      <c r="H26" s="91">
        <f>('14.1н'!H26+'14.2н'!H26+'14.3н'!H26)/3</f>
        <v>0</v>
      </c>
      <c r="I26" s="91">
        <f>('14.1н'!I26+'14.2н'!I26+'14.3н'!I26)/3</f>
        <v>0</v>
      </c>
      <c r="J26" s="91">
        <f>('14.1н'!J26+'14.2н'!J26+'14.3н'!J26)/3</f>
        <v>0</v>
      </c>
      <c r="K26" s="91">
        <f>('14.1н'!K26+'14.2н'!K26+'14.3н'!K26)/3</f>
        <v>0</v>
      </c>
      <c r="L26" s="91">
        <f>('14.1н'!L26+'14.2н'!L26+'14.3н'!L26)/3</f>
        <v>0</v>
      </c>
      <c r="M26" s="91">
        <f>('14.1н'!M26+'14.2н'!M26+'14.3н'!M26)/3</f>
        <v>0</v>
      </c>
      <c r="N26" s="91">
        <f>('14.1н'!N26+'14.2н'!N26+'14.3н'!N26)/3</f>
        <v>0</v>
      </c>
      <c r="O26" s="91">
        <f>('14.1н'!O26+'14.2н'!O26+'14.3н'!O26)/3</f>
        <v>0</v>
      </c>
      <c r="P26" s="91">
        <f>('14.1н'!P26+'14.2н'!P26+'14.3н'!P26)/3</f>
        <v>0</v>
      </c>
      <c r="Q26" s="91">
        <f>('14.1н'!Q26+'14.2н'!Q26+'14.3н'!Q26)/3</f>
        <v>0</v>
      </c>
      <c r="R26" s="91">
        <f>('14.1н'!B26+'14.2н'!B26+'14.3н'!B26)/3</f>
        <v>0.15967087497048274</v>
      </c>
    </row>
    <row r="27" spans="1:18" x14ac:dyDescent="0.25">
      <c r="A27" s="84">
        <v>26</v>
      </c>
      <c r="B27" s="84" t="s">
        <v>26</v>
      </c>
      <c r="C27" s="91" t="e">
        <f>('14.1н'!#REF!+'14.2н'!#REF!+'14.3н'!#REF!)/3</f>
        <v>#REF!</v>
      </c>
      <c r="D27" s="91" t="e">
        <f>('14.1н'!#REF!+'14.2н'!#REF!+'14.3н'!#REF!)/3</f>
        <v>#REF!</v>
      </c>
      <c r="E27" s="91">
        <f>('14.1н'!E27+'14.2н'!E27+'14.3н'!E27)/3</f>
        <v>0</v>
      </c>
      <c r="F27" s="91">
        <f>('14.1н'!F27+'14.2н'!F27+'14.3н'!F27)/3</f>
        <v>0</v>
      </c>
      <c r="G27" s="91">
        <f>('14.1н'!G27+'14.2н'!G27+'14.3н'!G27)/3</f>
        <v>0</v>
      </c>
      <c r="H27" s="91">
        <f>('14.1н'!H27+'14.2н'!H27+'14.3н'!H27)/3</f>
        <v>0</v>
      </c>
      <c r="I27" s="91">
        <f>('14.1н'!I27+'14.2н'!I27+'14.3н'!I27)/3</f>
        <v>0</v>
      </c>
      <c r="J27" s="91">
        <f>('14.1н'!J27+'14.2н'!J27+'14.3н'!J27)/3</f>
        <v>0</v>
      </c>
      <c r="K27" s="91">
        <f>('14.1н'!K27+'14.2н'!K27+'14.3н'!K27)/3</f>
        <v>0</v>
      </c>
      <c r="L27" s="91">
        <f>('14.1н'!L27+'14.2н'!L27+'14.3н'!L27)/3</f>
        <v>0</v>
      </c>
      <c r="M27" s="91">
        <f>('14.1н'!M27+'14.2н'!M27+'14.3н'!M27)/3</f>
        <v>0</v>
      </c>
      <c r="N27" s="91">
        <f>('14.1н'!N27+'14.2н'!N27+'14.3н'!N27)/3</f>
        <v>0</v>
      </c>
      <c r="O27" s="91">
        <f>('14.1н'!O27+'14.2н'!O27+'14.3н'!O27)/3</f>
        <v>0</v>
      </c>
      <c r="P27" s="91">
        <f>('14.1н'!P27+'14.2н'!P27+'14.3н'!P27)/3</f>
        <v>0</v>
      </c>
      <c r="Q27" s="91">
        <f>('14.1н'!Q27+'14.2н'!Q27+'14.3н'!Q27)/3</f>
        <v>0</v>
      </c>
      <c r="R27" s="91">
        <f>('14.1н'!B27+'14.2н'!B27+'14.3н'!B27)/3</f>
        <v>0.15725681935043545</v>
      </c>
    </row>
    <row r="28" spans="1:18" x14ac:dyDescent="0.25">
      <c r="A28" s="84">
        <v>27</v>
      </c>
      <c r="B28" s="84" t="s">
        <v>27</v>
      </c>
      <c r="C28" s="91" t="e">
        <f>('14.1н'!#REF!+'14.2н'!#REF!+'14.3н'!#REF!)/3</f>
        <v>#REF!</v>
      </c>
      <c r="D28" s="91" t="e">
        <f>('14.1н'!#REF!+'14.2н'!#REF!+'14.3н'!#REF!)/3</f>
        <v>#REF!</v>
      </c>
      <c r="E28" s="91">
        <f>('14.1н'!E28+'14.2н'!E28+'14.3н'!E28)/3</f>
        <v>0</v>
      </c>
      <c r="F28" s="91">
        <f>('14.1н'!F28+'14.2н'!F28+'14.3н'!F28)/3</f>
        <v>0</v>
      </c>
      <c r="G28" s="91">
        <f>('14.1н'!G28+'14.2н'!G28+'14.3н'!G28)/3</f>
        <v>0</v>
      </c>
      <c r="H28" s="91">
        <f>('14.1н'!H28+'14.2н'!H28+'14.3н'!H28)/3</f>
        <v>0</v>
      </c>
      <c r="I28" s="91">
        <f>('14.1н'!I28+'14.2н'!I28+'14.3н'!I28)/3</f>
        <v>0</v>
      </c>
      <c r="J28" s="91">
        <f>('14.1н'!J28+'14.2н'!J28+'14.3н'!J28)/3</f>
        <v>0</v>
      </c>
      <c r="K28" s="91">
        <f>('14.1н'!K28+'14.2н'!K28+'14.3н'!K28)/3</f>
        <v>0</v>
      </c>
      <c r="L28" s="91">
        <f>('14.1н'!L28+'14.2н'!L28+'14.3н'!L28)/3</f>
        <v>0</v>
      </c>
      <c r="M28" s="91">
        <f>('14.1н'!M28+'14.2н'!M28+'14.3н'!M28)/3</f>
        <v>0</v>
      </c>
      <c r="N28" s="91">
        <f>('14.1н'!N28+'14.2н'!N28+'14.3н'!N28)/3</f>
        <v>0</v>
      </c>
      <c r="O28" s="91">
        <f>('14.1н'!O28+'14.2н'!O28+'14.3н'!O28)/3</f>
        <v>0</v>
      </c>
      <c r="P28" s="91">
        <f>('14.1н'!P28+'14.2н'!P28+'14.3н'!P28)/3</f>
        <v>0</v>
      </c>
      <c r="Q28" s="91">
        <f>('14.1н'!Q28+'14.2н'!Q28+'14.3н'!Q28)/3</f>
        <v>0</v>
      </c>
      <c r="R28" s="91">
        <f>('14.1н'!B28+'14.2н'!B28+'14.3н'!B28)/3</f>
        <v>9.6862376277115969E-2</v>
      </c>
    </row>
    <row r="29" spans="1:18" x14ac:dyDescent="0.25">
      <c r="A29" s="84">
        <v>28</v>
      </c>
      <c r="B29" s="84" t="s">
        <v>28</v>
      </c>
      <c r="C29" s="91" t="e">
        <f>('14.1н'!#REF!+'14.2н'!#REF!+'14.3н'!#REF!)/3</f>
        <v>#REF!</v>
      </c>
      <c r="D29" s="91" t="e">
        <f>('14.1н'!#REF!+'14.2н'!#REF!+'14.3н'!#REF!)/3</f>
        <v>#REF!</v>
      </c>
      <c r="E29" s="91">
        <f>('14.1н'!E29+'14.2н'!E29+'14.3н'!E29)/3</f>
        <v>0</v>
      </c>
      <c r="F29" s="91">
        <f>('14.1н'!F29+'14.2н'!F29+'14.3н'!F29)/3</f>
        <v>0</v>
      </c>
      <c r="G29" s="91">
        <f>('14.1н'!G29+'14.2н'!G29+'14.3н'!G29)/3</f>
        <v>0</v>
      </c>
      <c r="H29" s="91">
        <f>('14.1н'!H29+'14.2н'!H29+'14.3н'!H29)/3</f>
        <v>0</v>
      </c>
      <c r="I29" s="91">
        <f>('14.1н'!I29+'14.2н'!I29+'14.3н'!I29)/3</f>
        <v>0</v>
      </c>
      <c r="J29" s="91">
        <f>('14.1н'!J29+'14.2н'!J29+'14.3н'!J29)/3</f>
        <v>0</v>
      </c>
      <c r="K29" s="91">
        <f>('14.1н'!K29+'14.2н'!K29+'14.3н'!K29)/3</f>
        <v>0</v>
      </c>
      <c r="L29" s="91">
        <f>('14.1н'!L29+'14.2н'!L29+'14.3н'!L29)/3</f>
        <v>0</v>
      </c>
      <c r="M29" s="91">
        <f>('14.1н'!M29+'14.2н'!M29+'14.3н'!M29)/3</f>
        <v>0</v>
      </c>
      <c r="N29" s="91">
        <f>('14.1н'!N29+'14.2н'!N29+'14.3н'!N29)/3</f>
        <v>0</v>
      </c>
      <c r="O29" s="91">
        <f>('14.1н'!O29+'14.2н'!O29+'14.3н'!O29)/3</f>
        <v>0</v>
      </c>
      <c r="P29" s="91">
        <f>('14.1н'!P29+'14.2н'!P29+'14.3н'!P29)/3</f>
        <v>0</v>
      </c>
      <c r="Q29" s="91">
        <f>('14.1н'!Q29+'14.2н'!Q29+'14.3н'!Q29)/3</f>
        <v>0</v>
      </c>
      <c r="R29" s="91">
        <f>('14.1н'!B29+'14.2н'!B29+'14.3н'!B29)/3</f>
        <v>0.38314196275818557</v>
      </c>
    </row>
    <row r="30" spans="1:18" x14ac:dyDescent="0.25">
      <c r="A30" s="84">
        <v>29</v>
      </c>
      <c r="B30" s="84" t="s">
        <v>29</v>
      </c>
      <c r="C30" s="91" t="e">
        <f>('14.1н'!#REF!+'14.2н'!#REF!+'14.3н'!#REF!)/3</f>
        <v>#REF!</v>
      </c>
      <c r="D30" s="91" t="e">
        <f>('14.1н'!#REF!+'14.2н'!#REF!+'14.3н'!#REF!)/3</f>
        <v>#REF!</v>
      </c>
      <c r="E30" s="91">
        <f>('14.1н'!E30+'14.2н'!E30+'14.3н'!E30)/3</f>
        <v>0</v>
      </c>
      <c r="F30" s="91">
        <f>('14.1н'!F30+'14.2н'!F30+'14.3н'!F30)/3</f>
        <v>0</v>
      </c>
      <c r="G30" s="91">
        <f>('14.1н'!G30+'14.2н'!G30+'14.3н'!G30)/3</f>
        <v>0</v>
      </c>
      <c r="H30" s="91">
        <f>('14.1н'!H30+'14.2н'!H30+'14.3н'!H30)/3</f>
        <v>0</v>
      </c>
      <c r="I30" s="91">
        <f>('14.1н'!I30+'14.2н'!I30+'14.3н'!I30)/3</f>
        <v>0</v>
      </c>
      <c r="J30" s="91">
        <f>('14.1н'!J30+'14.2н'!J30+'14.3н'!J30)/3</f>
        <v>0</v>
      </c>
      <c r="K30" s="91">
        <f>('14.1н'!K30+'14.2н'!K30+'14.3н'!K30)/3</f>
        <v>0</v>
      </c>
      <c r="L30" s="91">
        <f>('14.1н'!L30+'14.2н'!L30+'14.3н'!L30)/3</f>
        <v>0</v>
      </c>
      <c r="M30" s="91">
        <f>('14.1н'!M30+'14.2н'!M30+'14.3н'!M30)/3</f>
        <v>0</v>
      </c>
      <c r="N30" s="91">
        <f>('14.1н'!N30+'14.2н'!N30+'14.3н'!N30)/3</f>
        <v>0</v>
      </c>
      <c r="O30" s="91">
        <f>('14.1н'!O30+'14.2н'!O30+'14.3н'!O30)/3</f>
        <v>0</v>
      </c>
      <c r="P30" s="91">
        <f>('14.1н'!P30+'14.2н'!P30+'14.3н'!P30)/3</f>
        <v>0</v>
      </c>
      <c r="Q30" s="91"/>
      <c r="R30" s="91">
        <f>('14.1н'!B30+'14.2н'!B30+'14.3н'!B30)/3</f>
        <v>8.7296082465891878E-2</v>
      </c>
    </row>
    <row r="31" spans="1:18" x14ac:dyDescent="0.25">
      <c r="A31" s="84">
        <v>30</v>
      </c>
      <c r="B31" s="84" t="s">
        <v>30</v>
      </c>
      <c r="C31" s="91"/>
      <c r="D31" s="91"/>
      <c r="E31" s="91"/>
      <c r="F31" s="91"/>
      <c r="G31" s="91"/>
      <c r="H31" s="91"/>
      <c r="I31" s="91"/>
      <c r="J31" s="91">
        <f>('14.1н'!J31+'14.2н'!J31+'14.3н'!J31)/3</f>
        <v>0</v>
      </c>
      <c r="K31" s="91"/>
      <c r="L31" s="91">
        <f>('14.1н'!L31+'14.2н'!L31+'14.3н'!L31)/3</f>
        <v>0</v>
      </c>
      <c r="M31" s="91">
        <f>('14.1н'!M31+'14.2н'!M31+'14.3н'!M31)/3</f>
        <v>0</v>
      </c>
      <c r="N31" s="91">
        <f>('14.1н'!N31+'14.2н'!N31+'14.3н'!N31)/3</f>
        <v>0</v>
      </c>
      <c r="O31" s="91">
        <f>('14.1н'!O31+'14.2н'!O31+'14.3н'!O31)/3</f>
        <v>0</v>
      </c>
      <c r="P31" s="91">
        <f>('14.1н'!P31+'14.2н'!P31+'14.3н'!P31)/3</f>
        <v>0</v>
      </c>
      <c r="Q31" s="91">
        <f>('14.1н'!Q31+'14.2н'!Q31+'14.3н'!Q31)/3</f>
        <v>0</v>
      </c>
      <c r="R31" s="91">
        <f>('14.1н'!B31+'14.2н'!B31+'14.3н'!B31)/3</f>
        <v>4.7990422377473356E-3</v>
      </c>
    </row>
    <row r="32" spans="1:18" x14ac:dyDescent="0.25">
      <c r="A32" s="84">
        <v>31</v>
      </c>
      <c r="B32" s="84" t="s">
        <v>31</v>
      </c>
      <c r="C32" s="91"/>
      <c r="D32" s="91"/>
      <c r="E32" s="91"/>
      <c r="F32" s="91"/>
      <c r="G32" s="91"/>
      <c r="H32" s="91"/>
      <c r="I32" s="91"/>
      <c r="J32" s="91"/>
      <c r="K32" s="91"/>
      <c r="L32" s="91">
        <f>('14.1н'!L32+'14.2н'!L32+'14.3н'!L32)/3</f>
        <v>0</v>
      </c>
      <c r="M32" s="91">
        <f>('14.1н'!M32+'14.2н'!M32+'14.3н'!M32)/3</f>
        <v>0</v>
      </c>
      <c r="N32" s="91">
        <f>('14.1н'!N32+'14.2н'!N32+'14.3н'!N32)/3</f>
        <v>0</v>
      </c>
      <c r="O32" s="91">
        <f>('14.1н'!O32+'14.2н'!O32+'14.3н'!O32)/3</f>
        <v>0</v>
      </c>
      <c r="P32" s="91">
        <f>('14.1н'!P32+'14.2н'!P32+'14.3н'!P32)/3</f>
        <v>0</v>
      </c>
      <c r="Q32" s="91">
        <f>('14.1н'!Q32+'14.2н'!Q32+'14.3н'!Q32)/3</f>
        <v>0</v>
      </c>
      <c r="R32" s="91">
        <f>('14.1н'!B32+'14.2н'!B32+'14.3н'!B32)/3</f>
        <v>0.19768585883622511</v>
      </c>
    </row>
    <row r="33" spans="1:18" x14ac:dyDescent="0.25">
      <c r="A33" s="84">
        <v>32</v>
      </c>
      <c r="B33" s="84" t="s">
        <v>32</v>
      </c>
      <c r="C33" s="91" t="e">
        <f>('14.1н'!#REF!+'14.2н'!#REF!+'14.3н'!#REF!)/3</f>
        <v>#REF!</v>
      </c>
      <c r="D33" s="91" t="e">
        <f>('14.1н'!#REF!+'14.2н'!#REF!+'14.3н'!#REF!)/3</f>
        <v>#REF!</v>
      </c>
      <c r="E33" s="91">
        <f>('14.1н'!E33+'14.2н'!E33+'14.3н'!E33)/3</f>
        <v>0</v>
      </c>
      <c r="F33" s="91">
        <f>('14.1н'!F33+'14.2н'!F33+'14.3н'!F33)/3</f>
        <v>0</v>
      </c>
      <c r="G33" s="91">
        <f>('14.1н'!G33+'14.2н'!G33+'14.3н'!G33)/3</f>
        <v>0</v>
      </c>
      <c r="H33" s="91">
        <f>('14.1н'!H33+'14.2н'!H33+'14.3н'!H33)/3</f>
        <v>0</v>
      </c>
      <c r="I33" s="91">
        <f>('14.1н'!I33+'14.2н'!I33+'14.3н'!I33)/3</f>
        <v>0</v>
      </c>
      <c r="J33" s="91">
        <f>('14.1н'!J33+'14.2н'!J33+'14.3н'!J33)/3</f>
        <v>0</v>
      </c>
      <c r="K33" s="91">
        <f>('14.1н'!K33+'14.2н'!K33+'14.3н'!K33)/3</f>
        <v>0</v>
      </c>
      <c r="L33" s="91">
        <f>('14.1н'!L33+'14.2н'!L33+'14.3н'!L33)/3</f>
        <v>0</v>
      </c>
      <c r="M33" s="91">
        <f>('14.1н'!M33+'14.2н'!M33+'14.3н'!M33)/3</f>
        <v>0</v>
      </c>
      <c r="N33" s="91">
        <f>('14.1н'!N33+'14.2н'!N33+'14.3н'!N33)/3</f>
        <v>0</v>
      </c>
      <c r="O33" s="91">
        <f>('14.1н'!O33+'14.2н'!O33+'14.3н'!O33)/3</f>
        <v>0</v>
      </c>
      <c r="P33" s="91">
        <f>('14.1н'!P33+'14.2н'!P33+'14.3н'!P33)/3</f>
        <v>0</v>
      </c>
      <c r="Q33" s="91">
        <f>('14.1н'!Q33+'14.2н'!Q33+'14.3н'!Q33)/3</f>
        <v>0</v>
      </c>
      <c r="R33" s="91">
        <f>('14.1н'!B33+'14.2н'!B33+'14.3н'!B33)/3</f>
        <v>0.17453355406171769</v>
      </c>
    </row>
    <row r="34" spans="1:18" x14ac:dyDescent="0.25">
      <c r="A34" s="84">
        <v>33</v>
      </c>
      <c r="B34" s="84" t="s">
        <v>33</v>
      </c>
      <c r="C34" s="91" t="e">
        <f>('14.1н'!#REF!+'14.2н'!#REF!+'14.3н'!#REF!)/3</f>
        <v>#REF!</v>
      </c>
      <c r="D34" s="91" t="e">
        <f>('14.1н'!#REF!+'14.2н'!#REF!+'14.3н'!#REF!)/3</f>
        <v>#REF!</v>
      </c>
      <c r="E34" s="91">
        <f>('14.1н'!E34+'14.2н'!E34+'14.3н'!E34)/3</f>
        <v>0</v>
      </c>
      <c r="F34" s="91">
        <f>('14.1н'!F34+'14.2н'!F34+'14.3н'!F34)/3</f>
        <v>0</v>
      </c>
      <c r="G34" s="91">
        <f>('14.1н'!G34+'14.2н'!G34+'14.3н'!G34)/3</f>
        <v>0</v>
      </c>
      <c r="H34" s="91">
        <f>('14.1н'!H34+'14.2н'!H34+'14.3н'!H34)/3</f>
        <v>0</v>
      </c>
      <c r="I34" s="91">
        <f>('14.1н'!I34+'14.2н'!I34+'14.3н'!I34)/3</f>
        <v>0</v>
      </c>
      <c r="J34" s="91">
        <f>('14.1н'!J34+'14.2н'!J34+'14.3н'!J34)/3</f>
        <v>0</v>
      </c>
      <c r="K34" s="91">
        <f>('14.1н'!K34+'14.2н'!K34+'14.3н'!K34)/3</f>
        <v>0</v>
      </c>
      <c r="L34" s="91">
        <f>('14.1н'!L34+'14.2н'!L34+'14.3н'!L34)/3</f>
        <v>0</v>
      </c>
      <c r="M34" s="91">
        <f>('14.1н'!M34+'14.2н'!M34+'14.3н'!M34)/3</f>
        <v>0</v>
      </c>
      <c r="N34" s="91">
        <f>('14.1н'!N34+'14.2н'!N34+'14.3н'!N34)/3</f>
        <v>0</v>
      </c>
      <c r="O34" s="91">
        <f>('14.1н'!O34+'14.2н'!O34+'14.3н'!O34)/3</f>
        <v>0</v>
      </c>
      <c r="P34" s="91">
        <f>('14.1н'!P34+'14.2н'!P34+'14.3н'!P34)/3</f>
        <v>0</v>
      </c>
      <c r="Q34" s="91">
        <f>('14.1н'!Q34+'14.2н'!Q34+'14.3н'!Q34)/3</f>
        <v>0</v>
      </c>
      <c r="R34" s="91">
        <f>('14.1н'!B34+'14.2н'!B34+'14.3н'!B34)/3</f>
        <v>4.450924498548952E-2</v>
      </c>
    </row>
    <row r="35" spans="1:18" x14ac:dyDescent="0.25">
      <c r="A35" s="84">
        <v>34</v>
      </c>
      <c r="B35" s="84" t="s">
        <v>34</v>
      </c>
      <c r="C35" s="91" t="e">
        <f>('14.1н'!#REF!+'14.2н'!#REF!+'14.3н'!#REF!)/3</f>
        <v>#REF!</v>
      </c>
      <c r="D35" s="91" t="e">
        <f>('14.1н'!#REF!+'14.2н'!#REF!+'14.3н'!#REF!)/3</f>
        <v>#REF!</v>
      </c>
      <c r="E35" s="91">
        <f>('14.1н'!E35+'14.2н'!E35+'14.3н'!E35)/3</f>
        <v>0</v>
      </c>
      <c r="F35" s="91">
        <f>('14.1н'!F35+'14.2н'!F35+'14.3н'!F35)/3</f>
        <v>0</v>
      </c>
      <c r="G35" s="91">
        <f>('14.1н'!G35+'14.2н'!G35+'14.3н'!G35)/3</f>
        <v>0</v>
      </c>
      <c r="H35" s="91">
        <f>('14.1н'!H35+'14.2н'!H35+'14.3н'!H35)/3</f>
        <v>0</v>
      </c>
      <c r="I35" s="91">
        <f>('14.1н'!I35+'14.2н'!I35+'14.3н'!I35)/3</f>
        <v>0</v>
      </c>
      <c r="J35" s="91">
        <f>('14.1н'!J35+'14.2н'!J35+'14.3н'!J35)/3</f>
        <v>0</v>
      </c>
      <c r="K35" s="91">
        <f>('14.1н'!K35+'14.2н'!K35+'14.3н'!K35)/3</f>
        <v>0</v>
      </c>
      <c r="L35" s="91">
        <f>('14.1н'!L35+'14.2н'!L35+'14.3н'!L35)/3</f>
        <v>0</v>
      </c>
      <c r="M35" s="91">
        <f>('14.1н'!M35+'14.2н'!M35+'14.3н'!M35)/3</f>
        <v>0</v>
      </c>
      <c r="N35" s="91">
        <f>('14.1н'!N35+'14.2н'!N35+'14.3н'!N35)/3</f>
        <v>0</v>
      </c>
      <c r="O35" s="91">
        <f>('14.1н'!O35+'14.2н'!O35+'14.3н'!O35)/3</f>
        <v>0</v>
      </c>
      <c r="P35" s="91">
        <f>('14.1н'!P35+'14.2н'!P35+'14.3н'!P35)/3</f>
        <v>0</v>
      </c>
      <c r="Q35" s="91">
        <f>('14.1н'!Q35+'14.2н'!Q35+'14.3н'!Q35)/3</f>
        <v>0</v>
      </c>
      <c r="R35" s="91">
        <f>('14.1н'!B35+'14.2н'!B35+'14.3н'!B35)/3</f>
        <v>7.429414640853764E-2</v>
      </c>
    </row>
    <row r="36" spans="1:18" x14ac:dyDescent="0.25">
      <c r="A36" s="84">
        <v>35</v>
      </c>
      <c r="B36" s="84" t="s">
        <v>35</v>
      </c>
      <c r="C36" s="91" t="e">
        <f>('14.1н'!#REF!+'14.2н'!#REF!+'14.3н'!#REF!)/3</f>
        <v>#REF!</v>
      </c>
      <c r="D36" s="91" t="e">
        <f>('14.1н'!#REF!+'14.2н'!#REF!+'14.3н'!#REF!)/3</f>
        <v>#REF!</v>
      </c>
      <c r="E36" s="91">
        <f>('14.1н'!E36+'14.2н'!E36+'14.3н'!E36)/3</f>
        <v>0</v>
      </c>
      <c r="F36" s="91">
        <f>('14.1н'!F36+'14.2н'!F36+'14.3н'!F36)/3</f>
        <v>0</v>
      </c>
      <c r="G36" s="91">
        <f>('14.1н'!G36+'14.2н'!G36+'14.3н'!G36)/3</f>
        <v>0</v>
      </c>
      <c r="H36" s="91">
        <f>('14.1н'!H36+'14.2н'!H36+'14.3н'!H36)/3</f>
        <v>0</v>
      </c>
      <c r="I36" s="91">
        <f>('14.1н'!I36+'14.2н'!I36+'14.3н'!I36)/3</f>
        <v>0</v>
      </c>
      <c r="J36" s="91">
        <f>('14.1н'!J36+'14.2н'!J36+'14.3н'!J36)/3</f>
        <v>0</v>
      </c>
      <c r="K36" s="91">
        <f>('14.1н'!K36+'14.2н'!K36+'14.3н'!K36)/3</f>
        <v>0</v>
      </c>
      <c r="L36" s="91">
        <f>('14.1н'!L36+'14.2н'!L36+'14.3н'!L36)/3</f>
        <v>0</v>
      </c>
      <c r="M36" s="91">
        <f>('14.1н'!M36+'14.2н'!M36+'14.3н'!M36)/3</f>
        <v>0</v>
      </c>
      <c r="N36" s="91">
        <f>('14.1н'!N36+'14.2н'!N36+'14.3н'!N36)/3</f>
        <v>0</v>
      </c>
      <c r="O36" s="91">
        <f>('14.1н'!O36+'14.2н'!O36+'14.3н'!O36)/3</f>
        <v>0</v>
      </c>
      <c r="P36" s="91">
        <f>('14.1н'!P36+'14.2н'!P36+'14.3н'!P36)/3</f>
        <v>0</v>
      </c>
      <c r="Q36" s="91">
        <f>('14.1н'!Q36+'14.2н'!Q36+'14.3н'!Q36)/3</f>
        <v>0</v>
      </c>
      <c r="R36" s="91">
        <f>('14.1н'!B36+'14.2н'!B36+'14.3н'!B36)/3</f>
        <v>0.38006582877487999</v>
      </c>
    </row>
    <row r="37" spans="1:18" x14ac:dyDescent="0.25">
      <c r="A37" s="84">
        <v>36</v>
      </c>
      <c r="B37" s="84" t="s">
        <v>36</v>
      </c>
      <c r="C37" s="91"/>
      <c r="D37" s="91"/>
      <c r="E37" s="91"/>
      <c r="F37" s="91"/>
      <c r="G37" s="91"/>
      <c r="H37" s="91"/>
      <c r="I37" s="91"/>
      <c r="J37" s="91"/>
      <c r="K37" s="91"/>
      <c r="L37" s="91">
        <f>('14.1н'!L37+'14.2н'!L37+'14.3н'!L37)/3</f>
        <v>0</v>
      </c>
      <c r="M37" s="91"/>
      <c r="N37" s="91">
        <f>('14.1н'!N37+'14.2н'!N37+'14.3н'!N37)/3</f>
        <v>0</v>
      </c>
      <c r="O37" s="91">
        <f>('14.1н'!O37+'14.2н'!O37+'14.3н'!O37)/3</f>
        <v>0</v>
      </c>
      <c r="P37" s="91">
        <f>('14.1н'!P37+'14.2н'!P37+'14.3н'!P37)/3</f>
        <v>0</v>
      </c>
      <c r="Q37" s="91">
        <f>('14.1н'!Q37+'14.2н'!Q37+'14.3н'!Q37)/3</f>
        <v>0</v>
      </c>
      <c r="R37" s="91">
        <f>('14.1н'!B37+'14.2н'!B37+'14.3н'!B37)/3</f>
        <v>0.33081913462630358</v>
      </c>
    </row>
    <row r="38" spans="1:18" x14ac:dyDescent="0.25">
      <c r="A38" s="84">
        <v>37</v>
      </c>
      <c r="B38" s="84" t="s">
        <v>37</v>
      </c>
      <c r="C38" s="91" t="e">
        <f>('14.1н'!#REF!+'14.2н'!#REF!+'14.3н'!#REF!)/3</f>
        <v>#REF!</v>
      </c>
      <c r="D38" s="91" t="e">
        <f>('14.1н'!#REF!+'14.2н'!#REF!+'14.3н'!#REF!)/3</f>
        <v>#REF!</v>
      </c>
      <c r="E38" s="91">
        <f>('14.1н'!E38+'14.2н'!E38+'14.3н'!E38)/3</f>
        <v>0</v>
      </c>
      <c r="F38" s="91">
        <f>('14.1н'!F38+'14.2н'!F38+'14.3н'!F38)/3</f>
        <v>0</v>
      </c>
      <c r="G38" s="91">
        <f>('14.1н'!G38+'14.2н'!G38+'14.3н'!G38)/3</f>
        <v>0</v>
      </c>
      <c r="H38" s="91">
        <f>('14.1н'!H38+'14.2н'!H38+'14.3н'!H38)/3</f>
        <v>0</v>
      </c>
      <c r="I38" s="91">
        <f>('14.1н'!I38+'14.2н'!I38+'14.3н'!I38)/3</f>
        <v>0</v>
      </c>
      <c r="J38" s="91">
        <f>('14.1н'!J38+'14.2н'!J38+'14.3н'!J38)/3</f>
        <v>0</v>
      </c>
      <c r="K38" s="91">
        <f>('14.1н'!K38+'14.2н'!K38+'14.3н'!K38)/3</f>
        <v>0</v>
      </c>
      <c r="L38" s="91">
        <f>('14.1н'!L38+'14.2н'!L38+'14.3н'!L38)/3</f>
        <v>0</v>
      </c>
      <c r="M38" s="91">
        <f>('14.1н'!M38+'14.2н'!M38+'14.3н'!M38)/3</f>
        <v>0</v>
      </c>
      <c r="N38" s="91">
        <f>('14.1н'!N38+'14.2н'!N38+'14.3н'!N38)/3</f>
        <v>0</v>
      </c>
      <c r="O38" s="91">
        <f>('14.1н'!O38+'14.2н'!O38+'14.3н'!O38)/3</f>
        <v>0</v>
      </c>
      <c r="P38" s="91">
        <f>('14.1н'!P38+'14.2н'!P38+'14.3н'!P38)/3</f>
        <v>0</v>
      </c>
      <c r="Q38" s="91">
        <f>('14.1н'!Q38+'14.2н'!Q38+'14.3н'!Q38)/3</f>
        <v>0</v>
      </c>
      <c r="R38" s="91">
        <f>('14.1н'!B38+'14.2н'!B38+'14.3н'!B38)/3</f>
        <v>7.5293177226675072E-3</v>
      </c>
    </row>
    <row r="39" spans="1:18" x14ac:dyDescent="0.25">
      <c r="A39" s="84">
        <v>38</v>
      </c>
      <c r="B39" s="84" t="s">
        <v>38</v>
      </c>
      <c r="C39" s="91"/>
      <c r="D39" s="91"/>
      <c r="E39" s="91"/>
      <c r="F39" s="91"/>
      <c r="G39" s="91">
        <f>('14.1н'!G39+'14.2н'!G39+'14.3н'!G39)/3</f>
        <v>0</v>
      </c>
      <c r="H39" s="91">
        <f>('14.1н'!H39+'14.2н'!H39+'14.3н'!H39)/3</f>
        <v>0</v>
      </c>
      <c r="I39" s="91">
        <f>('14.1н'!I39+'14.2н'!I39+'14.3н'!I39)/3</f>
        <v>0</v>
      </c>
      <c r="J39" s="91">
        <f>('14.1н'!J39+'14.2н'!J39+'14.3н'!J39)/3</f>
        <v>0</v>
      </c>
      <c r="K39" s="91"/>
      <c r="L39" s="91">
        <f>('14.1н'!L39+'14.2н'!L39+'14.3н'!L39)/3</f>
        <v>0</v>
      </c>
      <c r="M39" s="91">
        <f>('14.1н'!M39+'14.2н'!M39+'14.3н'!M39)/3</f>
        <v>0</v>
      </c>
      <c r="N39" s="91"/>
      <c r="O39" s="91">
        <f>('14.1н'!O39+'14.2н'!O39+'14.3н'!O39)/3</f>
        <v>0</v>
      </c>
      <c r="P39" s="91"/>
      <c r="Q39" s="91"/>
      <c r="R39" s="91">
        <f>('14.1н'!B39+'14.2н'!B39+'14.3н'!B39)/3</f>
        <v>2.4489561261668139E-2</v>
      </c>
    </row>
    <row r="40" spans="1:18" x14ac:dyDescent="0.25">
      <c r="A40" s="84">
        <v>39</v>
      </c>
      <c r="B40" s="84" t="s">
        <v>42</v>
      </c>
      <c r="C40" s="91" t="e">
        <f>('14.1н'!#REF!+'14.2н'!#REF!+'14.3н'!#REF!)/3</f>
        <v>#REF!</v>
      </c>
      <c r="D40" s="91" t="e">
        <f>('14.1н'!#REF!+'14.2н'!#REF!+'14.3н'!#REF!)/3</f>
        <v>#REF!</v>
      </c>
      <c r="E40" s="91">
        <f>('14.1н'!E40+'14.2н'!E40+'14.3н'!E40)/3</f>
        <v>0</v>
      </c>
      <c r="F40" s="91">
        <f>('14.1н'!F40+'14.2н'!F40+'14.3н'!F40)/3</f>
        <v>0</v>
      </c>
      <c r="G40" s="91">
        <f>('14.1н'!G40+'14.2н'!G40+'14.3н'!G40)/3</f>
        <v>0</v>
      </c>
      <c r="H40" s="91">
        <f>('14.1н'!H40+'14.2н'!H40+'14.3н'!H40)/3</f>
        <v>0</v>
      </c>
      <c r="I40" s="91">
        <f>('14.1н'!I40+'14.2н'!I40+'14.3н'!I40)/3</f>
        <v>0</v>
      </c>
      <c r="J40" s="91">
        <f>('14.1н'!J40+'14.2н'!J40+'14.3н'!J40)/3</f>
        <v>0</v>
      </c>
      <c r="K40" s="91">
        <f>('14.1н'!K40+'14.2н'!K40+'14.3н'!K40)/3</f>
        <v>0</v>
      </c>
      <c r="L40" s="91">
        <f>('14.1н'!L40+'14.2н'!L40+'14.3н'!L40)/3</f>
        <v>0</v>
      </c>
      <c r="M40" s="91">
        <f>('14.1н'!M40+'14.2н'!M40+'14.3н'!M40)/3</f>
        <v>0</v>
      </c>
      <c r="N40" s="91">
        <f>('14.1н'!N40+'14.2н'!N40+'14.3н'!N40)/3</f>
        <v>0</v>
      </c>
      <c r="O40" s="91">
        <f>('14.1н'!O40+'14.2н'!O40+'14.3н'!O40)/3</f>
        <v>0</v>
      </c>
      <c r="P40" s="91">
        <f>('14.1н'!P40+'14.2н'!P40+'14.3н'!P40)/3</f>
        <v>0</v>
      </c>
      <c r="Q40" s="91">
        <f>('14.1н'!Q40+'14.2н'!Q40+'14.3н'!Q40)/3</f>
        <v>0</v>
      </c>
      <c r="R40" s="91">
        <f>('14.1н'!B40+'14.2н'!B40+'14.3н'!B40)/3</f>
        <v>7.4279095515496676E-2</v>
      </c>
    </row>
    <row r="41" spans="1:18" x14ac:dyDescent="0.25">
      <c r="A41" s="84">
        <v>40</v>
      </c>
      <c r="B41" s="84" t="s">
        <v>39</v>
      </c>
      <c r="C41" s="91" t="e">
        <f>('14.1н'!#REF!+'14.2н'!#REF!+'14.3н'!#REF!)/3</f>
        <v>#REF!</v>
      </c>
      <c r="D41" s="91" t="e">
        <f>('14.1н'!#REF!+'14.2н'!#REF!+'14.3н'!#REF!)/3</f>
        <v>#REF!</v>
      </c>
      <c r="E41" s="91">
        <f>('14.1н'!E41+'14.2н'!E41+'14.3н'!E41)/3</f>
        <v>0</v>
      </c>
      <c r="F41" s="91">
        <f>('14.1н'!F41+'14.2н'!F41+'14.3н'!F41)/3</f>
        <v>0</v>
      </c>
      <c r="G41" s="91">
        <f>('14.1н'!G41+'14.2н'!G41+'14.3н'!G41)/3</f>
        <v>0</v>
      </c>
      <c r="H41" s="91">
        <f>('14.1н'!H41+'14.2н'!H41+'14.3н'!H41)/3</f>
        <v>0</v>
      </c>
      <c r="I41" s="91">
        <f>('14.1н'!I41+'14.2н'!I41+'14.3н'!I41)/3</f>
        <v>0</v>
      </c>
      <c r="J41" s="91">
        <f>('14.1н'!J41+'14.2н'!J41+'14.3н'!J41)/3</f>
        <v>0</v>
      </c>
      <c r="K41" s="91">
        <f>('14.1н'!K41+'14.2н'!K41+'14.3н'!K41)/3</f>
        <v>0</v>
      </c>
      <c r="L41" s="91">
        <f>('14.1н'!L41+'14.2н'!L41+'14.3н'!L41)/3</f>
        <v>0</v>
      </c>
      <c r="M41" s="91">
        <f>('14.1н'!M41+'14.2н'!M41+'14.3н'!M41)/3</f>
        <v>0</v>
      </c>
      <c r="N41" s="91">
        <f>('14.1н'!N41+'14.2н'!N41+'14.3н'!N41)/3</f>
        <v>0</v>
      </c>
      <c r="O41" s="91">
        <f>('14.1н'!O41+'14.2н'!O41+'14.3н'!O41)/3</f>
        <v>0</v>
      </c>
      <c r="P41" s="91">
        <f>('14.1н'!P41+'14.2н'!P41+'14.3н'!P41)/3</f>
        <v>0</v>
      </c>
      <c r="Q41" s="91">
        <f>('14.1н'!Q41+'14.2н'!Q41+'14.3н'!Q41)/3</f>
        <v>0</v>
      </c>
      <c r="R41" s="91">
        <f>('14.1н'!B41+'14.2н'!B41+'14.3н'!B41)/3</f>
        <v>4.0171027967735494E-2</v>
      </c>
    </row>
    <row r="42" spans="1:18" x14ac:dyDescent="0.25">
      <c r="A42" s="84">
        <v>41</v>
      </c>
      <c r="B42" s="84" t="s">
        <v>43</v>
      </c>
      <c r="C42" s="91" t="e">
        <f>('14.1н'!#REF!+'14.2н'!#REF!+'14.3н'!#REF!)/3</f>
        <v>#REF!</v>
      </c>
      <c r="D42" s="91" t="e">
        <f>('14.1н'!#REF!+'14.2н'!#REF!+'14.3н'!#REF!)/3</f>
        <v>#REF!</v>
      </c>
      <c r="E42" s="91">
        <f>('14.1н'!E42+'14.2н'!E42+'14.3н'!E42)/3</f>
        <v>0</v>
      </c>
      <c r="F42" s="91"/>
      <c r="G42" s="91">
        <f>('14.1н'!G42+'14.2н'!G42+'14.3н'!G42)/3</f>
        <v>0</v>
      </c>
      <c r="H42" s="91">
        <f>('14.1н'!H42+'14.2н'!H42+'14.3н'!H42)/3</f>
        <v>0</v>
      </c>
      <c r="I42" s="91">
        <f>('14.1н'!I42+'14.2н'!I42+'14.3н'!I42)/3</f>
        <v>0</v>
      </c>
      <c r="J42" s="91">
        <f>('14.1н'!J42+'14.2н'!J42+'14.3н'!J42)/3</f>
        <v>0</v>
      </c>
      <c r="K42" s="91"/>
      <c r="L42" s="91">
        <f>('14.1н'!L42+'14.2н'!L42+'14.3н'!L42)/3</f>
        <v>0</v>
      </c>
      <c r="M42" s="91">
        <f>('14.1н'!M42+'14.2н'!M42+'14.3н'!M42)/3</f>
        <v>0</v>
      </c>
      <c r="N42" s="91">
        <f>('14.1н'!N42+'14.2н'!N42+'14.3н'!N42)/3</f>
        <v>0</v>
      </c>
      <c r="O42" s="91">
        <f>('14.1н'!O42+'14.2н'!O42+'14.3н'!O42)/3</f>
        <v>0</v>
      </c>
      <c r="P42" s="91">
        <f>('14.1н'!P42+'14.2н'!P42+'14.3н'!P42)/3</f>
        <v>0</v>
      </c>
      <c r="Q42" s="91">
        <f>('14.1н'!Q42+'14.2н'!Q42+'14.3н'!Q42)/3</f>
        <v>0</v>
      </c>
      <c r="R42" s="91">
        <f>('14.1н'!B42+'14.2н'!B42+'14.3н'!B42)/3</f>
        <v>6.0449063450788779E-3</v>
      </c>
    </row>
    <row r="43" spans="1:18" x14ac:dyDescent="0.25">
      <c r="A43" s="84">
        <v>42</v>
      </c>
      <c r="B43" s="84" t="s">
        <v>40</v>
      </c>
      <c r="C43" s="91"/>
      <c r="D43" s="91"/>
      <c r="E43" s="91"/>
      <c r="F43" s="91"/>
      <c r="G43" s="91"/>
      <c r="H43" s="91">
        <f>('14.1н'!H43+'14.2н'!H43+'14.3н'!H43)/3</f>
        <v>0</v>
      </c>
      <c r="I43" s="91">
        <f>('14.1н'!I43+'14.2н'!I43+'14.3н'!I43)/3</f>
        <v>0</v>
      </c>
      <c r="J43" s="91">
        <f>('14.1н'!J43+'14.2н'!J43+'14.3н'!J43)/3</f>
        <v>0</v>
      </c>
      <c r="K43" s="91"/>
      <c r="L43" s="91">
        <f>('14.1н'!L43+'14.2н'!L43+'14.3н'!L43)/3</f>
        <v>0</v>
      </c>
      <c r="M43" s="91">
        <f>('14.1н'!M43+'14.2н'!M43+'14.3н'!M43)/3</f>
        <v>0</v>
      </c>
      <c r="N43" s="91">
        <f>('14.1н'!N43+'14.2н'!N43+'14.3н'!N43)/3</f>
        <v>0</v>
      </c>
      <c r="O43" s="91">
        <f>('14.1н'!O43+'14.2н'!O43+'14.3н'!O43)/3</f>
        <v>0</v>
      </c>
      <c r="P43" s="91">
        <f>('14.1н'!P43+'14.2н'!P43+'14.3н'!P43)/3</f>
        <v>0</v>
      </c>
      <c r="Q43" s="91"/>
      <c r="R43" s="91">
        <f>('14.1н'!B43+'14.2н'!B43+'14.3н'!B43)/3</f>
        <v>3.854557124547684E-4</v>
      </c>
    </row>
    <row r="44" spans="1:18" x14ac:dyDescent="0.25">
      <c r="A44" s="84">
        <v>43</v>
      </c>
      <c r="B44" s="84" t="s">
        <v>41</v>
      </c>
      <c r="C44" s="91" t="e">
        <f>('14.1н'!#REF!+'14.2н'!#REF!+'14.3н'!#REF!)/3</f>
        <v>#REF!</v>
      </c>
      <c r="D44" s="91" t="e">
        <f>('14.1н'!#REF!+'14.2н'!#REF!+'14.3н'!#REF!)/3</f>
        <v>#REF!</v>
      </c>
      <c r="E44" s="91">
        <f>('14.1н'!E44+'14.2н'!E44+'14.3н'!E44)/3</f>
        <v>0</v>
      </c>
      <c r="F44" s="91">
        <f>('14.1н'!F44+'14.2н'!F44+'14.3н'!F44)/3</f>
        <v>0</v>
      </c>
      <c r="G44" s="91">
        <f>('14.1н'!G44+'14.2н'!G44+'14.3н'!G44)/3</f>
        <v>0</v>
      </c>
      <c r="H44" s="91">
        <f>('14.1н'!H44+'14.2н'!H44+'14.3н'!H44)/3</f>
        <v>0</v>
      </c>
      <c r="I44" s="91">
        <f>('14.1н'!I44+'14.2н'!I44+'14.3н'!I44)/3</f>
        <v>0</v>
      </c>
      <c r="J44" s="91">
        <f>('14.1н'!J44+'14.2н'!J44+'14.3н'!J44)/3</f>
        <v>0</v>
      </c>
      <c r="K44" s="91">
        <f>('14.1н'!K44+'14.2н'!K44+'14.3н'!K44)/3</f>
        <v>0</v>
      </c>
      <c r="L44" s="91">
        <f>('14.1н'!L44+'14.2н'!L44+'14.3н'!L44)/3</f>
        <v>0</v>
      </c>
      <c r="M44" s="91">
        <f>('14.1н'!M44+'14.2н'!M44+'14.3н'!M44)/3</f>
        <v>0</v>
      </c>
      <c r="N44" s="91">
        <f>('14.1н'!N44+'14.2н'!N44+'14.3н'!N44)/3</f>
        <v>0</v>
      </c>
      <c r="O44" s="91">
        <f>('14.1н'!O44+'14.2н'!O44+'14.3н'!O44)/3</f>
        <v>0</v>
      </c>
      <c r="P44" s="91">
        <f>('14.1н'!P44+'14.2н'!P44+'14.3н'!P44)/3</f>
        <v>0</v>
      </c>
      <c r="Q44" s="91">
        <f>('14.1н'!Q44+'14.2н'!Q44+'14.3н'!Q44)/3</f>
        <v>0</v>
      </c>
      <c r="R44" s="91">
        <f>('14.1н'!B44+'14.2н'!B44+'14.3н'!B44)/3</f>
        <v>8.809939735415373E-2</v>
      </c>
    </row>
    <row r="45" spans="1:18" x14ac:dyDescent="0.25">
      <c r="A45" s="84">
        <v>44</v>
      </c>
      <c r="B45" s="84" t="s">
        <v>44</v>
      </c>
      <c r="C45" s="91" t="e">
        <f>('14.1н'!#REF!+'14.2н'!#REF!+'14.3н'!#REF!)/3</f>
        <v>#REF!</v>
      </c>
      <c r="D45" s="91" t="e">
        <f>('14.1н'!#REF!+'14.2н'!#REF!+'14.3н'!#REF!)/3</f>
        <v>#REF!</v>
      </c>
      <c r="E45" s="91">
        <f>('14.1н'!E45+'14.2н'!E45+'14.3н'!E45)/3</f>
        <v>0</v>
      </c>
      <c r="F45" s="91">
        <f>('14.1н'!F45+'14.2н'!F45+'14.3н'!F45)/3</f>
        <v>0</v>
      </c>
      <c r="G45" s="91">
        <f>('14.1н'!G45+'14.2н'!G45+'14.3н'!G45)/3</f>
        <v>0</v>
      </c>
      <c r="H45" s="91">
        <f>('14.1н'!H45+'14.2н'!H45+'14.3н'!H45)/3</f>
        <v>0</v>
      </c>
      <c r="I45" s="91">
        <f>('14.1н'!I45+'14.2н'!I45+'14.3н'!I45)/3</f>
        <v>0</v>
      </c>
      <c r="J45" s="91">
        <f>('14.1н'!J45+'14.2н'!J45+'14.3н'!J45)/3</f>
        <v>0</v>
      </c>
      <c r="K45" s="91">
        <f>('14.1н'!K45+'14.2н'!K45+'14.3н'!K45)/3</f>
        <v>0</v>
      </c>
      <c r="L45" s="91">
        <f>('14.1н'!L45+'14.2н'!L45+'14.3н'!L45)/3</f>
        <v>0</v>
      </c>
      <c r="M45" s="91">
        <f>('14.1н'!M45+'14.2н'!M45+'14.3н'!M45)/3</f>
        <v>0</v>
      </c>
      <c r="N45" s="91">
        <f>('14.1н'!N45+'14.2н'!N45+'14.3н'!N45)/3</f>
        <v>0</v>
      </c>
      <c r="O45" s="91">
        <f>('14.1н'!O45+'14.2н'!O45+'14.3н'!O45)/3</f>
        <v>0</v>
      </c>
      <c r="P45" s="91">
        <f>('14.1н'!P45+'14.2н'!P45+'14.3н'!P45)/3</f>
        <v>0</v>
      </c>
      <c r="Q45" s="91">
        <f>('14.1н'!Q45+'14.2н'!Q45+'14.3н'!Q45)/3</f>
        <v>0</v>
      </c>
      <c r="R45" s="91">
        <f>('14.1н'!B45+'14.2н'!B45+'14.3н'!B45)/3</f>
        <v>0.30983172934661568</v>
      </c>
    </row>
    <row r="46" spans="1:18" x14ac:dyDescent="0.25">
      <c r="A46" s="84">
        <v>45</v>
      </c>
      <c r="B46" s="84" t="s">
        <v>45</v>
      </c>
      <c r="C46" s="91" t="e">
        <f>('14.1н'!#REF!+'14.2н'!#REF!+'14.3н'!#REF!)/3</f>
        <v>#REF!</v>
      </c>
      <c r="D46" s="91" t="e">
        <f>('14.1н'!#REF!+'14.2н'!#REF!+'14.3н'!#REF!)/3</f>
        <v>#REF!</v>
      </c>
      <c r="E46" s="91">
        <f>('14.1н'!E46+'14.2н'!E46+'14.3н'!E46)/3</f>
        <v>0</v>
      </c>
      <c r="F46" s="91">
        <f>('14.1н'!F46+'14.2н'!F46+'14.3н'!F46)/3</f>
        <v>0</v>
      </c>
      <c r="G46" s="91">
        <f>('14.1н'!G46+'14.2н'!G46+'14.3н'!G46)/3</f>
        <v>0</v>
      </c>
      <c r="H46" s="91">
        <f>('14.1н'!H46+'14.2н'!H46+'14.3н'!H46)/3</f>
        <v>0</v>
      </c>
      <c r="I46" s="91">
        <f>('14.1н'!I46+'14.2н'!I46+'14.3н'!I46)/3</f>
        <v>0</v>
      </c>
      <c r="J46" s="91">
        <f>('14.1н'!J46+'14.2н'!J46+'14.3н'!J46)/3</f>
        <v>0</v>
      </c>
      <c r="K46" s="91">
        <f>('14.1н'!K46+'14.2н'!K46+'14.3н'!K46)/3</f>
        <v>0</v>
      </c>
      <c r="L46" s="91">
        <f>('14.1н'!L46+'14.2н'!L46+'14.3н'!L46)/3</f>
        <v>0</v>
      </c>
      <c r="M46" s="91">
        <f>('14.1н'!M46+'14.2н'!M46+'14.3н'!M46)/3</f>
        <v>0</v>
      </c>
      <c r="N46" s="91">
        <f>('14.1н'!N46+'14.2н'!N46+'14.3н'!N46)/3</f>
        <v>0</v>
      </c>
      <c r="O46" s="91">
        <f>('14.1н'!O46+'14.2н'!O46+'14.3н'!O46)/3</f>
        <v>0</v>
      </c>
      <c r="P46" s="91">
        <f>('14.1н'!P46+'14.2н'!P46+'14.3н'!P46)/3</f>
        <v>0</v>
      </c>
      <c r="Q46" s="91">
        <f>('14.1н'!Q46+'14.2н'!Q46+'14.3н'!Q46)/3</f>
        <v>0</v>
      </c>
      <c r="R46" s="91">
        <f>('14.1н'!B46+'14.2н'!B46+'14.3н'!B46)/3</f>
        <v>0.13930478228226598</v>
      </c>
    </row>
    <row r="47" spans="1:18" x14ac:dyDescent="0.25">
      <c r="A47" s="84">
        <v>46</v>
      </c>
      <c r="B47" s="84" t="s">
        <v>46</v>
      </c>
      <c r="C47" s="91" t="e">
        <f>('14.1н'!#REF!+'14.2н'!#REF!+'14.3н'!#REF!)/3</f>
        <v>#REF!</v>
      </c>
      <c r="D47" s="91" t="e">
        <f>('14.1н'!#REF!+'14.2н'!#REF!+'14.3н'!#REF!)/3</f>
        <v>#REF!</v>
      </c>
      <c r="E47" s="91">
        <f>('14.1н'!E47+'14.2н'!E47+'14.3н'!E47)/3</f>
        <v>0</v>
      </c>
      <c r="F47" s="91">
        <f>('14.1н'!F47+'14.2н'!F47+'14.3н'!F47)/3</f>
        <v>0</v>
      </c>
      <c r="G47" s="91">
        <f>('14.1н'!G47+'14.2н'!G47+'14.3н'!G47)/3</f>
        <v>0</v>
      </c>
      <c r="H47" s="91">
        <f>('14.1н'!H47+'14.2н'!H47+'14.3н'!H47)/3</f>
        <v>0</v>
      </c>
      <c r="I47" s="91">
        <f>('14.1н'!I47+'14.2н'!I47+'14.3н'!I47)/3</f>
        <v>0</v>
      </c>
      <c r="J47" s="91">
        <f>('14.1н'!J47+'14.2н'!J47+'14.3н'!J47)/3</f>
        <v>0</v>
      </c>
      <c r="K47" s="91">
        <f>('14.1н'!K47+'14.2н'!K47+'14.3н'!K47)/3</f>
        <v>0</v>
      </c>
      <c r="L47" s="91">
        <f>('14.1н'!L47+'14.2н'!L47+'14.3н'!L47)/3</f>
        <v>0</v>
      </c>
      <c r="M47" s="91">
        <f>('14.1н'!M47+'14.2н'!M47+'14.3н'!M47)/3</f>
        <v>0</v>
      </c>
      <c r="N47" s="91">
        <f>('14.1н'!N47+'14.2н'!N47+'14.3н'!N47)/3</f>
        <v>0</v>
      </c>
      <c r="O47" s="91">
        <f>('14.1н'!O47+'14.2н'!O47+'14.3н'!O47)/3</f>
        <v>0</v>
      </c>
      <c r="P47" s="91">
        <f>('14.1н'!P47+'14.2н'!P47+'14.3н'!P47)/3</f>
        <v>0</v>
      </c>
      <c r="Q47" s="91">
        <f>('14.1н'!Q47+'14.2н'!Q47+'14.3н'!Q47)/3</f>
        <v>0</v>
      </c>
      <c r="R47" s="91">
        <f>('14.1н'!B47+'14.2н'!B47+'14.3н'!B47)/3</f>
        <v>0.4683911250029662</v>
      </c>
    </row>
    <row r="48" spans="1:18" x14ac:dyDescent="0.25">
      <c r="A48" s="84">
        <v>47</v>
      </c>
      <c r="B48" s="84" t="s">
        <v>47</v>
      </c>
      <c r="C48" s="91" t="e">
        <f>('14.1н'!#REF!+'14.2н'!#REF!+'14.3н'!#REF!)/3</f>
        <v>#REF!</v>
      </c>
      <c r="D48" s="91" t="e">
        <f>('14.1н'!#REF!+'14.2н'!#REF!+'14.3н'!#REF!)/3</f>
        <v>#REF!</v>
      </c>
      <c r="E48" s="91">
        <f>('14.1н'!E48+'14.2н'!E48+'14.3н'!E48)/3</f>
        <v>0</v>
      </c>
      <c r="F48" s="91">
        <f>('14.1н'!F48+'14.2н'!F48+'14.3н'!F48)/3</f>
        <v>0</v>
      </c>
      <c r="G48" s="91">
        <f>('14.1н'!G48+'14.2н'!G48+'14.3н'!G48)/3</f>
        <v>0</v>
      </c>
      <c r="H48" s="91">
        <f>('14.1н'!H48+'14.2н'!H48+'14.3н'!H48)/3</f>
        <v>0</v>
      </c>
      <c r="I48" s="91">
        <f>('14.1н'!I48+'14.2н'!I48+'14.3н'!I48)/3</f>
        <v>0</v>
      </c>
      <c r="J48" s="91">
        <f>('14.1н'!J48+'14.2н'!J48+'14.3н'!J48)/3</f>
        <v>0</v>
      </c>
      <c r="K48" s="91">
        <f>('14.1н'!K48+'14.2н'!K48+'14.3н'!K48)/3</f>
        <v>0</v>
      </c>
      <c r="L48" s="91">
        <f>('14.1н'!L48+'14.2н'!L48+'14.3н'!L48)/3</f>
        <v>0</v>
      </c>
      <c r="M48" s="91">
        <f>('14.1н'!M48+'14.2н'!M48+'14.3н'!M48)/3</f>
        <v>0</v>
      </c>
      <c r="N48" s="91">
        <f>('14.1н'!N48+'14.2н'!N48+'14.3н'!N48)/3</f>
        <v>0</v>
      </c>
      <c r="O48" s="91">
        <f>('14.1н'!O48+'14.2н'!O48+'14.3н'!O48)/3</f>
        <v>0</v>
      </c>
      <c r="P48" s="91">
        <f>('14.1н'!P48+'14.2н'!P48+'14.3н'!P48)/3</f>
        <v>0</v>
      </c>
      <c r="Q48" s="91">
        <f>('14.1н'!Q48+'14.2н'!Q48+'14.3н'!Q48)/3</f>
        <v>0</v>
      </c>
      <c r="R48" s="91">
        <f>('14.1н'!B48+'14.2н'!B48+'14.3н'!B48)/3</f>
        <v>0.54867005174008054</v>
      </c>
    </row>
    <row r="49" spans="1:18" x14ac:dyDescent="0.25">
      <c r="A49" s="84">
        <v>48</v>
      </c>
      <c r="B49" s="84" t="s">
        <v>48</v>
      </c>
      <c r="C49" s="91" t="e">
        <f>('14.1н'!#REF!+'14.2н'!#REF!+'14.3н'!#REF!)/3</f>
        <v>#REF!</v>
      </c>
      <c r="D49" s="91" t="e">
        <f>('14.1н'!#REF!+'14.2н'!#REF!+'14.3н'!#REF!)/3</f>
        <v>#REF!</v>
      </c>
      <c r="E49" s="91">
        <f>('14.1н'!E49+'14.2н'!E49+'14.3н'!E49)/3</f>
        <v>0</v>
      </c>
      <c r="F49" s="91">
        <f>('14.1н'!F49+'14.2н'!F49+'14.3н'!F49)/3</f>
        <v>0</v>
      </c>
      <c r="G49" s="91">
        <f>('14.1н'!G49+'14.2н'!G49+'14.3н'!G49)/3</f>
        <v>0</v>
      </c>
      <c r="H49" s="91">
        <f>('14.1н'!H49+'14.2н'!H49+'14.3н'!H49)/3</f>
        <v>0</v>
      </c>
      <c r="I49" s="91">
        <f>('14.1н'!I49+'14.2н'!I49+'14.3н'!I49)/3</f>
        <v>0</v>
      </c>
      <c r="J49" s="91">
        <f>('14.1н'!J49+'14.2н'!J49+'14.3н'!J49)/3</f>
        <v>0</v>
      </c>
      <c r="K49" s="91">
        <f>('14.1н'!K49+'14.2н'!K49+'14.3н'!K49)/3</f>
        <v>0</v>
      </c>
      <c r="L49" s="91">
        <f>('14.1н'!L49+'14.2н'!L49+'14.3н'!L49)/3</f>
        <v>0</v>
      </c>
      <c r="M49" s="91">
        <f>('14.1н'!M49+'14.2н'!M49+'14.3н'!M49)/3</f>
        <v>0</v>
      </c>
      <c r="N49" s="91">
        <f>('14.1н'!N49+'14.2н'!N49+'14.3н'!N49)/3</f>
        <v>0</v>
      </c>
      <c r="O49" s="91">
        <f>('14.1н'!O49+'14.2н'!O49+'14.3н'!O49)/3</f>
        <v>0</v>
      </c>
      <c r="P49" s="91">
        <f>('14.1н'!P49+'14.2н'!P49+'14.3н'!P49)/3</f>
        <v>0</v>
      </c>
      <c r="Q49" s="91">
        <f>('14.1н'!Q49+'14.2н'!Q49+'14.3н'!Q49)/3</f>
        <v>0</v>
      </c>
      <c r="R49" s="91">
        <f>('14.1н'!B49+'14.2н'!B49+'14.3н'!B49)/3</f>
        <v>0.21762825719270115</v>
      </c>
    </row>
    <row r="50" spans="1:18" x14ac:dyDescent="0.25">
      <c r="A50" s="84">
        <v>49</v>
      </c>
      <c r="B50" s="84" t="s">
        <v>49</v>
      </c>
      <c r="C50" s="91" t="e">
        <f>('14.1н'!#REF!+'14.2н'!#REF!+'14.3н'!#REF!)/3</f>
        <v>#REF!</v>
      </c>
      <c r="D50" s="91" t="e">
        <f>('14.1н'!#REF!+'14.2н'!#REF!+'14.3н'!#REF!)/3</f>
        <v>#REF!</v>
      </c>
      <c r="E50" s="91">
        <f>('14.1н'!E50+'14.2н'!E50+'14.3н'!E50)/3</f>
        <v>0</v>
      </c>
      <c r="F50" s="91">
        <f>('14.1н'!F50+'14.2н'!F50+'14.3н'!F50)/3</f>
        <v>0</v>
      </c>
      <c r="G50" s="91">
        <f>('14.1н'!G50+'14.2н'!G50+'14.3н'!G50)/3</f>
        <v>0</v>
      </c>
      <c r="H50" s="91">
        <f>('14.1н'!H50+'14.2н'!H50+'14.3н'!H50)/3</f>
        <v>0</v>
      </c>
      <c r="I50" s="91">
        <f>('14.1н'!I50+'14.2н'!I50+'14.3н'!I50)/3</f>
        <v>0</v>
      </c>
      <c r="J50" s="91">
        <f>('14.1н'!J50+'14.2н'!J50+'14.3н'!J50)/3</f>
        <v>0</v>
      </c>
      <c r="K50" s="91">
        <f>('14.1н'!K50+'14.2н'!K50+'14.3н'!K50)/3</f>
        <v>0</v>
      </c>
      <c r="L50" s="91">
        <f>('14.1н'!L50+'14.2н'!L50+'14.3н'!L50)/3</f>
        <v>0</v>
      </c>
      <c r="M50" s="91">
        <f>('14.1н'!M50+'14.2н'!M50+'14.3н'!M50)/3</f>
        <v>0</v>
      </c>
      <c r="N50" s="91">
        <f>('14.1н'!N50+'14.2н'!N50+'14.3н'!N50)/3</f>
        <v>0</v>
      </c>
      <c r="O50" s="91">
        <f>('14.1н'!O50+'14.2н'!O50+'14.3н'!O50)/3</f>
        <v>0</v>
      </c>
      <c r="P50" s="91">
        <f>('14.1н'!P50+'14.2н'!P50+'14.3н'!P50)/3</f>
        <v>0</v>
      </c>
      <c r="Q50" s="91">
        <f>('14.1н'!Q50+'14.2н'!Q50+'14.3н'!Q50)/3</f>
        <v>0</v>
      </c>
      <c r="R50" s="91">
        <f>('14.1н'!B50+'14.2н'!B50+'14.3н'!B50)/3</f>
        <v>0.30374061433563876</v>
      </c>
    </row>
    <row r="51" spans="1:18" x14ac:dyDescent="0.25">
      <c r="A51" s="84">
        <v>50</v>
      </c>
      <c r="B51" s="84" t="s">
        <v>50</v>
      </c>
      <c r="C51" s="91" t="e">
        <f>('14.1н'!#REF!+'14.2н'!#REF!+'14.3н'!#REF!)/3</f>
        <v>#REF!</v>
      </c>
      <c r="D51" s="91" t="e">
        <f>('14.1н'!#REF!+'14.2н'!#REF!+'14.3н'!#REF!)/3</f>
        <v>#REF!</v>
      </c>
      <c r="E51" s="91">
        <f>('14.1н'!E51+'14.2н'!E51+'14.3н'!E51)/3</f>
        <v>0</v>
      </c>
      <c r="F51" s="91">
        <f>('14.1н'!F51+'14.2н'!F51+'14.3н'!F51)/3</f>
        <v>0</v>
      </c>
      <c r="G51" s="91">
        <f>('14.1н'!G51+'14.2н'!G51+'14.3н'!G51)/3</f>
        <v>0</v>
      </c>
      <c r="H51" s="91">
        <f>('14.1н'!H51+'14.2н'!H51+'14.3н'!H51)/3</f>
        <v>0</v>
      </c>
      <c r="I51" s="91">
        <f>('14.1н'!I51+'14.2н'!I51+'14.3н'!I51)/3</f>
        <v>0</v>
      </c>
      <c r="J51" s="91">
        <f>('14.1н'!J51+'14.2н'!J51+'14.3н'!J51)/3</f>
        <v>0</v>
      </c>
      <c r="K51" s="91">
        <f>('14.1н'!K51+'14.2н'!K51+'14.3н'!K51)/3</f>
        <v>0</v>
      </c>
      <c r="L51" s="91">
        <f>('14.1н'!L51+'14.2н'!L51+'14.3н'!L51)/3</f>
        <v>0</v>
      </c>
      <c r="M51" s="91">
        <f>('14.1н'!M51+'14.2н'!M51+'14.3н'!M51)/3</f>
        <v>0</v>
      </c>
      <c r="N51" s="91">
        <f>('14.1н'!N51+'14.2н'!N51+'14.3н'!N51)/3</f>
        <v>0</v>
      </c>
      <c r="O51" s="91">
        <f>('14.1н'!O51+'14.2н'!O51+'14.3н'!O51)/3</f>
        <v>0</v>
      </c>
      <c r="P51" s="91">
        <f>('14.1н'!P51+'14.2н'!P51+'14.3н'!P51)/3</f>
        <v>0</v>
      </c>
      <c r="Q51" s="91">
        <f>('14.1н'!Q51+'14.2н'!Q51+'14.3н'!Q51)/3</f>
        <v>0</v>
      </c>
      <c r="R51" s="91">
        <f>('14.1н'!B51+'14.2н'!B51+'14.3н'!B51)/3</f>
        <v>0.29629847624678884</v>
      </c>
    </row>
    <row r="52" spans="1:18" x14ac:dyDescent="0.25">
      <c r="A52" s="84">
        <v>51</v>
      </c>
      <c r="B52" s="84" t="s">
        <v>51</v>
      </c>
      <c r="C52" s="91" t="e">
        <f>('14.1н'!#REF!+'14.2н'!#REF!+'14.3н'!#REF!)/3</f>
        <v>#REF!</v>
      </c>
      <c r="D52" s="91" t="e">
        <f>('14.1н'!#REF!+'14.2н'!#REF!+'14.3н'!#REF!)/3</f>
        <v>#REF!</v>
      </c>
      <c r="E52" s="91">
        <f>('14.1н'!E52+'14.2н'!E52+'14.3н'!E52)/3</f>
        <v>0</v>
      </c>
      <c r="F52" s="91">
        <f>('14.1н'!F52+'14.2н'!F52+'14.3н'!F52)/3</f>
        <v>0</v>
      </c>
      <c r="G52" s="91">
        <f>('14.1н'!G52+'14.2н'!G52+'14.3н'!G52)/3</f>
        <v>0</v>
      </c>
      <c r="H52" s="91">
        <f>('14.1н'!H52+'14.2н'!H52+'14.3н'!H52)/3</f>
        <v>0</v>
      </c>
      <c r="I52" s="91">
        <f>('14.1н'!I52+'14.2н'!I52+'14.3н'!I52)/3</f>
        <v>0</v>
      </c>
      <c r="J52" s="91">
        <f>('14.1н'!J52+'14.2н'!J52+'14.3н'!J52)/3</f>
        <v>0</v>
      </c>
      <c r="K52" s="91">
        <f>('14.1н'!K52+'14.2н'!K52+'14.3н'!K52)/3</f>
        <v>0</v>
      </c>
      <c r="L52" s="91">
        <f>('14.1н'!L52+'14.2н'!L52+'14.3н'!L52)/3</f>
        <v>0</v>
      </c>
      <c r="M52" s="91">
        <f>('14.1н'!M52+'14.2н'!M52+'14.3н'!M52)/3</f>
        <v>0</v>
      </c>
      <c r="N52" s="91">
        <f>('14.1н'!N52+'14.2н'!N52+'14.3н'!N52)/3</f>
        <v>0</v>
      </c>
      <c r="O52" s="91">
        <f>('14.1н'!O52+'14.2н'!O52+'14.3н'!O52)/3</f>
        <v>0</v>
      </c>
      <c r="P52" s="91">
        <f>('14.1н'!P52+'14.2н'!P52+'14.3н'!P52)/3</f>
        <v>0</v>
      </c>
      <c r="Q52" s="91">
        <f>('14.1н'!Q52+'14.2н'!Q52+'14.3н'!Q52)/3</f>
        <v>0</v>
      </c>
      <c r="R52" s="91">
        <f>('14.1н'!B52+'14.2н'!B52+'14.3н'!B52)/3</f>
        <v>0.29828492824236613</v>
      </c>
    </row>
    <row r="53" spans="1:18" x14ac:dyDescent="0.25">
      <c r="A53" s="84">
        <v>52</v>
      </c>
      <c r="B53" s="84" t="s">
        <v>52</v>
      </c>
      <c r="C53" s="91" t="e">
        <f>('14.1н'!#REF!+'14.2н'!#REF!+'14.3н'!#REF!)/3</f>
        <v>#REF!</v>
      </c>
      <c r="D53" s="91" t="e">
        <f>('14.1н'!#REF!+'14.2н'!#REF!+'14.3н'!#REF!)/3</f>
        <v>#REF!</v>
      </c>
      <c r="E53" s="91">
        <f>('14.1н'!E53+'14.2н'!E53+'14.3н'!E53)/3</f>
        <v>0</v>
      </c>
      <c r="F53" s="91">
        <f>('14.1н'!F53+'14.2н'!F53+'14.3н'!F53)/3</f>
        <v>0</v>
      </c>
      <c r="G53" s="91">
        <f>('14.1н'!G53+'14.2н'!G53+'14.3н'!G53)/3</f>
        <v>0</v>
      </c>
      <c r="H53" s="91">
        <f>('14.1н'!H53+'14.2н'!H53+'14.3н'!H53)/3</f>
        <v>0</v>
      </c>
      <c r="I53" s="91">
        <f>('14.1н'!I53+'14.2н'!I53+'14.3н'!I53)/3</f>
        <v>0</v>
      </c>
      <c r="J53" s="91">
        <f>('14.1н'!J53+'14.2н'!J53+'14.3н'!J53)/3</f>
        <v>0</v>
      </c>
      <c r="K53" s="91">
        <f>('14.1н'!K53+'14.2н'!K53+'14.3н'!K53)/3</f>
        <v>0</v>
      </c>
      <c r="L53" s="91">
        <f>('14.1н'!L53+'14.2н'!L53+'14.3н'!L53)/3</f>
        <v>0</v>
      </c>
      <c r="M53" s="91">
        <f>('14.1н'!M53+'14.2н'!M53+'14.3н'!M53)/3</f>
        <v>0</v>
      </c>
      <c r="N53" s="91">
        <f>('14.1н'!N53+'14.2н'!N53+'14.3н'!N53)/3</f>
        <v>0</v>
      </c>
      <c r="O53" s="91">
        <f>('14.1н'!O53+'14.2н'!O53+'14.3н'!O53)/3</f>
        <v>0</v>
      </c>
      <c r="P53" s="91">
        <f>('14.1н'!P53+'14.2н'!P53+'14.3н'!P53)/3</f>
        <v>0</v>
      </c>
      <c r="Q53" s="91">
        <f>('14.1н'!Q53+'14.2н'!Q53+'14.3н'!Q53)/3</f>
        <v>0</v>
      </c>
      <c r="R53" s="91">
        <f>('14.1н'!B53+'14.2н'!B53+'14.3н'!B53)/3</f>
        <v>0.50817620555861598</v>
      </c>
    </row>
    <row r="54" spans="1:18" x14ac:dyDescent="0.25">
      <c r="A54" s="84">
        <v>53</v>
      </c>
      <c r="B54" s="84" t="s">
        <v>53</v>
      </c>
      <c r="C54" s="91" t="e">
        <f>('14.1н'!#REF!+'14.2н'!#REF!+'14.3н'!#REF!)/3</f>
        <v>#REF!</v>
      </c>
      <c r="D54" s="91" t="e">
        <f>('14.1н'!#REF!+'14.2н'!#REF!+'14.3н'!#REF!)/3</f>
        <v>#REF!</v>
      </c>
      <c r="E54" s="91">
        <f>('14.1н'!E54+'14.2н'!E54+'14.3н'!E54)/3</f>
        <v>0</v>
      </c>
      <c r="F54" s="91">
        <f>('14.1н'!F54+'14.2н'!F54+'14.3н'!F54)/3</f>
        <v>0</v>
      </c>
      <c r="G54" s="91">
        <f>('14.1н'!G54+'14.2н'!G54+'14.3н'!G54)/3</f>
        <v>0</v>
      </c>
      <c r="H54" s="91">
        <f>('14.1н'!H54+'14.2н'!H54+'14.3н'!H54)/3</f>
        <v>0</v>
      </c>
      <c r="I54" s="91">
        <f>('14.1н'!I54+'14.2н'!I54+'14.3н'!I54)/3</f>
        <v>0</v>
      </c>
      <c r="J54" s="91">
        <f>('14.1н'!J54+'14.2н'!J54+'14.3н'!J54)/3</f>
        <v>0</v>
      </c>
      <c r="K54" s="91">
        <f>('14.1н'!K54+'14.2н'!K54+'14.3н'!K54)/3</f>
        <v>0</v>
      </c>
      <c r="L54" s="91">
        <f>('14.1н'!L54+'14.2н'!L54+'14.3н'!L54)/3</f>
        <v>0</v>
      </c>
      <c r="M54" s="91">
        <f>('14.1н'!M54+'14.2н'!M54+'14.3н'!M54)/3</f>
        <v>0</v>
      </c>
      <c r="N54" s="91">
        <f>('14.1н'!N54+'14.2н'!N54+'14.3н'!N54)/3</f>
        <v>0</v>
      </c>
      <c r="O54" s="91">
        <f>('14.1н'!O54+'14.2н'!O54+'14.3н'!O54)/3</f>
        <v>0</v>
      </c>
      <c r="P54" s="91">
        <f>('14.1н'!P54+'14.2н'!P54+'14.3н'!P54)/3</f>
        <v>0</v>
      </c>
      <c r="Q54" s="91">
        <f>('14.1н'!Q54+'14.2н'!Q54+'14.3н'!Q54)/3</f>
        <v>0</v>
      </c>
      <c r="R54" s="91">
        <f>('14.1н'!B54+'14.2н'!B54+'14.3н'!B54)/3</f>
        <v>0.12336673800105742</v>
      </c>
    </row>
    <row r="55" spans="1:18" x14ac:dyDescent="0.25">
      <c r="A55" s="84">
        <v>54</v>
      </c>
      <c r="B55" s="84" t="s">
        <v>54</v>
      </c>
      <c r="C55" s="91" t="e">
        <f>('14.1н'!#REF!+'14.2н'!#REF!+'14.3н'!#REF!)/3</f>
        <v>#REF!</v>
      </c>
      <c r="D55" s="91" t="e">
        <f>('14.1н'!#REF!+'14.2н'!#REF!+'14.3н'!#REF!)/3</f>
        <v>#REF!</v>
      </c>
      <c r="E55" s="91">
        <f>('14.1н'!E55+'14.2н'!E55+'14.3н'!E55)/3</f>
        <v>0</v>
      </c>
      <c r="F55" s="91">
        <f>('14.1н'!F55+'14.2н'!F55+'14.3н'!F55)/3</f>
        <v>0</v>
      </c>
      <c r="G55" s="91">
        <f>('14.1н'!G55+'14.2н'!G55+'14.3н'!G55)/3</f>
        <v>0</v>
      </c>
      <c r="H55" s="91">
        <f>('14.1н'!H55+'14.2н'!H55+'14.3н'!H55)/3</f>
        <v>0</v>
      </c>
      <c r="I55" s="91">
        <f>('14.1н'!I55+'14.2н'!I55+'14.3н'!I55)/3</f>
        <v>0</v>
      </c>
      <c r="J55" s="91">
        <f>('14.1н'!J55+'14.2н'!J55+'14.3н'!J55)/3</f>
        <v>0</v>
      </c>
      <c r="K55" s="91">
        <f>('14.1н'!K55+'14.2н'!K55+'14.3н'!K55)/3</f>
        <v>0</v>
      </c>
      <c r="L55" s="91">
        <f>('14.1н'!L55+'14.2н'!L55+'14.3н'!L55)/3</f>
        <v>0</v>
      </c>
      <c r="M55" s="91">
        <f>('14.1н'!M55+'14.2н'!M55+'14.3н'!M55)/3</f>
        <v>0</v>
      </c>
      <c r="N55" s="91">
        <f>('14.1н'!N55+'14.2н'!N55+'14.3н'!N55)/3</f>
        <v>0</v>
      </c>
      <c r="O55" s="91">
        <f>('14.1н'!O55+'14.2н'!O55+'14.3н'!O55)/3</f>
        <v>0</v>
      </c>
      <c r="P55" s="91">
        <f>('14.1н'!P55+'14.2н'!P55+'14.3н'!P55)/3</f>
        <v>0</v>
      </c>
      <c r="Q55" s="91">
        <f>('14.1н'!Q55+'14.2н'!Q55+'14.3н'!Q55)/3</f>
        <v>0</v>
      </c>
      <c r="R55" s="91">
        <f>('14.1н'!B55+'14.2н'!B55+'14.3н'!B55)/3</f>
        <v>0.37793436509019412</v>
      </c>
    </row>
    <row r="56" spans="1:18" x14ac:dyDescent="0.25">
      <c r="A56" s="84">
        <v>55</v>
      </c>
      <c r="B56" s="84" t="s">
        <v>55</v>
      </c>
      <c r="C56" s="91" t="e">
        <f>('14.1н'!#REF!+'14.2н'!#REF!+'14.3н'!#REF!)/3</f>
        <v>#REF!</v>
      </c>
      <c r="D56" s="91" t="e">
        <f>('14.1н'!#REF!+'14.2н'!#REF!+'14.3н'!#REF!)/3</f>
        <v>#REF!</v>
      </c>
      <c r="E56" s="91">
        <f>('14.1н'!E56+'14.2н'!E56+'14.3н'!E56)/3</f>
        <v>0</v>
      </c>
      <c r="F56" s="91">
        <f>('14.1н'!F56+'14.2н'!F56+'14.3н'!F56)/3</f>
        <v>0</v>
      </c>
      <c r="G56" s="91">
        <f>('14.1н'!G56+'14.2н'!G56+'14.3н'!G56)/3</f>
        <v>0</v>
      </c>
      <c r="H56" s="91">
        <f>('14.1н'!H56+'14.2н'!H56+'14.3н'!H56)/3</f>
        <v>0</v>
      </c>
      <c r="I56" s="91">
        <f>('14.1н'!I56+'14.2н'!I56+'14.3н'!I56)/3</f>
        <v>0</v>
      </c>
      <c r="J56" s="91">
        <f>('14.1н'!J56+'14.2н'!J56+'14.3н'!J56)/3</f>
        <v>0</v>
      </c>
      <c r="K56" s="91">
        <f>('14.1н'!K56+'14.2н'!K56+'14.3н'!K56)/3</f>
        <v>0</v>
      </c>
      <c r="L56" s="91">
        <f>('14.1н'!L56+'14.2н'!L56+'14.3н'!L56)/3</f>
        <v>0</v>
      </c>
      <c r="M56" s="91">
        <f>('14.1н'!M56+'14.2н'!M56+'14.3н'!M56)/3</f>
        <v>0</v>
      </c>
      <c r="N56" s="91">
        <f>('14.1н'!N56+'14.2н'!N56+'14.3н'!N56)/3</f>
        <v>0</v>
      </c>
      <c r="O56" s="91">
        <f>('14.1н'!O56+'14.2н'!O56+'14.3н'!O56)/3</f>
        <v>0</v>
      </c>
      <c r="P56" s="91">
        <f>('14.1н'!P56+'14.2н'!P56+'14.3н'!P56)/3</f>
        <v>0</v>
      </c>
      <c r="Q56" s="91">
        <f>('14.1н'!Q56+'14.2н'!Q56+'14.3н'!Q56)/3</f>
        <v>0</v>
      </c>
      <c r="R56" s="91">
        <f>('14.1н'!B56+'14.2н'!B56+'14.3н'!B56)/3</f>
        <v>0.38730254071093362</v>
      </c>
    </row>
    <row r="57" spans="1:18" x14ac:dyDescent="0.25">
      <c r="A57" s="84">
        <v>56</v>
      </c>
      <c r="B57" s="84" t="s">
        <v>56</v>
      </c>
      <c r="C57" s="91" t="e">
        <f>('14.1н'!#REF!+'14.2н'!#REF!+'14.3н'!#REF!)/3</f>
        <v>#REF!</v>
      </c>
      <c r="D57" s="91" t="e">
        <f>('14.1н'!#REF!+'14.2н'!#REF!+'14.3н'!#REF!)/3</f>
        <v>#REF!</v>
      </c>
      <c r="E57" s="91">
        <f>('14.1н'!E57+'14.2н'!E57+'14.3н'!E57)/3</f>
        <v>0</v>
      </c>
      <c r="F57" s="91">
        <f>('14.1н'!F57+'14.2н'!F57+'14.3н'!F57)/3</f>
        <v>0</v>
      </c>
      <c r="G57" s="91">
        <f>('14.1н'!G57+'14.2н'!G57+'14.3н'!G57)/3</f>
        <v>0</v>
      </c>
      <c r="H57" s="91">
        <f>('14.1н'!H57+'14.2н'!H57+'14.3н'!H57)/3</f>
        <v>0</v>
      </c>
      <c r="I57" s="91">
        <f>('14.1н'!I57+'14.2н'!I57+'14.3н'!I57)/3</f>
        <v>0</v>
      </c>
      <c r="J57" s="91">
        <f>('14.1н'!J57+'14.2н'!J57+'14.3н'!J57)/3</f>
        <v>0</v>
      </c>
      <c r="K57" s="91">
        <f>('14.1н'!K57+'14.2н'!K57+'14.3н'!K57)/3</f>
        <v>0</v>
      </c>
      <c r="L57" s="91">
        <f>('14.1н'!L57+'14.2н'!L57+'14.3н'!L57)/3</f>
        <v>0</v>
      </c>
      <c r="M57" s="91">
        <f>('14.1н'!M57+'14.2н'!M57+'14.3н'!M57)/3</f>
        <v>0</v>
      </c>
      <c r="N57" s="91">
        <f>('14.1н'!N57+'14.2н'!N57+'14.3н'!N57)/3</f>
        <v>0</v>
      </c>
      <c r="O57" s="91">
        <f>('14.1н'!O57+'14.2н'!O57+'14.3н'!O57)/3</f>
        <v>0</v>
      </c>
      <c r="P57" s="91">
        <f>('14.1н'!P57+'14.2н'!P57+'14.3н'!P57)/3</f>
        <v>0</v>
      </c>
      <c r="Q57" s="91">
        <f>('14.1н'!Q57+'14.2н'!Q57+'14.3н'!Q57)/3</f>
        <v>0</v>
      </c>
      <c r="R57" s="91">
        <f>('14.1н'!B57+'14.2н'!B57+'14.3н'!B57)/3</f>
        <v>6.3804991065880293E-2</v>
      </c>
    </row>
    <row r="58" spans="1:18" x14ac:dyDescent="0.25">
      <c r="A58" s="84">
        <v>57</v>
      </c>
      <c r="B58" s="84" t="s">
        <v>57</v>
      </c>
      <c r="C58" s="91" t="e">
        <f>('14.1н'!#REF!+'14.2н'!#REF!+'14.3н'!#REF!)/3</f>
        <v>#REF!</v>
      </c>
      <c r="D58" s="91" t="e">
        <f>('14.1н'!#REF!+'14.2н'!#REF!+'14.3н'!#REF!)/3</f>
        <v>#REF!</v>
      </c>
      <c r="E58" s="91">
        <f>('14.1н'!E58+'14.2н'!E58+'14.3н'!E58)/3</f>
        <v>0</v>
      </c>
      <c r="F58" s="91">
        <f>('14.1н'!F58+'14.2н'!F58+'14.3н'!F58)/3</f>
        <v>0</v>
      </c>
      <c r="G58" s="91">
        <f>('14.1н'!G58+'14.2н'!G58+'14.3н'!G58)/3</f>
        <v>0</v>
      </c>
      <c r="H58" s="91">
        <f>('14.1н'!H58+'14.2н'!H58+'14.3н'!H58)/3</f>
        <v>0</v>
      </c>
      <c r="I58" s="91">
        <f>('14.1н'!I58+'14.2н'!I58+'14.3н'!I58)/3</f>
        <v>0</v>
      </c>
      <c r="J58" s="91">
        <f>('14.1н'!J58+'14.2н'!J58+'14.3н'!J58)/3</f>
        <v>0</v>
      </c>
      <c r="K58" s="91">
        <f>('14.1н'!K58+'14.2н'!K58+'14.3н'!K58)/3</f>
        <v>0</v>
      </c>
      <c r="L58" s="91">
        <f>('14.1н'!L58+'14.2н'!L58+'14.3н'!L58)/3</f>
        <v>0</v>
      </c>
      <c r="M58" s="91">
        <f>('14.1н'!M58+'14.2н'!M58+'14.3н'!M58)/3</f>
        <v>0</v>
      </c>
      <c r="N58" s="91">
        <f>('14.1н'!N58+'14.2н'!N58+'14.3н'!N58)/3</f>
        <v>0</v>
      </c>
      <c r="O58" s="91">
        <f>('14.1н'!O58+'14.2н'!O58+'14.3н'!O58)/3</f>
        <v>0</v>
      </c>
      <c r="P58" s="91">
        <f>('14.1н'!P58+'14.2н'!P58+'14.3н'!P58)/3</f>
        <v>0</v>
      </c>
      <c r="Q58" s="91">
        <f>('14.1н'!Q58+'14.2н'!Q58+'14.3н'!Q58)/3</f>
        <v>0</v>
      </c>
      <c r="R58" s="91">
        <f>('14.1н'!B58+'14.2н'!B58+'14.3н'!B58)/3</f>
        <v>0.36480551384967308</v>
      </c>
    </row>
    <row r="59" spans="1:18" x14ac:dyDescent="0.25">
      <c r="A59" s="84">
        <v>58</v>
      </c>
      <c r="B59" s="84" t="s">
        <v>58</v>
      </c>
      <c r="C59" s="91" t="e">
        <f>('14.1н'!#REF!+'14.2н'!#REF!+'14.3н'!#REF!)/3</f>
        <v>#REF!</v>
      </c>
      <c r="D59" s="91" t="e">
        <f>('14.1н'!#REF!+'14.2н'!#REF!+'14.3н'!#REF!)/3</f>
        <v>#REF!</v>
      </c>
      <c r="E59" s="91">
        <f>('14.1н'!E59+'14.2н'!E59+'14.3н'!E59)/3</f>
        <v>0</v>
      </c>
      <c r="F59" s="91">
        <f>('14.1н'!F59+'14.2н'!F59+'14.3н'!F59)/3</f>
        <v>0</v>
      </c>
      <c r="G59" s="91">
        <f>('14.1н'!G59+'14.2н'!G59+'14.3н'!G59)/3</f>
        <v>0</v>
      </c>
      <c r="H59" s="91">
        <f>('14.1н'!H59+'14.2н'!H59+'14.3н'!H59)/3</f>
        <v>0</v>
      </c>
      <c r="I59" s="91">
        <f>('14.1н'!I59+'14.2н'!I59+'14.3н'!I59)/3</f>
        <v>0</v>
      </c>
      <c r="J59" s="91">
        <f>('14.1н'!J59+'14.2н'!J59+'14.3н'!J59)/3</f>
        <v>0</v>
      </c>
      <c r="K59" s="91">
        <f>('14.1н'!K59+'14.2н'!K59+'14.3н'!K59)/3</f>
        <v>0</v>
      </c>
      <c r="L59" s="91">
        <f>('14.1н'!L59+'14.2н'!L59+'14.3н'!L59)/3</f>
        <v>0</v>
      </c>
      <c r="M59" s="91">
        <f>('14.1н'!M59+'14.2н'!M59+'14.3н'!M59)/3</f>
        <v>0</v>
      </c>
      <c r="N59" s="91">
        <f>('14.1н'!N59+'14.2н'!N59+'14.3н'!N59)/3</f>
        <v>0</v>
      </c>
      <c r="O59" s="91">
        <f>('14.1н'!O59+'14.2н'!O59+'14.3н'!O59)/3</f>
        <v>0</v>
      </c>
      <c r="P59" s="91">
        <f>('14.1н'!P59+'14.2н'!P59+'14.3н'!P59)/3</f>
        <v>0</v>
      </c>
      <c r="Q59" s="91">
        <f>('14.1н'!Q59+'14.2н'!Q59+'14.3н'!Q59)/3</f>
        <v>0</v>
      </c>
      <c r="R59" s="91">
        <f>('14.1н'!B59+'14.2н'!B59+'14.3н'!B59)/3</f>
        <v>0.18172464002869712</v>
      </c>
    </row>
    <row r="60" spans="1:18" x14ac:dyDescent="0.25">
      <c r="A60" s="84">
        <v>59</v>
      </c>
      <c r="B60" s="84" t="s">
        <v>59</v>
      </c>
      <c r="C60" s="91" t="e">
        <f>('14.1н'!#REF!+'14.2н'!#REF!+'14.3н'!#REF!)/3</f>
        <v>#REF!</v>
      </c>
      <c r="D60" s="91" t="e">
        <f>('14.1н'!#REF!+'14.2н'!#REF!+'14.3н'!#REF!)/3</f>
        <v>#REF!</v>
      </c>
      <c r="E60" s="91">
        <f>('14.1н'!E60+'14.2н'!E60+'14.3н'!E60)/3</f>
        <v>0</v>
      </c>
      <c r="F60" s="91">
        <f>('14.1н'!F60+'14.2н'!F60+'14.3н'!F60)/3</f>
        <v>0</v>
      </c>
      <c r="G60" s="91">
        <f>('14.1н'!G60+'14.2н'!G60+'14.3н'!G60)/3</f>
        <v>0</v>
      </c>
      <c r="H60" s="91">
        <f>('14.1н'!H60+'14.2н'!H60+'14.3н'!H60)/3</f>
        <v>0</v>
      </c>
      <c r="I60" s="91">
        <f>('14.1н'!I60+'14.2н'!I60+'14.3н'!I60)/3</f>
        <v>0</v>
      </c>
      <c r="J60" s="91">
        <f>('14.1н'!J60+'14.2н'!J60+'14.3н'!J60)/3</f>
        <v>0</v>
      </c>
      <c r="K60" s="91">
        <f>('14.1н'!K60+'14.2н'!K60+'14.3н'!K60)/3</f>
        <v>0</v>
      </c>
      <c r="L60" s="91">
        <f>('14.1н'!L60+'14.2н'!L60+'14.3н'!L60)/3</f>
        <v>0</v>
      </c>
      <c r="M60" s="91">
        <f>('14.1н'!M60+'14.2н'!M60+'14.3н'!M60)/3</f>
        <v>0</v>
      </c>
      <c r="N60" s="91">
        <f>('14.1н'!N60+'14.2н'!N60+'14.3н'!N60)/3</f>
        <v>0</v>
      </c>
      <c r="O60" s="91">
        <f>('14.1н'!O60+'14.2н'!O60+'14.3н'!O60)/3</f>
        <v>0</v>
      </c>
      <c r="P60" s="91">
        <f>('14.1н'!P60+'14.2н'!P60+'14.3н'!P60)/3</f>
        <v>0</v>
      </c>
      <c r="Q60" s="91">
        <f>('14.1н'!Q60+'14.2н'!Q60+'14.3н'!Q60)/3</f>
        <v>0</v>
      </c>
      <c r="R60" s="91">
        <f>('14.1н'!B60+'14.2н'!B60+'14.3н'!B60)/3</f>
        <v>0.22073878673575908</v>
      </c>
    </row>
    <row r="61" spans="1:18" x14ac:dyDescent="0.25">
      <c r="A61" s="84">
        <v>60</v>
      </c>
      <c r="B61" s="84" t="s">
        <v>60</v>
      </c>
      <c r="C61" s="91" t="e">
        <f>('14.1н'!#REF!+'14.2н'!#REF!+'14.3н'!#REF!)/3</f>
        <v>#REF!</v>
      </c>
      <c r="D61" s="91" t="e">
        <f>('14.1н'!#REF!+'14.2н'!#REF!+'14.3н'!#REF!)/3</f>
        <v>#REF!</v>
      </c>
      <c r="E61" s="91">
        <f>('14.1н'!E61+'14.2н'!E61+'14.3н'!E61)/3</f>
        <v>0</v>
      </c>
      <c r="F61" s="91">
        <f>('14.1н'!F61+'14.2н'!F61+'14.3н'!F61)/3</f>
        <v>0</v>
      </c>
      <c r="G61" s="91">
        <f>('14.1н'!G61+'14.2н'!G61+'14.3н'!G61)/3</f>
        <v>0</v>
      </c>
      <c r="H61" s="91">
        <f>('14.1н'!H61+'14.2н'!H61+'14.3н'!H61)/3</f>
        <v>0</v>
      </c>
      <c r="I61" s="91">
        <f>('14.1н'!I61+'14.2н'!I61+'14.3н'!I61)/3</f>
        <v>0</v>
      </c>
      <c r="J61" s="91">
        <f>('14.1н'!J61+'14.2н'!J61+'14.3н'!J61)/3</f>
        <v>0</v>
      </c>
      <c r="K61" s="91">
        <f>('14.1н'!K61+'14.2н'!K61+'14.3н'!K61)/3</f>
        <v>0</v>
      </c>
      <c r="L61" s="91">
        <f>('14.1н'!L61+'14.2н'!L61+'14.3н'!L61)/3</f>
        <v>0</v>
      </c>
      <c r="M61" s="91">
        <f>('14.1н'!M61+'14.2н'!M61+'14.3н'!M61)/3</f>
        <v>0</v>
      </c>
      <c r="N61" s="91">
        <f>('14.1н'!N61+'14.2н'!N61+'14.3н'!N61)/3</f>
        <v>0</v>
      </c>
      <c r="O61" s="91">
        <f>('14.1н'!O61+'14.2н'!O61+'14.3н'!O61)/3</f>
        <v>0</v>
      </c>
      <c r="P61" s="91">
        <f>('14.1н'!P61+'14.2н'!P61+'14.3н'!P61)/3</f>
        <v>0</v>
      </c>
      <c r="Q61" s="91">
        <f>('14.1н'!Q61+'14.2н'!Q61+'14.3н'!Q61)/3</f>
        <v>0</v>
      </c>
      <c r="R61" s="91">
        <f>('14.1н'!B61+'14.2н'!B61+'14.3н'!B61)/3</f>
        <v>9.0925514697155693E-2</v>
      </c>
    </row>
    <row r="62" spans="1:18" x14ac:dyDescent="0.25">
      <c r="A62" s="84">
        <v>61</v>
      </c>
      <c r="B62" s="84" t="s">
        <v>61</v>
      </c>
      <c r="C62" s="91" t="e">
        <f>('14.1н'!#REF!+'14.2н'!#REF!+'14.3н'!#REF!)/3</f>
        <v>#REF!</v>
      </c>
      <c r="D62" s="91" t="e">
        <f>('14.1н'!#REF!+'14.2н'!#REF!+'14.3н'!#REF!)/3</f>
        <v>#REF!</v>
      </c>
      <c r="E62" s="91">
        <f>('14.1н'!E62+'14.2н'!E62+'14.3н'!E62)/3</f>
        <v>0</v>
      </c>
      <c r="F62" s="91">
        <f>('14.1н'!F62+'14.2н'!F62+'14.3н'!F62)/3</f>
        <v>0</v>
      </c>
      <c r="G62" s="91">
        <f>('14.1н'!G62+'14.2н'!G62+'14.3н'!G62)/3</f>
        <v>0</v>
      </c>
      <c r="H62" s="91">
        <f>('14.1н'!H62+'14.2н'!H62+'14.3н'!H62)/3</f>
        <v>0</v>
      </c>
      <c r="I62" s="91">
        <f>('14.1н'!I62+'14.2н'!I62+'14.3н'!I62)/3</f>
        <v>0</v>
      </c>
      <c r="J62" s="91">
        <f>('14.1н'!J62+'14.2н'!J62+'14.3н'!J62)/3</f>
        <v>0</v>
      </c>
      <c r="K62" s="91">
        <f>('14.1н'!K62+'14.2н'!K62+'14.3н'!K62)/3</f>
        <v>0</v>
      </c>
      <c r="L62" s="91">
        <f>('14.1н'!L62+'14.2н'!L62+'14.3н'!L62)/3</f>
        <v>0</v>
      </c>
      <c r="M62" s="91">
        <f>('14.1н'!M62+'14.2н'!M62+'14.3н'!M62)/3</f>
        <v>0</v>
      </c>
      <c r="N62" s="91">
        <f>('14.1н'!N62+'14.2н'!N62+'14.3н'!N62)/3</f>
        <v>0</v>
      </c>
      <c r="O62" s="91">
        <f>('14.1н'!O62+'14.2н'!O62+'14.3н'!O62)/3</f>
        <v>0</v>
      </c>
      <c r="P62" s="91">
        <f>('14.1н'!P62+'14.2н'!P62+'14.3н'!P62)/3</f>
        <v>0</v>
      </c>
      <c r="Q62" s="91">
        <f>('14.1н'!Q62+'14.2н'!Q62+'14.3н'!Q62)/3</f>
        <v>0</v>
      </c>
      <c r="R62" s="91">
        <f>('14.1н'!B62+'14.2н'!B62+'14.3н'!B62)/3</f>
        <v>0.17919304858837334</v>
      </c>
    </row>
    <row r="63" spans="1:18" x14ac:dyDescent="0.25">
      <c r="A63" s="84">
        <v>62</v>
      </c>
      <c r="B63" s="84" t="s">
        <v>62</v>
      </c>
      <c r="C63" s="91"/>
      <c r="D63" s="91" t="e">
        <f>('14.1н'!#REF!+'14.2н'!#REF!+'14.3н'!#REF!)/3</f>
        <v>#REF!</v>
      </c>
      <c r="E63" s="91">
        <f>('14.1н'!E63+'14.2н'!E63+'14.3н'!E63)/3</f>
        <v>0</v>
      </c>
      <c r="F63" s="91">
        <f>('14.1н'!F63+'14.2н'!F63+'14.3н'!F63)/3</f>
        <v>0</v>
      </c>
      <c r="G63" s="91"/>
      <c r="H63" s="91">
        <f>('14.1н'!H63+'14.2н'!H63+'14.3н'!H63)/3</f>
        <v>0</v>
      </c>
      <c r="I63" s="91">
        <f>('14.1н'!I63+'14.2н'!I63+'14.3н'!I63)/3</f>
        <v>0</v>
      </c>
      <c r="J63" s="91">
        <f>('14.1н'!J63+'14.2н'!J63+'14.3н'!J63)/3</f>
        <v>0</v>
      </c>
      <c r="K63" s="91">
        <f>('14.1н'!K63+'14.2н'!K63+'14.3н'!K63)/3</f>
        <v>0</v>
      </c>
      <c r="L63" s="91">
        <f>('14.1н'!L63+'14.2н'!L63+'14.3н'!L63)/3</f>
        <v>0</v>
      </c>
      <c r="M63" s="91">
        <f>('14.1н'!M63+'14.2н'!M63+'14.3н'!M63)/3</f>
        <v>0</v>
      </c>
      <c r="N63" s="91">
        <f>('14.1н'!N63+'14.2н'!N63+'14.3н'!N63)/3</f>
        <v>0</v>
      </c>
      <c r="O63" s="91">
        <f>('14.1н'!O63+'14.2н'!O63+'14.3н'!O63)/3</f>
        <v>0</v>
      </c>
      <c r="P63" s="91">
        <f>('14.1н'!P63+'14.2н'!P63+'14.3н'!P63)/3</f>
        <v>0</v>
      </c>
      <c r="Q63" s="91">
        <f>('14.1н'!Q63+'14.2н'!Q63+'14.3н'!Q63)/3</f>
        <v>0</v>
      </c>
      <c r="R63" s="91">
        <f>('14.1н'!B63+'14.2н'!B63+'14.3н'!B63)/3</f>
        <v>0.14530022163460374</v>
      </c>
    </row>
    <row r="64" spans="1:18" x14ac:dyDescent="0.25">
      <c r="A64" s="84">
        <v>63</v>
      </c>
      <c r="B64" s="84" t="s">
        <v>63</v>
      </c>
      <c r="C64" s="91" t="e">
        <f>('14.1н'!#REF!+'14.2н'!#REF!+'14.3н'!#REF!)/3</f>
        <v>#REF!</v>
      </c>
      <c r="D64" s="91" t="e">
        <f>('14.1н'!#REF!+'14.2н'!#REF!+'14.3н'!#REF!)/3</f>
        <v>#REF!</v>
      </c>
      <c r="E64" s="91">
        <f>('14.1н'!E64+'14.2н'!E64+'14.3н'!E64)/3</f>
        <v>0</v>
      </c>
      <c r="F64" s="91">
        <f>('14.1н'!F64+'14.2н'!F64+'14.3н'!F64)/3</f>
        <v>0</v>
      </c>
      <c r="G64" s="91">
        <f>('14.1н'!G64+'14.2н'!G64+'14.3н'!G64)/3</f>
        <v>0</v>
      </c>
      <c r="H64" s="91">
        <f>('14.1н'!H64+'14.2н'!H64+'14.3н'!H64)/3</f>
        <v>0</v>
      </c>
      <c r="I64" s="91">
        <f>('14.1н'!I64+'14.2н'!I64+'14.3н'!I64)/3</f>
        <v>0</v>
      </c>
      <c r="J64" s="91">
        <f>('14.1н'!J64+'14.2н'!J64+'14.3н'!J64)/3</f>
        <v>0</v>
      </c>
      <c r="K64" s="91">
        <f>('14.1н'!K64+'14.2н'!K64+'14.3н'!K64)/3</f>
        <v>0</v>
      </c>
      <c r="L64" s="91">
        <f>('14.1н'!L64+'14.2н'!L64+'14.3н'!L64)/3</f>
        <v>0</v>
      </c>
      <c r="M64" s="91">
        <f>('14.1н'!M64+'14.2н'!M64+'14.3н'!M64)/3</f>
        <v>0</v>
      </c>
      <c r="N64" s="91">
        <f>('14.1н'!N64+'14.2н'!N64+'14.3н'!N64)/3</f>
        <v>0</v>
      </c>
      <c r="O64" s="91">
        <f>('14.1н'!O64+'14.2н'!O64+'14.3н'!O64)/3</f>
        <v>0</v>
      </c>
      <c r="P64" s="91">
        <f>('14.1н'!P64+'14.2н'!P64+'14.3н'!P64)/3</f>
        <v>0</v>
      </c>
      <c r="Q64" s="91">
        <f>('14.1н'!Q64+'14.2н'!Q64+'14.3н'!Q64)/3</f>
        <v>0</v>
      </c>
      <c r="R64" s="91">
        <f>('14.1н'!B64+'14.2н'!B64+'14.3н'!B64)/3</f>
        <v>0.22326394112428141</v>
      </c>
    </row>
    <row r="65" spans="1:18" x14ac:dyDescent="0.25">
      <c r="A65" s="84">
        <v>64</v>
      </c>
      <c r="B65" s="84" t="s">
        <v>64</v>
      </c>
      <c r="C65" s="91"/>
      <c r="D65" s="91" t="e">
        <f>('14.1н'!#REF!+'14.2н'!#REF!+'14.3н'!#REF!)/3</f>
        <v>#REF!</v>
      </c>
      <c r="E65" s="91">
        <f>('14.1н'!E65+'14.2н'!E65+'14.3н'!E65)/3</f>
        <v>0</v>
      </c>
      <c r="F65" s="91"/>
      <c r="G65" s="91">
        <f>('14.1н'!G65+'14.2н'!G65+'14.3н'!G65)/3</f>
        <v>0</v>
      </c>
      <c r="H65" s="91">
        <f>('14.1н'!H65+'14.2н'!H65+'14.3н'!H65)/3</f>
        <v>0</v>
      </c>
      <c r="I65" s="91">
        <f>('14.1н'!I65+'14.2н'!I65+'14.3н'!I65)/3</f>
        <v>0</v>
      </c>
      <c r="J65" s="91">
        <f>('14.1н'!J65+'14.2н'!J65+'14.3н'!J65)/3</f>
        <v>0</v>
      </c>
      <c r="K65" s="91"/>
      <c r="L65" s="91">
        <f>('14.1н'!L65+'14.2н'!L65+'14.3н'!L65)/3</f>
        <v>0</v>
      </c>
      <c r="M65" s="91">
        <f>('14.1н'!M65+'14.2н'!M65+'14.3н'!M65)/3</f>
        <v>0</v>
      </c>
      <c r="N65" s="91">
        <f>('14.1н'!N65+'14.2н'!N65+'14.3н'!N65)/3</f>
        <v>0</v>
      </c>
      <c r="O65" s="91">
        <f>('14.1н'!O65+'14.2н'!O65+'14.3н'!O65)/3</f>
        <v>0</v>
      </c>
      <c r="P65" s="91">
        <f>('14.1н'!P65+'14.2н'!P65+'14.3н'!P65)/3</f>
        <v>0</v>
      </c>
      <c r="Q65" s="91">
        <f>('14.1н'!Q65+'14.2н'!Q65+'14.3н'!Q65)/3</f>
        <v>0</v>
      </c>
      <c r="R65" s="91">
        <f>('14.1н'!B65+'14.2н'!B65+'14.3н'!B65)/3</f>
        <v>0.21670928585322291</v>
      </c>
    </row>
    <row r="66" spans="1:18" x14ac:dyDescent="0.25">
      <c r="A66" s="84">
        <v>65</v>
      </c>
      <c r="B66" s="84" t="s">
        <v>65</v>
      </c>
      <c r="C66" s="91" t="e">
        <f>('14.1н'!#REF!+'14.2н'!#REF!+'14.3н'!#REF!)/3</f>
        <v>#REF!</v>
      </c>
      <c r="D66" s="91" t="e">
        <f>('14.1н'!#REF!+'14.2н'!#REF!+'14.3н'!#REF!)/3</f>
        <v>#REF!</v>
      </c>
      <c r="E66" s="91">
        <f>('14.1н'!E66+'14.2н'!E66+'14.3н'!E66)/3</f>
        <v>0</v>
      </c>
      <c r="F66" s="91"/>
      <c r="G66" s="91">
        <f>('14.1н'!G66+'14.2н'!G66+'14.3н'!G66)/3</f>
        <v>0</v>
      </c>
      <c r="H66" s="91">
        <f>('14.1н'!H66+'14.2н'!H66+'14.3н'!H66)/3</f>
        <v>0</v>
      </c>
      <c r="I66" s="91">
        <f>('14.1н'!I66+'14.2н'!I66+'14.3н'!I66)/3</f>
        <v>0</v>
      </c>
      <c r="J66" s="91">
        <f>('14.1н'!J66+'14.2н'!J66+'14.3н'!J66)/3</f>
        <v>0</v>
      </c>
      <c r="K66" s="91"/>
      <c r="L66" s="91">
        <f>('14.1н'!L66+'14.2н'!L66+'14.3н'!L66)/3</f>
        <v>0</v>
      </c>
      <c r="M66" s="91">
        <f>('14.1н'!M66+'14.2н'!M66+'14.3н'!M66)/3</f>
        <v>0</v>
      </c>
      <c r="N66" s="91">
        <f>('14.1н'!N66+'14.2н'!N66+'14.3н'!N66)/3</f>
        <v>0</v>
      </c>
      <c r="O66" s="91">
        <f>('14.1н'!O66+'14.2н'!O66+'14.3н'!O66)/3</f>
        <v>0</v>
      </c>
      <c r="P66" s="91">
        <f>('14.1н'!P66+'14.2н'!P66+'14.3н'!P66)/3</f>
        <v>0</v>
      </c>
      <c r="Q66" s="91">
        <f>('14.1н'!Q66+'14.2н'!Q66+'14.3н'!Q66)/3</f>
        <v>0</v>
      </c>
      <c r="R66" s="91">
        <f>('14.1н'!B66+'14.2н'!B66+'14.3н'!B66)/3</f>
        <v>1.4326277614785568E-2</v>
      </c>
    </row>
    <row r="67" spans="1:18" x14ac:dyDescent="0.25">
      <c r="A67" s="84">
        <v>66</v>
      </c>
      <c r="B67" s="84" t="s">
        <v>66</v>
      </c>
      <c r="C67" s="91" t="e">
        <f>('14.1н'!#REF!+'14.2н'!#REF!+'14.3н'!#REF!)/3</f>
        <v>#REF!</v>
      </c>
      <c r="D67" s="91" t="e">
        <f>('14.1н'!#REF!+'14.2н'!#REF!+'14.3н'!#REF!)/3</f>
        <v>#REF!</v>
      </c>
      <c r="E67" s="91">
        <f>('14.1н'!E67+'14.2н'!E67+'14.3н'!E67)/3</f>
        <v>0</v>
      </c>
      <c r="F67" s="91">
        <f>('14.1н'!F67+'14.2н'!F67+'14.3н'!F67)/3</f>
        <v>0</v>
      </c>
      <c r="G67" s="91">
        <f>('14.1н'!G67+'14.2н'!G67+'14.3н'!G67)/3</f>
        <v>0</v>
      </c>
      <c r="H67" s="91">
        <f>('14.1н'!H67+'14.2н'!H67+'14.3н'!H67)/3</f>
        <v>0</v>
      </c>
      <c r="I67" s="91">
        <f>('14.1н'!I67+'14.2н'!I67+'14.3н'!I67)/3</f>
        <v>0</v>
      </c>
      <c r="J67" s="91">
        <f>('14.1н'!J67+'14.2н'!J67+'14.3н'!J67)/3</f>
        <v>0</v>
      </c>
      <c r="K67" s="91">
        <f>('14.1н'!K67+'14.2н'!K67+'14.3н'!K67)/3</f>
        <v>0</v>
      </c>
      <c r="L67" s="91">
        <f>('14.1н'!L67+'14.2н'!L67+'14.3н'!L67)/3</f>
        <v>0</v>
      </c>
      <c r="M67" s="91">
        <f>('14.1н'!M67+'14.2н'!M67+'14.3н'!M67)/3</f>
        <v>0</v>
      </c>
      <c r="N67" s="91">
        <f>('14.1н'!N67+'14.2н'!N67+'14.3н'!N67)/3</f>
        <v>0</v>
      </c>
      <c r="O67" s="91">
        <f>('14.1н'!O67+'14.2н'!O67+'14.3н'!O67)/3</f>
        <v>0</v>
      </c>
      <c r="P67" s="91">
        <f>('14.1н'!P67+'14.2н'!P67+'14.3н'!P67)/3</f>
        <v>0</v>
      </c>
      <c r="Q67" s="91">
        <f>('14.1н'!Q67+'14.2н'!Q67+'14.3н'!Q67)/3</f>
        <v>0</v>
      </c>
      <c r="R67" s="91">
        <f>('14.1н'!B67+'14.2н'!B67+'14.3н'!B67)/3</f>
        <v>0.29400710406392622</v>
      </c>
    </row>
    <row r="68" spans="1:18" x14ac:dyDescent="0.25">
      <c r="A68" s="84">
        <v>67</v>
      </c>
      <c r="B68" s="84" t="s">
        <v>73</v>
      </c>
      <c r="C68" s="91" t="e">
        <f>('14.1н'!#REF!+'14.2н'!#REF!+'14.3н'!#REF!)/3</f>
        <v>#REF!</v>
      </c>
      <c r="D68" s="91" t="e">
        <f>('14.1н'!#REF!+'14.2н'!#REF!+'14.3н'!#REF!)/3</f>
        <v>#REF!</v>
      </c>
      <c r="E68" s="91">
        <f>('14.1н'!E68+'14.2н'!E68+'14.3н'!E68)/3</f>
        <v>0</v>
      </c>
      <c r="F68" s="91">
        <f>('14.1н'!F68+'14.2н'!F68+'14.3н'!F68)/3</f>
        <v>0</v>
      </c>
      <c r="G68" s="91">
        <f>('14.1н'!G68+'14.2н'!G68+'14.3н'!G68)/3</f>
        <v>0</v>
      </c>
      <c r="H68" s="91">
        <f>('14.1н'!H68+'14.2н'!H68+'14.3н'!H68)/3</f>
        <v>0</v>
      </c>
      <c r="I68" s="91">
        <f>('14.1н'!I68+'14.2н'!I68+'14.3н'!I68)/3</f>
        <v>0</v>
      </c>
      <c r="J68" s="91">
        <f>('14.1н'!J68+'14.2н'!J68+'14.3н'!J68)/3</f>
        <v>0</v>
      </c>
      <c r="K68" s="91">
        <f>('14.1н'!K68+'14.2н'!K68+'14.3н'!K68)/3</f>
        <v>0</v>
      </c>
      <c r="L68" s="91">
        <f>('14.1н'!L68+'14.2н'!L68+'14.3н'!L68)/3</f>
        <v>0</v>
      </c>
      <c r="M68" s="91">
        <f>('14.1н'!M68+'14.2н'!M68+'14.3н'!M68)/3</f>
        <v>0</v>
      </c>
      <c r="N68" s="91">
        <f>('14.1н'!N68+'14.2н'!N68+'14.3н'!N68)/3</f>
        <v>0</v>
      </c>
      <c r="O68" s="91">
        <f>('14.1н'!O68+'14.2н'!O68+'14.3н'!O68)/3</f>
        <v>0</v>
      </c>
      <c r="P68" s="91">
        <f>('14.1н'!P68+'14.2н'!P68+'14.3н'!P68)/3</f>
        <v>0</v>
      </c>
      <c r="Q68" s="91">
        <f>('14.1н'!Q68+'14.2н'!Q68+'14.3н'!Q68)/3</f>
        <v>0</v>
      </c>
      <c r="R68" s="91">
        <f>('14.1н'!B68+'14.2н'!B68+'14.3н'!B68)/3</f>
        <v>1.7793559424454052E-2</v>
      </c>
    </row>
    <row r="69" spans="1:18" x14ac:dyDescent="0.25">
      <c r="A69" s="84">
        <v>68</v>
      </c>
      <c r="B69" s="84" t="s">
        <v>67</v>
      </c>
      <c r="C69" s="91" t="e">
        <f>('14.1н'!#REF!+'14.2н'!#REF!+'14.3н'!#REF!)/3</f>
        <v>#REF!</v>
      </c>
      <c r="D69" s="91" t="e">
        <f>('14.1н'!#REF!+'14.2н'!#REF!+'14.3н'!#REF!)/3</f>
        <v>#REF!</v>
      </c>
      <c r="E69" s="91">
        <f>('14.1н'!E69+'14.2н'!E69+'14.3н'!E69)/3</f>
        <v>0</v>
      </c>
      <c r="F69" s="91">
        <f>('14.1н'!F69+'14.2н'!F69+'14.3н'!F69)/3</f>
        <v>0</v>
      </c>
      <c r="G69" s="91">
        <f>('14.1н'!G69+'14.2н'!G69+'14.3н'!G69)/3</f>
        <v>0</v>
      </c>
      <c r="H69" s="91">
        <f>('14.1н'!H69+'14.2н'!H69+'14.3н'!H69)/3</f>
        <v>0</v>
      </c>
      <c r="I69" s="91">
        <f>('14.1н'!I69+'14.2н'!I69+'14.3н'!I69)/3</f>
        <v>0</v>
      </c>
      <c r="J69" s="91">
        <f>('14.1н'!J69+'14.2н'!J69+'14.3н'!J69)/3</f>
        <v>0</v>
      </c>
      <c r="K69" s="91">
        <f>('14.1н'!K69+'14.2н'!K69+'14.3н'!K69)/3</f>
        <v>0</v>
      </c>
      <c r="L69" s="91">
        <f>('14.1н'!L69+'14.2н'!L69+'14.3н'!L69)/3</f>
        <v>0</v>
      </c>
      <c r="M69" s="91">
        <f>('14.1н'!M69+'14.2н'!M69+'14.3н'!M69)/3</f>
        <v>0</v>
      </c>
      <c r="N69" s="91">
        <f>('14.1н'!N69+'14.2н'!N69+'14.3н'!N69)/3</f>
        <v>0</v>
      </c>
      <c r="O69" s="91">
        <f>('14.1н'!O69+'14.2н'!O69+'14.3н'!O69)/3</f>
        <v>0</v>
      </c>
      <c r="P69" s="91">
        <f>('14.1н'!P69+'14.2н'!P69+'14.3н'!P69)/3</f>
        <v>0</v>
      </c>
      <c r="Q69" s="91">
        <f>('14.1н'!Q69+'14.2н'!Q69+'14.3н'!Q69)/3</f>
        <v>0</v>
      </c>
      <c r="R69" s="91">
        <f>('14.1н'!B69+'14.2н'!B69+'14.3н'!B69)/3</f>
        <v>0.16196080056367812</v>
      </c>
    </row>
    <row r="70" spans="1:18" x14ac:dyDescent="0.25">
      <c r="A70" s="84">
        <v>69</v>
      </c>
      <c r="B70" s="84" t="s">
        <v>68</v>
      </c>
      <c r="C70" s="91" t="e">
        <f>('14.1н'!#REF!+'14.2н'!#REF!+'14.3н'!#REF!)/3</f>
        <v>#REF!</v>
      </c>
      <c r="D70" s="91" t="e">
        <f>('14.1н'!#REF!+'14.2н'!#REF!+'14.3н'!#REF!)/3</f>
        <v>#REF!</v>
      </c>
      <c r="E70" s="91">
        <f>('14.1н'!E70+'14.2н'!E70+'14.3н'!E70)/3</f>
        <v>0</v>
      </c>
      <c r="F70" s="91">
        <f>('14.1н'!F70+'14.2н'!F70+'14.3н'!F70)/3</f>
        <v>0</v>
      </c>
      <c r="G70" s="91">
        <f>('14.1н'!G70+'14.2н'!G70+'14.3н'!G70)/3</f>
        <v>0</v>
      </c>
      <c r="H70" s="91">
        <f>('14.1н'!H70+'14.2н'!H70+'14.3н'!H70)/3</f>
        <v>0</v>
      </c>
      <c r="I70" s="91">
        <f>('14.1н'!I70+'14.2н'!I70+'14.3н'!I70)/3</f>
        <v>0</v>
      </c>
      <c r="J70" s="91">
        <f>('14.1н'!J70+'14.2н'!J70+'14.3н'!J70)/3</f>
        <v>0</v>
      </c>
      <c r="K70" s="91">
        <f>('14.1н'!K70+'14.2н'!K70+'14.3н'!K70)/3</f>
        <v>0</v>
      </c>
      <c r="L70" s="91">
        <f>('14.1н'!L70+'14.2н'!L70+'14.3н'!L70)/3</f>
        <v>0</v>
      </c>
      <c r="M70" s="91">
        <f>('14.1н'!M70+'14.2н'!M70+'14.3н'!M70)/3</f>
        <v>0</v>
      </c>
      <c r="N70" s="91">
        <f>('14.1н'!N70+'14.2н'!N70+'14.3н'!N70)/3</f>
        <v>0</v>
      </c>
      <c r="O70" s="91">
        <f>('14.1н'!O70+'14.2н'!O70+'14.3н'!O70)/3</f>
        <v>0</v>
      </c>
      <c r="P70" s="91">
        <f>('14.1н'!P70+'14.2н'!P70+'14.3н'!P70)/3</f>
        <v>0</v>
      </c>
      <c r="Q70" s="91">
        <f>('14.1н'!Q70+'14.2н'!Q70+'14.3н'!Q70)/3</f>
        <v>0</v>
      </c>
      <c r="R70" s="91">
        <f>('14.1н'!B70+'14.2н'!B70+'14.3н'!B70)/3</f>
        <v>0.21955891860206464</v>
      </c>
    </row>
    <row r="71" spans="1:18" x14ac:dyDescent="0.25">
      <c r="A71" s="84">
        <v>70</v>
      </c>
      <c r="B71" s="84" t="s">
        <v>69</v>
      </c>
      <c r="C71" s="91" t="e">
        <f>('14.1н'!#REF!+'14.2н'!#REF!+'14.3н'!#REF!)/3</f>
        <v>#REF!</v>
      </c>
      <c r="D71" s="91" t="e">
        <f>('14.1н'!#REF!+'14.2н'!#REF!+'14.3н'!#REF!)/3</f>
        <v>#REF!</v>
      </c>
      <c r="E71" s="91">
        <f>('14.1н'!E71+'14.2н'!E71+'14.3н'!E71)/3</f>
        <v>0</v>
      </c>
      <c r="F71" s="91">
        <f>('14.1н'!F71+'14.2н'!F71+'14.3н'!F71)/3</f>
        <v>0</v>
      </c>
      <c r="G71" s="91">
        <f>('14.1н'!G71+'14.2н'!G71+'14.3н'!G71)/3</f>
        <v>0</v>
      </c>
      <c r="H71" s="91">
        <f>('14.1н'!H71+'14.2н'!H71+'14.3н'!H71)/3</f>
        <v>0</v>
      </c>
      <c r="I71" s="91">
        <f>('14.1н'!I71+'14.2н'!I71+'14.3н'!I71)/3</f>
        <v>0</v>
      </c>
      <c r="J71" s="91">
        <f>('14.1н'!J71+'14.2н'!J71+'14.3н'!J71)/3</f>
        <v>0</v>
      </c>
      <c r="K71" s="91">
        <f>('14.1н'!K71+'14.2н'!K71+'14.3н'!K71)/3</f>
        <v>0</v>
      </c>
      <c r="L71" s="91">
        <f>('14.1н'!L71+'14.2н'!L71+'14.3н'!L71)/3</f>
        <v>0</v>
      </c>
      <c r="M71" s="91">
        <f>('14.1н'!M71+'14.2н'!M71+'14.3н'!M71)/3</f>
        <v>0</v>
      </c>
      <c r="N71" s="91">
        <f>('14.1н'!N71+'14.2н'!N71+'14.3н'!N71)/3</f>
        <v>0</v>
      </c>
      <c r="O71" s="91">
        <f>('14.1н'!O71+'14.2н'!O71+'14.3н'!O71)/3</f>
        <v>0</v>
      </c>
      <c r="P71" s="91">
        <f>('14.1н'!P71+'14.2н'!P71+'14.3н'!P71)/3</f>
        <v>0</v>
      </c>
      <c r="Q71" s="91">
        <f>('14.1н'!Q71+'14.2н'!Q71+'14.3н'!Q71)/3</f>
        <v>0</v>
      </c>
      <c r="R71" s="91">
        <f>('14.1н'!B71+'14.2н'!B71+'14.3н'!B71)/3</f>
        <v>0.16364772660299867</v>
      </c>
    </row>
    <row r="72" spans="1:18" x14ac:dyDescent="0.25">
      <c r="A72" s="84">
        <v>71</v>
      </c>
      <c r="B72" s="84" t="s">
        <v>70</v>
      </c>
      <c r="C72" s="91" t="e">
        <f>('14.1н'!#REF!+'14.2н'!#REF!+'14.3н'!#REF!)/3</f>
        <v>#REF!</v>
      </c>
      <c r="D72" s="91" t="e">
        <f>('14.1н'!#REF!+'14.2н'!#REF!+'14.3н'!#REF!)/3</f>
        <v>#REF!</v>
      </c>
      <c r="E72" s="91">
        <f>('14.1н'!E72+'14.2н'!E72+'14.3н'!E72)/3</f>
        <v>0</v>
      </c>
      <c r="F72" s="91">
        <f>('14.1н'!F72+'14.2н'!F72+'14.3н'!F72)/3</f>
        <v>0</v>
      </c>
      <c r="G72" s="91">
        <f>('14.1н'!G72+'14.2н'!G72+'14.3н'!G72)/3</f>
        <v>0</v>
      </c>
      <c r="H72" s="91">
        <f>('14.1н'!H72+'14.2н'!H72+'14.3н'!H72)/3</f>
        <v>0</v>
      </c>
      <c r="I72" s="91">
        <f>('14.1н'!I72+'14.2н'!I72+'14.3н'!I72)/3</f>
        <v>0</v>
      </c>
      <c r="J72" s="91">
        <f>('14.1н'!J72+'14.2н'!J72+'14.3н'!J72)/3</f>
        <v>0</v>
      </c>
      <c r="K72" s="91">
        <f>('14.1н'!K72+'14.2н'!K72+'14.3н'!K72)/3</f>
        <v>0</v>
      </c>
      <c r="L72" s="91">
        <f>('14.1н'!L72+'14.2н'!L72+'14.3н'!L72)/3</f>
        <v>0</v>
      </c>
      <c r="M72" s="91">
        <f>('14.1н'!M72+'14.2н'!M72+'14.3н'!M72)/3</f>
        <v>0</v>
      </c>
      <c r="N72" s="91">
        <f>('14.1н'!N72+'14.2н'!N72+'14.3н'!N72)/3</f>
        <v>0</v>
      </c>
      <c r="O72" s="91">
        <f>('14.1н'!O72+'14.2н'!O72+'14.3н'!O72)/3</f>
        <v>0</v>
      </c>
      <c r="P72" s="91">
        <f>('14.1н'!P72+'14.2н'!P72+'14.3н'!P72)/3</f>
        <v>0</v>
      </c>
      <c r="Q72" s="91">
        <f>('14.1н'!Q72+'14.2н'!Q72+'14.3н'!Q72)/3</f>
        <v>0</v>
      </c>
      <c r="R72" s="91">
        <f>('14.1н'!B72+'14.2н'!B72+'14.3н'!B72)/3</f>
        <v>0.14609337111081366</v>
      </c>
    </row>
    <row r="73" spans="1:18" x14ac:dyDescent="0.25">
      <c r="A73" s="84">
        <v>72</v>
      </c>
      <c r="B73" s="84" t="s">
        <v>71</v>
      </c>
      <c r="C73" s="91" t="e">
        <f>('14.1н'!#REF!+'14.2н'!#REF!+'14.3н'!#REF!)/3</f>
        <v>#REF!</v>
      </c>
      <c r="D73" s="91" t="e">
        <f>('14.1н'!#REF!+'14.2н'!#REF!+'14.3н'!#REF!)/3</f>
        <v>#REF!</v>
      </c>
      <c r="E73" s="91">
        <f>('14.1н'!E73+'14.2н'!E73+'14.3н'!E73)/3</f>
        <v>0</v>
      </c>
      <c r="F73" s="91">
        <f>('14.1н'!F73+'14.2н'!F73+'14.3н'!F73)/3</f>
        <v>0</v>
      </c>
      <c r="G73" s="91">
        <f>('14.1н'!G73+'14.2н'!G73+'14.3н'!G73)/3</f>
        <v>0</v>
      </c>
      <c r="H73" s="91">
        <f>('14.1н'!H73+'14.2н'!H73+'14.3н'!H73)/3</f>
        <v>0</v>
      </c>
      <c r="I73" s="91">
        <f>('14.1н'!I73+'14.2н'!I73+'14.3н'!I73)/3</f>
        <v>0</v>
      </c>
      <c r="J73" s="91">
        <f>('14.1н'!J73+'14.2н'!J73+'14.3н'!J73)/3</f>
        <v>0</v>
      </c>
      <c r="K73" s="91">
        <f>('14.1н'!K73+'14.2н'!K73+'14.3н'!K73)/3</f>
        <v>0</v>
      </c>
      <c r="L73" s="91">
        <f>('14.1н'!L73+'14.2н'!L73+'14.3н'!L73)/3</f>
        <v>0</v>
      </c>
      <c r="M73" s="91">
        <f>('14.1н'!M73+'14.2н'!M73+'14.3н'!M73)/3</f>
        <v>0</v>
      </c>
      <c r="N73" s="91">
        <f>('14.1н'!N73+'14.2н'!N73+'14.3н'!N73)/3</f>
        <v>0</v>
      </c>
      <c r="O73" s="91">
        <f>('14.1н'!O73+'14.2н'!O73+'14.3н'!O73)/3</f>
        <v>0</v>
      </c>
      <c r="P73" s="91">
        <f>('14.1н'!P73+'14.2н'!P73+'14.3н'!P73)/3</f>
        <v>0</v>
      </c>
      <c r="Q73" s="91">
        <f>('14.1н'!Q73+'14.2н'!Q73+'14.3н'!Q73)/3</f>
        <v>0</v>
      </c>
      <c r="R73" s="91">
        <f>('14.1н'!B73+'14.2н'!B73+'14.3н'!B73)/3</f>
        <v>0.25841760677289116</v>
      </c>
    </row>
    <row r="74" spans="1:18" x14ac:dyDescent="0.25">
      <c r="A74" s="84">
        <v>73</v>
      </c>
      <c r="B74" s="84" t="s">
        <v>72</v>
      </c>
      <c r="C74" s="91" t="e">
        <f>('14.1н'!#REF!+'14.2н'!#REF!+'14.3н'!#REF!)/3</f>
        <v>#REF!</v>
      </c>
      <c r="D74" s="91" t="e">
        <f>('14.1н'!#REF!+'14.2н'!#REF!+'14.3н'!#REF!)/3</f>
        <v>#REF!</v>
      </c>
      <c r="E74" s="91">
        <f>('14.1н'!E74+'14.2н'!E74+'14.3н'!E74)/3</f>
        <v>0</v>
      </c>
      <c r="F74" s="91">
        <f>('14.1н'!F74+'14.2н'!F74+'14.3н'!F74)/3</f>
        <v>0</v>
      </c>
      <c r="G74" s="91">
        <f>('14.1н'!G74+'14.2н'!G74+'14.3н'!G74)/3</f>
        <v>0</v>
      </c>
      <c r="H74" s="91">
        <f>('14.1н'!H74+'14.2н'!H74+'14.3н'!H74)/3</f>
        <v>0</v>
      </c>
      <c r="I74" s="91">
        <f>('14.1н'!I74+'14.2н'!I74+'14.3н'!I74)/3</f>
        <v>0</v>
      </c>
      <c r="J74" s="91">
        <f>('14.1н'!J74+'14.2н'!J74+'14.3н'!J74)/3</f>
        <v>0</v>
      </c>
      <c r="K74" s="91">
        <f>('14.1н'!K74+'14.2н'!K74+'14.3н'!K74)/3</f>
        <v>0</v>
      </c>
      <c r="L74" s="91">
        <f>('14.1н'!L74+'14.2н'!L74+'14.3н'!L74)/3</f>
        <v>0</v>
      </c>
      <c r="M74" s="91">
        <f>('14.1н'!M74+'14.2н'!M74+'14.3н'!M74)/3</f>
        <v>0</v>
      </c>
      <c r="N74" s="91">
        <f>('14.1н'!N74+'14.2н'!N74+'14.3н'!N74)/3</f>
        <v>0</v>
      </c>
      <c r="O74" s="91">
        <f>('14.1н'!O74+'14.2н'!O74+'14.3н'!O74)/3</f>
        <v>0</v>
      </c>
      <c r="P74" s="91">
        <f>('14.1н'!P74+'14.2н'!P74+'14.3н'!P74)/3</f>
        <v>0</v>
      </c>
      <c r="Q74" s="91">
        <f>('14.1н'!Q74+'14.2н'!Q74+'14.3н'!Q74)/3</f>
        <v>0</v>
      </c>
      <c r="R74" s="91">
        <f>('14.1н'!B74+'14.2н'!B74+'14.3н'!B74)/3</f>
        <v>0.32234786808101612</v>
      </c>
    </row>
    <row r="75" spans="1:18" x14ac:dyDescent="0.25">
      <c r="A75" s="84">
        <v>74</v>
      </c>
      <c r="B75" s="84" t="s">
        <v>74</v>
      </c>
      <c r="C75" s="91" t="e">
        <f>('14.1н'!#REF!+'14.2н'!#REF!+'14.3н'!#REF!)/3</f>
        <v>#REF!</v>
      </c>
      <c r="D75" s="91" t="e">
        <f>('14.1н'!#REF!+'14.2н'!#REF!+'14.3н'!#REF!)/3</f>
        <v>#REF!</v>
      </c>
      <c r="E75" s="91">
        <f>('14.1н'!E75+'14.2н'!E75+'14.3н'!E75)/3</f>
        <v>0</v>
      </c>
      <c r="F75" s="91">
        <f>('14.1н'!F75+'14.2н'!F75+'14.3н'!F75)/3</f>
        <v>0</v>
      </c>
      <c r="G75" s="91">
        <f>('14.1н'!G75+'14.2н'!G75+'14.3н'!G75)/3</f>
        <v>0</v>
      </c>
      <c r="H75" s="91">
        <f>('14.1н'!H75+'14.2н'!H75+'14.3н'!H75)/3</f>
        <v>0</v>
      </c>
      <c r="I75" s="91">
        <f>('14.1н'!I75+'14.2н'!I75+'14.3н'!I75)/3</f>
        <v>0</v>
      </c>
      <c r="J75" s="91">
        <f>('14.1н'!J75+'14.2н'!J75+'14.3н'!J75)/3</f>
        <v>0</v>
      </c>
      <c r="K75" s="91">
        <f>('14.1н'!K75+'14.2н'!K75+'14.3н'!K75)/3</f>
        <v>0</v>
      </c>
      <c r="L75" s="91">
        <f>('14.1н'!L75+'14.2н'!L75+'14.3н'!L75)/3</f>
        <v>0</v>
      </c>
      <c r="M75" s="91">
        <f>('14.1н'!M75+'14.2н'!M75+'14.3н'!M75)/3</f>
        <v>0</v>
      </c>
      <c r="N75" s="91">
        <f>('14.1н'!N75+'14.2н'!N75+'14.3н'!N75)/3</f>
        <v>0</v>
      </c>
      <c r="O75" s="91">
        <f>('14.1н'!O75+'14.2н'!O75+'14.3н'!O75)/3</f>
        <v>0</v>
      </c>
      <c r="P75" s="91">
        <f>('14.1н'!P75+'14.2н'!P75+'14.3н'!P75)/3</f>
        <v>0</v>
      </c>
      <c r="Q75" s="91">
        <f>('14.1н'!Q75+'14.2н'!Q75+'14.3н'!Q75)/3</f>
        <v>0</v>
      </c>
      <c r="R75" s="91">
        <f>('14.1н'!B75+'14.2н'!B75+'14.3н'!B75)/3</f>
        <v>9.0593135385013193E-2</v>
      </c>
    </row>
    <row r="76" spans="1:18" x14ac:dyDescent="0.25">
      <c r="A76" s="84">
        <v>75</v>
      </c>
      <c r="B76" s="84" t="s">
        <v>75</v>
      </c>
      <c r="C76" s="91" t="e">
        <f>('14.1н'!#REF!+'14.2н'!#REF!+'14.3н'!#REF!)/3</f>
        <v>#REF!</v>
      </c>
      <c r="D76" s="91" t="e">
        <f>('14.1н'!#REF!+'14.2н'!#REF!+'14.3н'!#REF!)/3</f>
        <v>#REF!</v>
      </c>
      <c r="E76" s="91">
        <f>('14.1н'!E76+'14.2н'!E76+'14.3н'!E76)/3</f>
        <v>0</v>
      </c>
      <c r="F76" s="91">
        <f>('14.1н'!F76+'14.2н'!F76+'14.3н'!F76)/3</f>
        <v>0</v>
      </c>
      <c r="G76" s="91">
        <f>('14.1н'!G76+'14.2н'!G76+'14.3н'!G76)/3</f>
        <v>0</v>
      </c>
      <c r="H76" s="91">
        <f>('14.1н'!H76+'14.2н'!H76+'14.3н'!H76)/3</f>
        <v>0</v>
      </c>
      <c r="I76" s="91">
        <f>('14.1н'!I76+'14.2н'!I76+'14.3н'!I76)/3</f>
        <v>0</v>
      </c>
      <c r="J76" s="91">
        <f>('14.1н'!J76+'14.2н'!J76+'14.3н'!J76)/3</f>
        <v>0</v>
      </c>
      <c r="K76" s="91">
        <f>('14.1н'!K76+'14.2н'!K76+'14.3н'!K76)/3</f>
        <v>0</v>
      </c>
      <c r="L76" s="91">
        <f>('14.1н'!L76+'14.2н'!L76+'14.3н'!L76)/3</f>
        <v>0</v>
      </c>
      <c r="M76" s="91">
        <f>('14.1н'!M76+'14.2н'!M76+'14.3н'!M76)/3</f>
        <v>0</v>
      </c>
      <c r="N76" s="91">
        <f>('14.1н'!N76+'14.2н'!N76+'14.3н'!N76)/3</f>
        <v>0</v>
      </c>
      <c r="O76" s="91">
        <f>('14.1н'!O76+'14.2н'!O76+'14.3н'!O76)/3</f>
        <v>0</v>
      </c>
      <c r="P76" s="91">
        <f>('14.1н'!P76+'14.2н'!P76+'14.3н'!P76)/3</f>
        <v>0</v>
      </c>
      <c r="Q76" s="91">
        <f>('14.1н'!Q76+'14.2н'!Q76+'14.3н'!Q76)/3</f>
        <v>0</v>
      </c>
      <c r="R76" s="91">
        <f>('14.1н'!B76+'14.2н'!B76+'14.3н'!B76)/3</f>
        <v>0.17125178092778079</v>
      </c>
    </row>
    <row r="77" spans="1:18" x14ac:dyDescent="0.25">
      <c r="A77" s="84">
        <v>76</v>
      </c>
      <c r="B77" s="84" t="s">
        <v>76</v>
      </c>
      <c r="C77" s="91" t="e">
        <f>('14.1н'!#REF!+'14.2н'!#REF!+'14.3н'!#REF!)/3</f>
        <v>#REF!</v>
      </c>
      <c r="D77" s="91" t="e">
        <f>('14.1н'!#REF!+'14.2н'!#REF!+'14.3н'!#REF!)/3</f>
        <v>#REF!</v>
      </c>
      <c r="E77" s="91">
        <f>('14.1н'!E77+'14.2н'!E77+'14.3н'!E77)/3</f>
        <v>0</v>
      </c>
      <c r="F77" s="91">
        <f>('14.1н'!F77+'14.2н'!F77+'14.3н'!F77)/3</f>
        <v>0</v>
      </c>
      <c r="G77" s="91">
        <f>('14.1н'!G77+'14.2н'!G77+'14.3н'!G77)/3</f>
        <v>0</v>
      </c>
      <c r="H77" s="91">
        <f>('14.1н'!H77+'14.2н'!H77+'14.3н'!H77)/3</f>
        <v>0</v>
      </c>
      <c r="I77" s="91">
        <f>('14.1н'!I77+'14.2н'!I77+'14.3н'!I77)/3</f>
        <v>0</v>
      </c>
      <c r="J77" s="91">
        <f>('14.1н'!J77+'14.2н'!J77+'14.3н'!J77)/3</f>
        <v>0</v>
      </c>
      <c r="K77" s="91">
        <f>('14.1н'!K77+'14.2н'!K77+'14.3н'!K77)/3</f>
        <v>0</v>
      </c>
      <c r="L77" s="91">
        <f>('14.1н'!L77+'14.2н'!L77+'14.3н'!L77)/3</f>
        <v>0</v>
      </c>
      <c r="M77" s="91">
        <f>('14.1н'!M77+'14.2н'!M77+'14.3н'!M77)/3</f>
        <v>0</v>
      </c>
      <c r="N77" s="91">
        <f>('14.1н'!N77+'14.2н'!N77+'14.3н'!N77)/3</f>
        <v>0</v>
      </c>
      <c r="O77" s="91">
        <f>('14.1н'!O77+'14.2н'!O77+'14.3н'!O77)/3</f>
        <v>0</v>
      </c>
      <c r="P77" s="91">
        <f>('14.1н'!P77+'14.2н'!P77+'14.3н'!P77)/3</f>
        <v>0</v>
      </c>
      <c r="Q77" s="91">
        <f>('14.1н'!Q77+'14.2н'!Q77+'14.3н'!Q77)/3</f>
        <v>0</v>
      </c>
      <c r="R77" s="91">
        <f>('14.1н'!B77+'14.2н'!B77+'14.3н'!B77)/3</f>
        <v>7.5286339334004235E-2</v>
      </c>
    </row>
    <row r="78" spans="1:18" x14ac:dyDescent="0.25">
      <c r="A78" s="84">
        <v>77</v>
      </c>
      <c r="B78" s="84" t="s">
        <v>77</v>
      </c>
      <c r="C78" s="91" t="e">
        <f>('14.1н'!#REF!+'14.2н'!#REF!+'14.3н'!#REF!)/3</f>
        <v>#REF!</v>
      </c>
      <c r="D78" s="91" t="e">
        <f>('14.1н'!#REF!+'14.2н'!#REF!+'14.3н'!#REF!)/3</f>
        <v>#REF!</v>
      </c>
      <c r="E78" s="91">
        <f>('14.1н'!E78+'14.2н'!E78+'14.3н'!E78)/3</f>
        <v>0</v>
      </c>
      <c r="F78" s="91">
        <f>('14.1н'!F78+'14.2н'!F78+'14.3н'!F78)/3</f>
        <v>0</v>
      </c>
      <c r="G78" s="91">
        <f>('14.1н'!G78+'14.2н'!G78+'14.3н'!G78)/3</f>
        <v>0</v>
      </c>
      <c r="H78" s="91">
        <f>('14.1н'!H78+'14.2н'!H78+'14.3н'!H78)/3</f>
        <v>0</v>
      </c>
      <c r="I78" s="91">
        <f>('14.1н'!I78+'14.2н'!I78+'14.3н'!I78)/3</f>
        <v>0</v>
      </c>
      <c r="J78" s="91">
        <f>('14.1н'!J78+'14.2н'!J78+'14.3н'!J78)/3</f>
        <v>0</v>
      </c>
      <c r="K78" s="91">
        <f>('14.1н'!K78+'14.2н'!K78+'14.3н'!K78)/3</f>
        <v>0</v>
      </c>
      <c r="L78" s="91">
        <f>('14.1н'!L78+'14.2н'!L78+'14.3н'!L78)/3</f>
        <v>0</v>
      </c>
      <c r="M78" s="91">
        <f>('14.1н'!M78+'14.2н'!M78+'14.3н'!M78)/3</f>
        <v>0</v>
      </c>
      <c r="N78" s="91">
        <f>('14.1н'!N78+'14.2н'!N78+'14.3н'!N78)/3</f>
        <v>0</v>
      </c>
      <c r="O78" s="91">
        <f>('14.1н'!O78+'14.2н'!O78+'14.3н'!O78)/3</f>
        <v>0</v>
      </c>
      <c r="P78" s="91">
        <f>('14.1н'!P78+'14.2н'!P78+'14.3н'!P78)/3</f>
        <v>0</v>
      </c>
      <c r="Q78" s="91">
        <f>('14.1н'!Q78+'14.2н'!Q78+'14.3н'!Q78)/3</f>
        <v>0</v>
      </c>
      <c r="R78" s="91">
        <f>('14.1н'!B78+'14.2н'!B78+'14.3н'!B78)/3</f>
        <v>0.42171395084581426</v>
      </c>
    </row>
    <row r="79" spans="1:18" x14ac:dyDescent="0.25">
      <c r="A79" s="84">
        <v>78</v>
      </c>
      <c r="B79" s="84" t="s">
        <v>78</v>
      </c>
      <c r="C79" s="91" t="e">
        <f>('14.1н'!#REF!+'14.2н'!#REF!+'14.3н'!#REF!)/3</f>
        <v>#REF!</v>
      </c>
      <c r="D79" s="91" t="e">
        <f>('14.1н'!#REF!+'14.2н'!#REF!+'14.3н'!#REF!)/3</f>
        <v>#REF!</v>
      </c>
      <c r="E79" s="91">
        <f>('14.1н'!E79+'14.2н'!E79+'14.3н'!E79)/3</f>
        <v>0</v>
      </c>
      <c r="F79" s="91">
        <f>('14.1н'!F79+'14.2н'!F79+'14.3н'!F79)/3</f>
        <v>0</v>
      </c>
      <c r="G79" s="91">
        <f>('14.1н'!G79+'14.2н'!G79+'14.3н'!G79)/3</f>
        <v>0</v>
      </c>
      <c r="H79" s="91">
        <f>('14.1н'!H79+'14.2н'!H79+'14.3н'!H79)/3</f>
        <v>0</v>
      </c>
      <c r="I79" s="91">
        <f>('14.1н'!I79+'14.2н'!I79+'14.3н'!I79)/3</f>
        <v>0</v>
      </c>
      <c r="J79" s="91">
        <f>('14.1н'!J79+'14.2н'!J79+'14.3н'!J79)/3</f>
        <v>0</v>
      </c>
      <c r="K79" s="91">
        <f>('14.1н'!K79+'14.2н'!K79+'14.3н'!K79)/3</f>
        <v>0</v>
      </c>
      <c r="L79" s="91">
        <f>('14.1н'!L79+'14.2н'!L79+'14.3н'!L79)/3</f>
        <v>0</v>
      </c>
      <c r="M79" s="91">
        <f>('14.1н'!M79+'14.2н'!M79+'14.3н'!M79)/3</f>
        <v>0</v>
      </c>
      <c r="N79" s="91">
        <f>('14.1н'!N79+'14.2н'!N79+'14.3н'!N79)/3</f>
        <v>0</v>
      </c>
      <c r="O79" s="91">
        <f>('14.1н'!O79+'14.2н'!O79+'14.3н'!O79)/3</f>
        <v>0</v>
      </c>
      <c r="P79" s="91">
        <f>('14.1н'!P79+'14.2н'!P79+'14.3н'!P79)/3</f>
        <v>0</v>
      </c>
      <c r="Q79" s="91">
        <f>('14.1н'!Q79+'14.2н'!Q79+'14.3н'!Q79)/3</f>
        <v>0</v>
      </c>
      <c r="R79" s="91">
        <f>('14.1н'!B79+'14.2н'!B79+'14.3н'!B79)/3</f>
        <v>5.6181019795041275E-2</v>
      </c>
    </row>
    <row r="80" spans="1:18" x14ac:dyDescent="0.25">
      <c r="A80" s="84">
        <v>79</v>
      </c>
      <c r="B80" s="84" t="s">
        <v>79</v>
      </c>
      <c r="C80" s="91" t="e">
        <f>('14.1н'!#REF!+'14.2н'!#REF!+'14.3н'!#REF!)/3</f>
        <v>#REF!</v>
      </c>
      <c r="D80" s="91" t="e">
        <f>('14.1н'!#REF!+'14.2н'!#REF!+'14.3н'!#REF!)/3</f>
        <v>#REF!</v>
      </c>
      <c r="E80" s="91">
        <f>('14.1н'!E80+'14.2н'!E80+'14.3н'!E80)/3</f>
        <v>0</v>
      </c>
      <c r="F80" s="91">
        <f>('14.1н'!F80+'14.2н'!F80+'14.3н'!F80)/3</f>
        <v>0</v>
      </c>
      <c r="G80" s="91">
        <f>('14.1н'!G80+'14.2н'!G80+'14.3н'!G80)/3</f>
        <v>0</v>
      </c>
      <c r="H80" s="91">
        <f>('14.1н'!H80+'14.2н'!H80+'14.3н'!H80)/3</f>
        <v>0</v>
      </c>
      <c r="I80" s="91">
        <f>('14.1н'!I80+'14.2н'!I80+'14.3н'!I80)/3</f>
        <v>0</v>
      </c>
      <c r="J80" s="91">
        <f>('14.1н'!J80+'14.2н'!J80+'14.3н'!J80)/3</f>
        <v>0</v>
      </c>
      <c r="K80" s="91">
        <f>('14.1н'!K80+'14.2н'!K80+'14.3н'!K80)/3</f>
        <v>0</v>
      </c>
      <c r="L80" s="91">
        <f>('14.1н'!L80+'14.2н'!L80+'14.3н'!L80)/3</f>
        <v>0</v>
      </c>
      <c r="M80" s="91">
        <f>('14.1н'!M80+'14.2н'!M80+'14.3н'!M80)/3</f>
        <v>0</v>
      </c>
      <c r="N80" s="91">
        <f>('14.1н'!N80+'14.2н'!N80+'14.3н'!N80)/3</f>
        <v>0</v>
      </c>
      <c r="O80" s="91">
        <f>('14.1н'!O80+'14.2н'!O80+'14.3н'!O80)/3</f>
        <v>0</v>
      </c>
      <c r="P80" s="91">
        <f>('14.1н'!P80+'14.2н'!P80+'14.3н'!P80)/3</f>
        <v>0</v>
      </c>
      <c r="Q80" s="91">
        <f>('14.1н'!Q80+'14.2н'!Q80+'14.3н'!Q80)/3</f>
        <v>0</v>
      </c>
      <c r="R80" s="91">
        <f>('14.1н'!B80+'14.2н'!B80+'14.3н'!B80)/3</f>
        <v>9.3832120450454859E-2</v>
      </c>
    </row>
    <row r="81" spans="1:18" x14ac:dyDescent="0.25">
      <c r="A81" s="84">
        <v>80</v>
      </c>
      <c r="B81" s="84" t="s">
        <v>80</v>
      </c>
      <c r="C81" s="91" t="e">
        <f>('14.1н'!#REF!+'14.2н'!#REF!+'14.3н'!#REF!)/3</f>
        <v>#REF!</v>
      </c>
      <c r="D81" s="91" t="e">
        <f>('14.1н'!#REF!+'14.2н'!#REF!+'14.3н'!#REF!)/3</f>
        <v>#REF!</v>
      </c>
      <c r="E81" s="91">
        <f>('14.1н'!E81+'14.2н'!E81+'14.3н'!E81)/3</f>
        <v>0</v>
      </c>
      <c r="F81" s="91">
        <f>('14.1н'!F81+'14.2н'!F81+'14.3н'!F81)/3</f>
        <v>0</v>
      </c>
      <c r="G81" s="91">
        <f>('14.1н'!G81+'14.2н'!G81+'14.3н'!G81)/3</f>
        <v>0</v>
      </c>
      <c r="H81" s="91">
        <f>('14.1н'!H81+'14.2н'!H81+'14.3н'!H81)/3</f>
        <v>0</v>
      </c>
      <c r="I81" s="91">
        <f>('14.1н'!I81+'14.2н'!I81+'14.3н'!I81)/3</f>
        <v>0</v>
      </c>
      <c r="J81" s="91">
        <f>('14.1н'!J81+'14.2н'!J81+'14.3н'!J81)/3</f>
        <v>0</v>
      </c>
      <c r="K81" s="91">
        <f>('14.1н'!K81+'14.2н'!K81+'14.3н'!K81)/3</f>
        <v>0</v>
      </c>
      <c r="L81" s="91">
        <f>('14.1н'!L81+'14.2н'!L81+'14.3н'!L81)/3</f>
        <v>0</v>
      </c>
      <c r="M81" s="91">
        <f>('14.1н'!M81+'14.2н'!M81+'14.3н'!M81)/3</f>
        <v>0</v>
      </c>
      <c r="N81" s="91"/>
      <c r="O81" s="91">
        <f>('14.1н'!O81+'14.2н'!O81+'14.3н'!O81)/3</f>
        <v>0</v>
      </c>
      <c r="P81" s="91">
        <f>('14.1н'!P81+'14.2н'!P81+'14.3н'!P81)/3</f>
        <v>0</v>
      </c>
      <c r="Q81" s="91">
        <f>('14.1н'!Q81+'14.2н'!Q81+'14.3н'!Q81)/3</f>
        <v>0</v>
      </c>
      <c r="R81" s="91">
        <f>('14.1н'!B81+'14.2н'!B81+'14.3н'!B81)/3</f>
        <v>0.2260641550543098</v>
      </c>
    </row>
    <row r="82" spans="1:18" x14ac:dyDescent="0.25">
      <c r="A82" s="84">
        <v>81</v>
      </c>
      <c r="B82" s="84" t="s">
        <v>81</v>
      </c>
      <c r="C82" s="91"/>
      <c r="D82" s="91" t="e">
        <f>('14.1н'!#REF!+'14.2н'!#REF!+'14.3н'!#REF!)/3</f>
        <v>#REF!</v>
      </c>
      <c r="E82" s="91">
        <f>('14.1н'!E82+'14.2н'!E82+'14.3н'!E82)/3</f>
        <v>0</v>
      </c>
      <c r="F82" s="91">
        <f>('14.1н'!F82+'14.2н'!F82+'14.3н'!F82)/3</f>
        <v>0</v>
      </c>
      <c r="G82" s="91">
        <f>('14.1н'!G82+'14.2н'!G82+'14.3н'!G82)/3</f>
        <v>0</v>
      </c>
      <c r="H82" s="91">
        <f>('14.1н'!H82+'14.2н'!H82+'14.3н'!H82)/3</f>
        <v>0</v>
      </c>
      <c r="I82" s="91"/>
      <c r="J82" s="91">
        <f>('14.1н'!J82+'14.2н'!J82+'14.3н'!J82)/3</f>
        <v>0</v>
      </c>
      <c r="K82" s="91"/>
      <c r="L82" s="91">
        <f>('14.1н'!L82+'14.2н'!L82+'14.3н'!L82)/3</f>
        <v>0</v>
      </c>
      <c r="M82" s="91">
        <f>('14.1н'!M82+'14.2н'!M82+'14.3н'!M82)/3</f>
        <v>0</v>
      </c>
      <c r="N82" s="91">
        <f>('14.1н'!N82+'14.2н'!N82+'14.3н'!N82)/3</f>
        <v>0</v>
      </c>
      <c r="O82" s="91">
        <f>('14.1н'!O82+'14.2н'!O82+'14.3н'!O82)/3</f>
        <v>0</v>
      </c>
      <c r="P82" s="91">
        <f>('14.1н'!P82+'14.2н'!P82+'14.3н'!P82)/3</f>
        <v>0</v>
      </c>
      <c r="Q82" s="91">
        <f>('14.1н'!Q82+'14.2н'!Q82+'14.3н'!Q82)/3</f>
        <v>0</v>
      </c>
      <c r="R82" s="91">
        <f>('14.1н'!B82+'14.2н'!B82+'14.3н'!B82)/3</f>
        <v>4.4408166905799934E-2</v>
      </c>
    </row>
    <row r="83" spans="1:18" x14ac:dyDescent="0.25">
      <c r="A83" s="84">
        <v>82</v>
      </c>
      <c r="B83" s="84" t="s">
        <v>82</v>
      </c>
      <c r="C83" s="91"/>
      <c r="D83" s="91" t="e">
        <f>('14.1н'!#REF!+'14.2н'!#REF!+'14.3н'!#REF!)/3</f>
        <v>#REF!</v>
      </c>
      <c r="E83" s="91">
        <f>('14.1н'!E83+'14.2н'!E83+'14.3н'!E83)/3</f>
        <v>0</v>
      </c>
      <c r="F83" s="91">
        <f>('14.1н'!F83+'14.2н'!F83+'14.3н'!F83)/3</f>
        <v>0</v>
      </c>
      <c r="G83" s="91">
        <f>('14.1н'!G83+'14.2н'!G83+'14.3н'!G83)/3</f>
        <v>0</v>
      </c>
      <c r="H83" s="91">
        <f>('14.1н'!H83+'14.2н'!H83+'14.3н'!H83)/3</f>
        <v>0</v>
      </c>
      <c r="I83" s="91"/>
      <c r="J83" s="91">
        <f>('14.1н'!J83+'14.2н'!J83+'14.3н'!J83)/3</f>
        <v>0</v>
      </c>
      <c r="K83" s="91">
        <f>('14.1н'!K83+'14.2н'!K83+'14.3н'!K83)/3</f>
        <v>0</v>
      </c>
      <c r="L83" s="91"/>
      <c r="M83" s="91">
        <f>('14.1н'!M83+'14.2н'!M83+'14.3н'!M83)/3</f>
        <v>0</v>
      </c>
      <c r="N83" s="91">
        <f>('14.1н'!N83+'14.2н'!N83+'14.3н'!N83)/3</f>
        <v>0</v>
      </c>
      <c r="O83" s="91">
        <f>('14.1н'!O83+'14.2н'!O83+'14.3н'!O83)/3</f>
        <v>0</v>
      </c>
      <c r="P83" s="91">
        <f>('14.1н'!P83+'14.2н'!P83+'14.3н'!P83)/3</f>
        <v>0</v>
      </c>
      <c r="Q83" s="91">
        <f>('14.1н'!Q83+'14.2н'!Q83+'14.3н'!Q83)/3</f>
        <v>0</v>
      </c>
      <c r="R83" s="91">
        <f>('14.1н'!B83+'14.2н'!B83+'14.3н'!B83)/3</f>
        <v>5.5507656801527298E-2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83"/>
  <sheetViews>
    <sheetView topLeftCell="B55" zoomScaleNormal="100" workbookViewId="0">
      <selection activeCell="G43" sqref="G43"/>
    </sheetView>
  </sheetViews>
  <sheetFormatPr defaultRowHeight="15.75" x14ac:dyDescent="0.25"/>
  <cols>
    <col min="1" max="1" width="9.140625" style="80"/>
    <col min="2" max="2" width="36.140625" style="80" customWidth="1"/>
    <col min="3" max="3" width="9.7109375" style="80" customWidth="1"/>
    <col min="4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91" t="e">
        <f>('15.1н'!#REF!+'15.2н'!#REF!+'15.3н'!#REF!)/3</f>
        <v>#REF!</v>
      </c>
      <c r="D2" s="91" t="e">
        <f>('15.1н'!#REF!+'15.2н'!#REF!+'15.3н'!#REF!)/3</f>
        <v>#REF!</v>
      </c>
      <c r="E2" s="91">
        <f>('15.1н'!E2+'15.2н'!E2+'15.3н'!E2)/3</f>
        <v>0</v>
      </c>
      <c r="F2" s="91">
        <f>('15.1н'!F2+'15.2н'!F2+'15.3н'!F2)/3</f>
        <v>0</v>
      </c>
      <c r="G2" s="91">
        <f>('15.1н'!G2+'15.2н'!G2+'15.3н'!G2)/3</f>
        <v>0</v>
      </c>
      <c r="H2" s="91">
        <f>('15.1н'!H2+'15.2н'!H2+'15.3н'!H2)/3</f>
        <v>0</v>
      </c>
      <c r="I2" s="91">
        <f>('15.1н'!I2+'15.2н'!I2+'15.3н'!I2)/3</f>
        <v>0</v>
      </c>
      <c r="J2" s="91">
        <f>('15.1н'!J2+'15.2н'!J2+'15.3н'!J2)/3</f>
        <v>0</v>
      </c>
      <c r="K2" s="91">
        <f>('15.1н'!K2+'15.2н'!K2+'15.3н'!K2)/3</f>
        <v>0</v>
      </c>
      <c r="L2" s="91">
        <f>('15.1н'!L2+'15.2н'!L2+'15.3н'!L2)/3</f>
        <v>0</v>
      </c>
      <c r="M2" s="91">
        <f>('15.1н'!M2+'15.2н'!M2+'15.3н'!M2)/3</f>
        <v>0</v>
      </c>
      <c r="N2" s="91">
        <f>('15.1н'!N2+'15.2н'!N2+'15.3н'!N2)/3</f>
        <v>0</v>
      </c>
      <c r="O2" s="91">
        <f>('15.1н'!O2+'15.2н'!O2+'15.3н'!O2)/3</f>
        <v>0</v>
      </c>
      <c r="P2" s="91">
        <f>('15.1н'!P2+'15.2н'!P2+'15.3н'!P2)/3</f>
        <v>0</v>
      </c>
      <c r="Q2" s="91">
        <f>('15.1н'!Q2+'15.2н'!Q2+'15.3н'!Q2)/3</f>
        <v>0</v>
      </c>
      <c r="R2" s="91">
        <f>('15.1н'!B2+'15.2н'!B2+'15.3н'!B2)/3</f>
        <v>0.4147416306996492</v>
      </c>
    </row>
    <row r="3" spans="1:18" x14ac:dyDescent="0.25">
      <c r="A3" s="84">
        <v>2</v>
      </c>
      <c r="B3" s="84" t="s">
        <v>2</v>
      </c>
      <c r="C3" s="91" t="e">
        <f>('15.1н'!#REF!+'15.2н'!#REF!+'15.3н'!#REF!)/3</f>
        <v>#REF!</v>
      </c>
      <c r="D3" s="91" t="e">
        <f>('15.1н'!#REF!+'15.2н'!#REF!+'15.3н'!#REF!)/3</f>
        <v>#REF!</v>
      </c>
      <c r="E3" s="91">
        <f>('15.1н'!E3+'15.2н'!E3+'15.3н'!E3)/3</f>
        <v>0</v>
      </c>
      <c r="F3" s="91">
        <f>('15.1н'!F3+'15.2н'!F3+'15.3н'!F3)/3</f>
        <v>0</v>
      </c>
      <c r="G3" s="91">
        <f>('15.1н'!G3+'15.2н'!G3+'15.3н'!G3)/3</f>
        <v>0</v>
      </c>
      <c r="H3" s="91">
        <f>('15.1н'!H3+'15.2н'!H3+'15.3н'!H3)/3</f>
        <v>0</v>
      </c>
      <c r="I3" s="91">
        <f>('15.1н'!I3+'15.2н'!I3+'15.3н'!I3)/3</f>
        <v>0</v>
      </c>
      <c r="J3" s="91">
        <f>('15.1н'!J3+'15.2н'!J3+'15.3н'!J3)/3</f>
        <v>0</v>
      </c>
      <c r="K3" s="91">
        <f>('15.1н'!K3+'15.2н'!K3+'15.3н'!K3)/3</f>
        <v>0</v>
      </c>
      <c r="L3" s="91">
        <f>('15.1н'!L3+'15.2н'!L3+'15.3н'!L3)/3</f>
        <v>0</v>
      </c>
      <c r="M3" s="91">
        <f>('15.1н'!M3+'15.2н'!M3+'15.3н'!M3)/3</f>
        <v>0</v>
      </c>
      <c r="N3" s="91">
        <f>('15.1н'!N3+'15.2н'!N3+'15.3н'!N3)/3</f>
        <v>0</v>
      </c>
      <c r="O3" s="91">
        <f>('15.1н'!O3+'15.2н'!O3+'15.3н'!O3)/3</f>
        <v>0</v>
      </c>
      <c r="P3" s="91">
        <f>('15.1н'!P3+'15.2н'!P3+'15.3н'!P3)/3</f>
        <v>0</v>
      </c>
      <c r="Q3" s="91">
        <f>('15.1н'!Q3+'15.2н'!Q3+'15.3н'!Q3)/3</f>
        <v>0</v>
      </c>
      <c r="R3" s="91">
        <f>('15.1н'!B3+'15.2н'!B3+'15.3н'!B3)/3</f>
        <v>0.40231894118776373</v>
      </c>
    </row>
    <row r="4" spans="1:18" x14ac:dyDescent="0.25">
      <c r="A4" s="84">
        <v>3</v>
      </c>
      <c r="B4" s="84" t="s">
        <v>3</v>
      </c>
      <c r="C4" s="91" t="e">
        <f>('15.1н'!#REF!+'15.2н'!#REF!+'15.3н'!#REF!)/3</f>
        <v>#REF!</v>
      </c>
      <c r="D4" s="91" t="e">
        <f>('15.1н'!#REF!+'15.2н'!#REF!+'15.3н'!#REF!)/3</f>
        <v>#REF!</v>
      </c>
      <c r="E4" s="91">
        <f>('15.1н'!E4+'15.2н'!E4+'15.3н'!E4)/3</f>
        <v>0</v>
      </c>
      <c r="F4" s="91">
        <f>('15.1н'!F4+'15.2н'!F4+'15.3н'!F4)/3</f>
        <v>0</v>
      </c>
      <c r="G4" s="91">
        <f>('15.1н'!G4+'15.2н'!G4+'15.3н'!G4)/3</f>
        <v>0</v>
      </c>
      <c r="H4" s="91">
        <f>('15.1н'!H4+'15.2н'!H4+'15.3н'!H4)/3</f>
        <v>0</v>
      </c>
      <c r="I4" s="91">
        <f>('15.1н'!I4+'15.2н'!I4+'15.3н'!I4)/3</f>
        <v>0</v>
      </c>
      <c r="J4" s="91">
        <f>('15.1н'!J4+'15.2н'!J4+'15.3н'!J4)/3</f>
        <v>0</v>
      </c>
      <c r="K4" s="91">
        <f>('15.1н'!K4+'15.2н'!K4+'15.3н'!K4)/3</f>
        <v>0</v>
      </c>
      <c r="L4" s="91">
        <f>('15.1н'!L4+'15.2н'!L4+'15.3н'!L4)/3</f>
        <v>0</v>
      </c>
      <c r="M4" s="91">
        <f>('15.1н'!M4+'15.2н'!M4+'15.3н'!M4)/3</f>
        <v>0</v>
      </c>
      <c r="N4" s="91">
        <f>('15.1н'!N4+'15.2н'!N4+'15.3н'!N4)/3</f>
        <v>0</v>
      </c>
      <c r="O4" s="91">
        <f>('15.1н'!O4+'15.2н'!O4+'15.3н'!O4)/3</f>
        <v>0</v>
      </c>
      <c r="P4" s="91">
        <f>('15.1н'!P4+'15.2н'!P4+'15.3н'!P4)/3</f>
        <v>0</v>
      </c>
      <c r="Q4" s="91">
        <f>('15.1н'!Q4+'15.2н'!Q4+'15.3н'!Q4)/3</f>
        <v>0</v>
      </c>
      <c r="R4" s="91">
        <f>('15.1н'!B4+'15.2н'!B4+'15.3н'!B4)/3</f>
        <v>0.38194266727927345</v>
      </c>
    </row>
    <row r="5" spans="1:18" x14ac:dyDescent="0.25">
      <c r="A5" s="84">
        <v>4</v>
      </c>
      <c r="B5" s="84" t="s">
        <v>4</v>
      </c>
      <c r="C5" s="91" t="e">
        <f>('15.1н'!#REF!+'15.2н'!#REF!+'15.3н'!#REF!)/3</f>
        <v>#REF!</v>
      </c>
      <c r="D5" s="91" t="e">
        <f>('15.1н'!#REF!+'15.2н'!#REF!+'15.3н'!#REF!)/3</f>
        <v>#REF!</v>
      </c>
      <c r="E5" s="91">
        <f>('15.1н'!E5+'15.2н'!E5+'15.3н'!E5)/3</f>
        <v>0</v>
      </c>
      <c r="F5" s="91">
        <f>('15.1н'!F5+'15.2н'!F5+'15.3н'!F5)/3</f>
        <v>0</v>
      </c>
      <c r="G5" s="91">
        <f>('15.1н'!G5+'15.2н'!G5+'15.3н'!G5)/3</f>
        <v>0</v>
      </c>
      <c r="H5" s="91">
        <f>('15.1н'!H5+'15.2н'!H5+'15.3н'!H5)/3</f>
        <v>0</v>
      </c>
      <c r="I5" s="91">
        <f>('15.1н'!I5+'15.2н'!I5+'15.3н'!I5)/3</f>
        <v>0</v>
      </c>
      <c r="J5" s="91">
        <f>('15.1н'!J5+'15.2н'!J5+'15.3н'!J5)/3</f>
        <v>0</v>
      </c>
      <c r="K5" s="91">
        <f>('15.1н'!K5+'15.2н'!K5+'15.3н'!K5)/3</f>
        <v>0</v>
      </c>
      <c r="L5" s="91">
        <f>('15.1н'!L5+'15.2н'!L5+'15.3н'!L5)/3</f>
        <v>0</v>
      </c>
      <c r="M5" s="91">
        <f>('15.1н'!M5+'15.2н'!M5+'15.3н'!M5)/3</f>
        <v>0</v>
      </c>
      <c r="N5" s="91">
        <f>('15.1н'!N5+'15.2н'!N5+'15.3н'!N5)/3</f>
        <v>0</v>
      </c>
      <c r="O5" s="91">
        <f>('15.1н'!O5+'15.2н'!O5+'15.3н'!O5)/3</f>
        <v>0</v>
      </c>
      <c r="P5" s="91">
        <f>('15.1н'!P5+'15.2н'!P5+'15.3н'!P5)/3</f>
        <v>0</v>
      </c>
      <c r="Q5" s="91">
        <f>('15.1н'!Q5+'15.2н'!Q5+'15.3н'!Q5)/3</f>
        <v>0</v>
      </c>
      <c r="R5" s="91">
        <f>('15.1н'!B5+'15.2н'!B5+'15.3н'!B5)/3</f>
        <v>0.41655715136526889</v>
      </c>
    </row>
    <row r="6" spans="1:18" x14ac:dyDescent="0.25">
      <c r="A6" s="84">
        <v>5</v>
      </c>
      <c r="B6" s="84" t="s">
        <v>5</v>
      </c>
      <c r="C6" s="91" t="e">
        <f>('15.1н'!#REF!+'15.2н'!#REF!+'15.3н'!#REF!)/3</f>
        <v>#REF!</v>
      </c>
      <c r="D6" s="91" t="e">
        <f>('15.1н'!#REF!+'15.2н'!#REF!+'15.3н'!#REF!)/3</f>
        <v>#REF!</v>
      </c>
      <c r="E6" s="91">
        <f>('15.1н'!E6+'15.2н'!E6+'15.3н'!E6)/3</f>
        <v>0</v>
      </c>
      <c r="F6" s="91">
        <f>('15.1н'!F6+'15.2н'!F6+'15.3н'!F6)/3</f>
        <v>0</v>
      </c>
      <c r="G6" s="91">
        <f>('15.1н'!G6+'15.2н'!G6+'15.3н'!G6)/3</f>
        <v>0</v>
      </c>
      <c r="H6" s="91">
        <f>('15.1н'!H6+'15.2н'!H6+'15.3н'!H6)/3</f>
        <v>0</v>
      </c>
      <c r="I6" s="91">
        <f>('15.1н'!I6+'15.2н'!I6+'15.3н'!I6)/3</f>
        <v>0</v>
      </c>
      <c r="J6" s="91">
        <f>('15.1н'!J6+'15.2н'!J6+'15.3н'!J6)/3</f>
        <v>0</v>
      </c>
      <c r="K6" s="91">
        <f>('15.1н'!K6+'15.2н'!K6+'15.3н'!K6)/3</f>
        <v>0</v>
      </c>
      <c r="L6" s="91">
        <f>('15.1н'!L6+'15.2н'!L6+'15.3н'!L6)/3</f>
        <v>0</v>
      </c>
      <c r="M6" s="91">
        <f>('15.1н'!M6+'15.2н'!M6+'15.3н'!M6)/3</f>
        <v>0</v>
      </c>
      <c r="N6" s="91">
        <f>('15.1н'!N6+'15.2н'!N6+'15.3н'!N6)/3</f>
        <v>0</v>
      </c>
      <c r="O6" s="91">
        <f>('15.1н'!O6+'15.2н'!O6+'15.3н'!O6)/3</f>
        <v>0</v>
      </c>
      <c r="P6" s="91">
        <f>('15.1н'!P6+'15.2н'!P6+'15.3н'!P6)/3</f>
        <v>0</v>
      </c>
      <c r="Q6" s="91">
        <f>('15.1н'!Q6+'15.2н'!Q6+'15.3н'!Q6)/3</f>
        <v>0</v>
      </c>
      <c r="R6" s="91">
        <f>('15.1н'!B6+'15.2н'!B6+'15.3н'!B6)/3</f>
        <v>0.35904651470618482</v>
      </c>
    </row>
    <row r="7" spans="1:18" x14ac:dyDescent="0.25">
      <c r="A7" s="84">
        <v>6</v>
      </c>
      <c r="B7" s="84" t="s">
        <v>6</v>
      </c>
      <c r="C7" s="91" t="e">
        <f>('15.1н'!#REF!+'15.2н'!#REF!+'15.3н'!#REF!)/3</f>
        <v>#REF!</v>
      </c>
      <c r="D7" s="91" t="e">
        <f>('15.1н'!#REF!+'15.2н'!#REF!+'15.3н'!#REF!)/3</f>
        <v>#REF!</v>
      </c>
      <c r="E7" s="91">
        <f>('15.1н'!E7+'15.2н'!E7+'15.3н'!E7)/3</f>
        <v>0</v>
      </c>
      <c r="F7" s="91">
        <f>('15.1н'!F7+'15.2н'!F7+'15.3н'!F7)/3</f>
        <v>0</v>
      </c>
      <c r="G7" s="91">
        <f>('15.1н'!G7+'15.2н'!G7+'15.3н'!G7)/3</f>
        <v>0</v>
      </c>
      <c r="H7" s="91">
        <f>('15.1н'!H7+'15.2н'!H7+'15.3н'!H7)/3</f>
        <v>0</v>
      </c>
      <c r="I7" s="91">
        <f>('15.1н'!I7+'15.2н'!I7+'15.3н'!I7)/3</f>
        <v>0</v>
      </c>
      <c r="J7" s="91">
        <f>('15.1н'!J7+'15.2н'!J7+'15.3н'!J7)/3</f>
        <v>0</v>
      </c>
      <c r="K7" s="91">
        <f>('15.1н'!K7+'15.2н'!K7+'15.3н'!K7)/3</f>
        <v>0</v>
      </c>
      <c r="L7" s="91">
        <f>('15.1н'!L7+'15.2н'!L7+'15.3н'!L7)/3</f>
        <v>0</v>
      </c>
      <c r="M7" s="91">
        <f>('15.1н'!M7+'15.2н'!M7+'15.3н'!M7)/3</f>
        <v>0</v>
      </c>
      <c r="N7" s="91">
        <f>('15.1н'!N7+'15.2н'!N7+'15.3н'!N7)/3</f>
        <v>0</v>
      </c>
      <c r="O7" s="91">
        <f>('15.1н'!O7+'15.2н'!O7+'15.3н'!O7)/3</f>
        <v>0</v>
      </c>
      <c r="P7" s="91">
        <f>('15.1н'!P7+'15.2н'!P7+'15.3н'!P7)/3</f>
        <v>0</v>
      </c>
      <c r="Q7" s="91">
        <f>('15.1н'!Q7+'15.2н'!Q7+'15.3н'!Q7)/3</f>
        <v>0</v>
      </c>
      <c r="R7" s="91">
        <f>('15.1н'!B7+'15.2н'!B7+'15.3н'!B7)/3</f>
        <v>0.4360968638113436</v>
      </c>
    </row>
    <row r="8" spans="1:18" x14ac:dyDescent="0.25">
      <c r="A8" s="84">
        <v>7</v>
      </c>
      <c r="B8" s="84" t="s">
        <v>7</v>
      </c>
      <c r="C8" s="91" t="e">
        <f>('15.1н'!#REF!+'15.2н'!#REF!+'15.3н'!#REF!)/3</f>
        <v>#REF!</v>
      </c>
      <c r="D8" s="91" t="e">
        <f>('15.1н'!#REF!+'15.2н'!#REF!+'15.3н'!#REF!)/3</f>
        <v>#REF!</v>
      </c>
      <c r="E8" s="91">
        <f>('15.1н'!E8+'15.2н'!E8+'15.3н'!E8)/3</f>
        <v>0</v>
      </c>
      <c r="F8" s="91">
        <f>('15.1н'!F8+'15.2н'!F8+'15.3н'!F8)/3</f>
        <v>0</v>
      </c>
      <c r="G8" s="91">
        <f>('15.1н'!G8+'15.2н'!G8+'15.3н'!G8)/3</f>
        <v>0</v>
      </c>
      <c r="H8" s="91">
        <f>('15.1н'!H8+'15.2н'!H8+'15.3н'!H8)/3</f>
        <v>0</v>
      </c>
      <c r="I8" s="91">
        <f>('15.1н'!I8+'15.2н'!I8+'15.3н'!I8)/3</f>
        <v>0</v>
      </c>
      <c r="J8" s="91">
        <f>('15.1н'!J8+'15.2н'!J8+'15.3н'!J8)/3</f>
        <v>0</v>
      </c>
      <c r="K8" s="91">
        <f>('15.1н'!K8+'15.2н'!K8+'15.3н'!K8)/3</f>
        <v>0</v>
      </c>
      <c r="L8" s="91">
        <f>('15.1н'!L8+'15.2н'!L8+'15.3н'!L8)/3</f>
        <v>0</v>
      </c>
      <c r="M8" s="91">
        <f>('15.1н'!M8+'15.2н'!M8+'15.3н'!M8)/3</f>
        <v>0</v>
      </c>
      <c r="N8" s="91">
        <f>('15.1н'!N8+'15.2н'!N8+'15.3н'!N8)/3</f>
        <v>0</v>
      </c>
      <c r="O8" s="91">
        <f>('15.1н'!O8+'15.2н'!O8+'15.3н'!O8)/3</f>
        <v>0</v>
      </c>
      <c r="P8" s="91">
        <f>('15.1н'!P8+'15.2н'!P8+'15.3н'!P8)/3</f>
        <v>0</v>
      </c>
      <c r="Q8" s="91">
        <f>('15.1н'!Q8+'15.2н'!Q8+'15.3н'!Q8)/3</f>
        <v>0</v>
      </c>
      <c r="R8" s="91">
        <f>('15.1н'!B8+'15.2н'!B8+'15.3н'!B8)/3</f>
        <v>0.34127791101960431</v>
      </c>
    </row>
    <row r="9" spans="1:18" x14ac:dyDescent="0.25">
      <c r="A9" s="84">
        <v>8</v>
      </c>
      <c r="B9" s="84" t="s">
        <v>8</v>
      </c>
      <c r="C9" s="91" t="e">
        <f>('15.1н'!#REF!+'15.2н'!#REF!+'15.3н'!#REF!)/3</f>
        <v>#REF!</v>
      </c>
      <c r="D9" s="91" t="e">
        <f>('15.1н'!#REF!+'15.2н'!#REF!+'15.3н'!#REF!)/3</f>
        <v>#REF!</v>
      </c>
      <c r="E9" s="91">
        <f>('15.1н'!E9+'15.2н'!E9+'15.3н'!E9)/3</f>
        <v>0</v>
      </c>
      <c r="F9" s="91">
        <f>('15.1н'!F9+'15.2н'!F9+'15.3н'!F9)/3</f>
        <v>0</v>
      </c>
      <c r="G9" s="91">
        <f>('15.1н'!G9+'15.2н'!G9+'15.3н'!G9)/3</f>
        <v>0</v>
      </c>
      <c r="H9" s="91">
        <f>('15.1н'!H9+'15.2н'!H9+'15.3н'!H9)/3</f>
        <v>0</v>
      </c>
      <c r="I9" s="91">
        <f>('15.1н'!I9+'15.2н'!I9+'15.3н'!I9)/3</f>
        <v>0</v>
      </c>
      <c r="J9" s="91">
        <f>('15.1н'!J9+'15.2н'!J9+'15.3н'!J9)/3</f>
        <v>0</v>
      </c>
      <c r="K9" s="91">
        <f>('15.1н'!K9+'15.2н'!K9+'15.3н'!K9)/3</f>
        <v>0</v>
      </c>
      <c r="L9" s="91">
        <f>('15.1н'!L9+'15.2н'!L9+'15.3н'!L9)/3</f>
        <v>0</v>
      </c>
      <c r="M9" s="91">
        <f>('15.1н'!M9+'15.2н'!M9+'15.3н'!M9)/3</f>
        <v>0</v>
      </c>
      <c r="N9" s="91">
        <f>('15.1н'!N9+'15.2н'!N9+'15.3н'!N9)/3</f>
        <v>0</v>
      </c>
      <c r="O9" s="91">
        <f>('15.1н'!O9+'15.2н'!O9+'15.3н'!O9)/3</f>
        <v>0</v>
      </c>
      <c r="P9" s="91">
        <f>('15.1н'!P9+'15.2н'!P9+'15.3н'!P9)/3</f>
        <v>0</v>
      </c>
      <c r="Q9" s="91">
        <f>('15.1н'!Q9+'15.2н'!Q9+'15.3н'!Q9)/3</f>
        <v>0</v>
      </c>
      <c r="R9" s="91">
        <f>('15.1н'!B9+'15.2н'!B9+'15.3н'!B9)/3</f>
        <v>0.36861978583174509</v>
      </c>
    </row>
    <row r="10" spans="1:18" x14ac:dyDescent="0.25">
      <c r="A10" s="84">
        <v>9</v>
      </c>
      <c r="B10" s="84" t="s">
        <v>9</v>
      </c>
      <c r="C10" s="91" t="e">
        <f>('15.1н'!#REF!+'15.2н'!#REF!+'15.3н'!#REF!)/3</f>
        <v>#REF!</v>
      </c>
      <c r="D10" s="91" t="e">
        <f>('15.1н'!#REF!+'15.2н'!#REF!+'15.3н'!#REF!)/3</f>
        <v>#REF!</v>
      </c>
      <c r="E10" s="91">
        <f>('15.1н'!E10+'15.2н'!E10+'15.3н'!E10)/3</f>
        <v>0</v>
      </c>
      <c r="F10" s="91">
        <f>('15.1н'!F10+'15.2н'!F10+'15.3н'!F10)/3</f>
        <v>0</v>
      </c>
      <c r="G10" s="91">
        <f>('15.1н'!G10+'15.2н'!G10+'15.3н'!G10)/3</f>
        <v>0</v>
      </c>
      <c r="H10" s="91">
        <f>('15.1н'!H10+'15.2н'!H10+'15.3н'!H10)/3</f>
        <v>0</v>
      </c>
      <c r="I10" s="91">
        <f>('15.1н'!I10+'15.2н'!I10+'15.3н'!I10)/3</f>
        <v>0</v>
      </c>
      <c r="J10" s="91">
        <f>('15.1н'!J10+'15.2н'!J10+'15.3н'!J10)/3</f>
        <v>0</v>
      </c>
      <c r="K10" s="91">
        <f>('15.1н'!K10+'15.2н'!K10+'15.3н'!K10)/3</f>
        <v>0</v>
      </c>
      <c r="L10" s="91">
        <f>('15.1н'!L10+'15.2н'!L10+'15.3н'!L10)/3</f>
        <v>0</v>
      </c>
      <c r="M10" s="91">
        <f>('15.1н'!M10+'15.2н'!M10+'15.3н'!M10)/3</f>
        <v>0</v>
      </c>
      <c r="N10" s="91">
        <f>('15.1н'!N10+'15.2н'!N10+'15.3н'!N10)/3</f>
        <v>0</v>
      </c>
      <c r="O10" s="91">
        <f>('15.1н'!O10+'15.2н'!O10+'15.3н'!O10)/3</f>
        <v>0</v>
      </c>
      <c r="P10" s="91">
        <f>('15.1н'!P10+'15.2н'!P10+'15.3н'!P10)/3</f>
        <v>0</v>
      </c>
      <c r="Q10" s="91">
        <f>('15.1н'!Q10+'15.2н'!Q10+'15.3н'!Q10)/3</f>
        <v>0</v>
      </c>
      <c r="R10" s="91">
        <f>('15.1н'!B10+'15.2н'!B10+'15.3н'!B10)/3</f>
        <v>0.41001453815215694</v>
      </c>
    </row>
    <row r="11" spans="1:18" x14ac:dyDescent="0.25">
      <c r="A11" s="84">
        <v>10</v>
      </c>
      <c r="B11" s="84" t="s">
        <v>10</v>
      </c>
      <c r="C11" s="91" t="e">
        <f>('15.1н'!#REF!+'15.2н'!#REF!+'15.3н'!#REF!)/3</f>
        <v>#REF!</v>
      </c>
      <c r="D11" s="91" t="e">
        <f>('15.1н'!#REF!+'15.2н'!#REF!+'15.3н'!#REF!)/3</f>
        <v>#REF!</v>
      </c>
      <c r="E11" s="91">
        <f>('15.1н'!E11+'15.2н'!E11+'15.3н'!E11)/3</f>
        <v>0</v>
      </c>
      <c r="F11" s="91">
        <f>('15.1н'!F11+'15.2н'!F11+'15.3н'!F11)/3</f>
        <v>0</v>
      </c>
      <c r="G11" s="91">
        <f>('15.1н'!G11+'15.2н'!G11+'15.3н'!G11)/3</f>
        <v>0</v>
      </c>
      <c r="H11" s="91">
        <f>('15.1н'!H11+'15.2н'!H11+'15.3н'!H11)/3</f>
        <v>0</v>
      </c>
      <c r="I11" s="91">
        <f>('15.1н'!I11+'15.2н'!I11+'15.3н'!I11)/3</f>
        <v>0</v>
      </c>
      <c r="J11" s="91">
        <f>('15.1н'!J11+'15.2н'!J11+'15.3н'!J11)/3</f>
        <v>0</v>
      </c>
      <c r="K11" s="91">
        <f>('15.1н'!K11+'15.2н'!K11+'15.3н'!K11)/3</f>
        <v>0</v>
      </c>
      <c r="L11" s="91">
        <f>('15.1н'!L11+'15.2н'!L11+'15.3н'!L11)/3</f>
        <v>0</v>
      </c>
      <c r="M11" s="91">
        <f>('15.1н'!M11+'15.2н'!M11+'15.3н'!M11)/3</f>
        <v>0</v>
      </c>
      <c r="N11" s="91">
        <f>('15.1н'!N11+'15.2н'!N11+'15.3н'!N11)/3</f>
        <v>0</v>
      </c>
      <c r="O11" s="91">
        <f>('15.1н'!O11+'15.2н'!O11+'15.3н'!O11)/3</f>
        <v>0</v>
      </c>
      <c r="P11" s="91">
        <f>('15.1н'!P11+'15.2н'!P11+'15.3н'!P11)/3</f>
        <v>0</v>
      </c>
      <c r="Q11" s="91">
        <f>('15.1н'!Q11+'15.2н'!Q11+'15.3н'!Q11)/3</f>
        <v>0</v>
      </c>
      <c r="R11" s="91">
        <f>('15.1н'!B11+'15.2н'!B11+'15.3н'!B11)/3</f>
        <v>0.55568139567437125</v>
      </c>
    </row>
    <row r="12" spans="1:18" x14ac:dyDescent="0.25">
      <c r="A12" s="84">
        <v>11</v>
      </c>
      <c r="B12" s="84" t="s">
        <v>11</v>
      </c>
      <c r="C12" s="91" t="e">
        <f>('15.1н'!#REF!+'15.2н'!#REF!+'15.3н'!#REF!)/3</f>
        <v>#REF!</v>
      </c>
      <c r="D12" s="91" t="e">
        <f>('15.1н'!#REF!+'15.2н'!#REF!+'15.3н'!#REF!)/3</f>
        <v>#REF!</v>
      </c>
      <c r="E12" s="91">
        <f>('15.1н'!E12+'15.2н'!E12+'15.3н'!E12)/3</f>
        <v>0</v>
      </c>
      <c r="F12" s="91">
        <f>('15.1н'!F12+'15.2н'!F12+'15.3н'!F12)/3</f>
        <v>0</v>
      </c>
      <c r="G12" s="91">
        <f>('15.1н'!G12+'15.2н'!G12+'15.3н'!G12)/3</f>
        <v>0</v>
      </c>
      <c r="H12" s="91">
        <f>('15.1н'!H12+'15.2н'!H12+'15.3н'!H12)/3</f>
        <v>0</v>
      </c>
      <c r="I12" s="91">
        <f>('15.1н'!I12+'15.2н'!I12+'15.3н'!I12)/3</f>
        <v>0</v>
      </c>
      <c r="J12" s="91">
        <f>('15.1н'!J12+'15.2н'!J12+'15.3н'!J12)/3</f>
        <v>0</v>
      </c>
      <c r="K12" s="91">
        <f>('15.1н'!K12+'15.2н'!K12+'15.3н'!K12)/3</f>
        <v>0</v>
      </c>
      <c r="L12" s="91">
        <f>('15.1н'!L12+'15.2н'!L12+'15.3н'!L12)/3</f>
        <v>0</v>
      </c>
      <c r="M12" s="91">
        <f>('15.1н'!M12+'15.2н'!M12+'15.3н'!M12)/3</f>
        <v>0</v>
      </c>
      <c r="N12" s="91">
        <f>('15.1н'!N12+'15.2н'!N12+'15.3н'!N12)/3</f>
        <v>0</v>
      </c>
      <c r="O12" s="91">
        <f>('15.1н'!O12+'15.2н'!O12+'15.3н'!O12)/3</f>
        <v>0</v>
      </c>
      <c r="P12" s="91">
        <f>('15.1н'!P12+'15.2н'!P12+'15.3н'!P12)/3</f>
        <v>0</v>
      </c>
      <c r="Q12" s="91">
        <f>('15.1н'!Q12+'15.2н'!Q12+'15.3н'!Q12)/3</f>
        <v>0</v>
      </c>
      <c r="R12" s="91">
        <f>('15.1н'!B12+'15.2н'!B12+'15.3н'!B12)/3</f>
        <v>0.33761546676456017</v>
      </c>
    </row>
    <row r="13" spans="1:18" x14ac:dyDescent="0.25">
      <c r="A13" s="84">
        <v>12</v>
      </c>
      <c r="B13" s="84" t="s">
        <v>12</v>
      </c>
      <c r="C13" s="91" t="e">
        <f>('15.1н'!#REF!+'15.2н'!#REF!+'15.3н'!#REF!)/3</f>
        <v>#REF!</v>
      </c>
      <c r="D13" s="91" t="e">
        <f>('15.1н'!#REF!+'15.2н'!#REF!+'15.3н'!#REF!)/3</f>
        <v>#REF!</v>
      </c>
      <c r="E13" s="91">
        <f>('15.1н'!E13+'15.2н'!E13+'15.3н'!E13)/3</f>
        <v>0</v>
      </c>
      <c r="F13" s="91">
        <f>('15.1н'!F13+'15.2н'!F13+'15.3н'!F13)/3</f>
        <v>0</v>
      </c>
      <c r="G13" s="91">
        <f>('15.1н'!G13+'15.2н'!G13+'15.3н'!G13)/3</f>
        <v>0</v>
      </c>
      <c r="H13" s="91">
        <f>('15.1н'!H13+'15.2н'!H13+'15.3н'!H13)/3</f>
        <v>0</v>
      </c>
      <c r="I13" s="91">
        <f>('15.1н'!I13+'15.2н'!I13+'15.3н'!I13)/3</f>
        <v>0</v>
      </c>
      <c r="J13" s="91">
        <f>('15.1н'!J13+'15.2н'!J13+'15.3н'!J13)/3</f>
        <v>0</v>
      </c>
      <c r="K13" s="91">
        <f>('15.1н'!K13+'15.2н'!K13+'15.3н'!K13)/3</f>
        <v>0</v>
      </c>
      <c r="L13" s="91">
        <f>('15.1н'!L13+'15.2н'!L13+'15.3н'!L13)/3</f>
        <v>0</v>
      </c>
      <c r="M13" s="91">
        <f>('15.1н'!M13+'15.2н'!M13+'15.3н'!M13)/3</f>
        <v>0</v>
      </c>
      <c r="N13" s="91">
        <f>('15.1н'!N13+'15.2н'!N13+'15.3н'!N13)/3</f>
        <v>0</v>
      </c>
      <c r="O13" s="91">
        <f>('15.1н'!O13+'15.2н'!O13+'15.3н'!O13)/3</f>
        <v>0</v>
      </c>
      <c r="P13" s="91">
        <f>('15.1н'!P13+'15.2н'!P13+'15.3н'!P13)/3</f>
        <v>0</v>
      </c>
      <c r="Q13" s="91">
        <f>('15.1н'!Q13+'15.2н'!Q13+'15.3н'!Q13)/3</f>
        <v>0</v>
      </c>
      <c r="R13" s="91">
        <f>('15.1н'!B13+'15.2н'!B13+'15.3н'!B13)/3</f>
        <v>0.36963118698147407</v>
      </c>
    </row>
    <row r="14" spans="1:18" x14ac:dyDescent="0.25">
      <c r="A14" s="84">
        <v>13</v>
      </c>
      <c r="B14" s="84" t="s">
        <v>13</v>
      </c>
      <c r="C14" s="91" t="e">
        <f>('15.1н'!#REF!+'15.2н'!#REF!+'15.3н'!#REF!)/3</f>
        <v>#REF!</v>
      </c>
      <c r="D14" s="91" t="e">
        <f>('15.1н'!#REF!+'15.2н'!#REF!+'15.3н'!#REF!)/3</f>
        <v>#REF!</v>
      </c>
      <c r="E14" s="91">
        <f>('15.1н'!E14+'15.2н'!E14+'15.3н'!E14)/3</f>
        <v>0</v>
      </c>
      <c r="F14" s="91">
        <f>('15.1н'!F14+'15.2н'!F14+'15.3н'!F14)/3</f>
        <v>0</v>
      </c>
      <c r="G14" s="91">
        <f>('15.1н'!G14+'15.2н'!G14+'15.3н'!G14)/3</f>
        <v>0</v>
      </c>
      <c r="H14" s="91">
        <f>('15.1н'!H14+'15.2н'!H14+'15.3н'!H14)/3</f>
        <v>0</v>
      </c>
      <c r="I14" s="91">
        <f>('15.1н'!I14+'15.2н'!I14+'15.3н'!I14)/3</f>
        <v>0</v>
      </c>
      <c r="J14" s="91">
        <f>('15.1н'!J14+'15.2н'!J14+'15.3н'!J14)/3</f>
        <v>0</v>
      </c>
      <c r="K14" s="91">
        <f>('15.1н'!K14+'15.2н'!K14+'15.3н'!K14)/3</f>
        <v>0</v>
      </c>
      <c r="L14" s="91">
        <f>('15.1н'!L14+'15.2н'!L14+'15.3н'!L14)/3</f>
        <v>0</v>
      </c>
      <c r="M14" s="91">
        <f>('15.1н'!M14+'15.2н'!M14+'15.3н'!M14)/3</f>
        <v>0</v>
      </c>
      <c r="N14" s="91">
        <f>('15.1н'!N14+'15.2н'!N14+'15.3н'!N14)/3</f>
        <v>0</v>
      </c>
      <c r="O14" s="91">
        <f>('15.1н'!O14+'15.2н'!O14+'15.3н'!O14)/3</f>
        <v>0</v>
      </c>
      <c r="P14" s="91">
        <f>('15.1н'!P14+'15.2н'!P14+'15.3н'!P14)/3</f>
        <v>0</v>
      </c>
      <c r="Q14" s="91">
        <f>('15.1н'!Q14+'15.2н'!Q14+'15.3н'!Q14)/3</f>
        <v>0</v>
      </c>
      <c r="R14" s="91">
        <f>('15.1н'!B14+'15.2н'!B14+'15.3н'!B14)/3</f>
        <v>0.32889039021487765</v>
      </c>
    </row>
    <row r="15" spans="1:18" x14ac:dyDescent="0.25">
      <c r="A15" s="84">
        <v>14</v>
      </c>
      <c r="B15" s="84" t="s">
        <v>14</v>
      </c>
      <c r="C15" s="91" t="e">
        <f>('15.1н'!#REF!+'15.2н'!#REF!+'15.3н'!#REF!)/3</f>
        <v>#REF!</v>
      </c>
      <c r="D15" s="91" t="e">
        <f>('15.1н'!#REF!+'15.2н'!#REF!+'15.3н'!#REF!)/3</f>
        <v>#REF!</v>
      </c>
      <c r="E15" s="91">
        <f>('15.1н'!E15+'15.2н'!E15+'15.3н'!E15)/3</f>
        <v>0</v>
      </c>
      <c r="F15" s="91">
        <f>('15.1н'!F15+'15.2н'!F15+'15.3н'!F15)/3</f>
        <v>0</v>
      </c>
      <c r="G15" s="91">
        <f>('15.1н'!G15+'15.2н'!G15+'15.3н'!G15)/3</f>
        <v>0</v>
      </c>
      <c r="H15" s="91">
        <f>('15.1н'!H15+'15.2н'!H15+'15.3н'!H15)/3</f>
        <v>0</v>
      </c>
      <c r="I15" s="91">
        <f>('15.1н'!I15+'15.2н'!I15+'15.3н'!I15)/3</f>
        <v>0</v>
      </c>
      <c r="J15" s="91">
        <f>('15.1н'!J15+'15.2н'!J15+'15.3н'!J15)/3</f>
        <v>0</v>
      </c>
      <c r="K15" s="91">
        <f>('15.1н'!K15+'15.2н'!K15+'15.3н'!K15)/3</f>
        <v>0</v>
      </c>
      <c r="L15" s="91">
        <f>('15.1н'!L15+'15.2н'!L15+'15.3н'!L15)/3</f>
        <v>0</v>
      </c>
      <c r="M15" s="91">
        <f>('15.1н'!M15+'15.2н'!M15+'15.3н'!M15)/3</f>
        <v>0</v>
      </c>
      <c r="N15" s="91">
        <f>('15.1н'!N15+'15.2н'!N15+'15.3н'!N15)/3</f>
        <v>0</v>
      </c>
      <c r="O15" s="91">
        <f>('15.1н'!O15+'15.2н'!O15+'15.3н'!O15)/3</f>
        <v>0</v>
      </c>
      <c r="P15" s="91">
        <f>('15.1н'!P15+'15.2н'!P15+'15.3н'!P15)/3</f>
        <v>0</v>
      </c>
      <c r="Q15" s="91">
        <f>('15.1н'!Q15+'15.2н'!Q15+'15.3н'!Q15)/3</f>
        <v>0</v>
      </c>
      <c r="R15" s="91">
        <f>('15.1н'!B15+'15.2н'!B15+'15.3н'!B15)/3</f>
        <v>0.36460027770598141</v>
      </c>
    </row>
    <row r="16" spans="1:18" x14ac:dyDescent="0.25">
      <c r="A16" s="84">
        <v>15</v>
      </c>
      <c r="B16" s="84" t="s">
        <v>15</v>
      </c>
      <c r="C16" s="91" t="e">
        <f>('15.1н'!#REF!+'15.2н'!#REF!+'15.3н'!#REF!)/3</f>
        <v>#REF!</v>
      </c>
      <c r="D16" s="91" t="e">
        <f>('15.1н'!#REF!+'15.2н'!#REF!+'15.3н'!#REF!)/3</f>
        <v>#REF!</v>
      </c>
      <c r="E16" s="91">
        <f>('15.1н'!E16+'15.2н'!E16+'15.3н'!E16)/3</f>
        <v>0</v>
      </c>
      <c r="F16" s="91">
        <f>('15.1н'!F16+'15.2н'!F16+'15.3н'!F16)/3</f>
        <v>0</v>
      </c>
      <c r="G16" s="91">
        <f>('15.1н'!G16+'15.2н'!G16+'15.3н'!G16)/3</f>
        <v>0</v>
      </c>
      <c r="H16" s="91">
        <f>('15.1н'!H16+'15.2н'!H16+'15.3н'!H16)/3</f>
        <v>0</v>
      </c>
      <c r="I16" s="91">
        <f>('15.1н'!I16+'15.2н'!I16+'15.3н'!I16)/3</f>
        <v>0</v>
      </c>
      <c r="J16" s="91">
        <f>('15.1н'!J16+'15.2н'!J16+'15.3н'!J16)/3</f>
        <v>0</v>
      </c>
      <c r="K16" s="91">
        <f>('15.1н'!K16+'15.2н'!K16+'15.3н'!K16)/3</f>
        <v>0</v>
      </c>
      <c r="L16" s="91">
        <f>('15.1н'!L16+'15.2н'!L16+'15.3н'!L16)/3</f>
        <v>0</v>
      </c>
      <c r="M16" s="91">
        <f>('15.1н'!M16+'15.2н'!M16+'15.3н'!M16)/3</f>
        <v>0</v>
      </c>
      <c r="N16" s="91">
        <f>('15.1н'!N16+'15.2н'!N16+'15.3н'!N16)/3</f>
        <v>0</v>
      </c>
      <c r="O16" s="91">
        <f>('15.1н'!O16+'15.2н'!O16+'15.3н'!O16)/3</f>
        <v>0</v>
      </c>
      <c r="P16" s="91">
        <f>('15.1н'!P16+'15.2н'!P16+'15.3н'!P16)/3</f>
        <v>0</v>
      </c>
      <c r="Q16" s="91">
        <f>('15.1н'!Q16+'15.2н'!Q16+'15.3н'!Q16)/3</f>
        <v>0</v>
      </c>
      <c r="R16" s="91">
        <f>('15.1н'!B16+'15.2н'!B16+'15.3н'!B16)/3</f>
        <v>0.37066768809738204</v>
      </c>
    </row>
    <row r="17" spans="1:18" x14ac:dyDescent="0.25">
      <c r="A17" s="84">
        <v>16</v>
      </c>
      <c r="B17" s="84" t="s">
        <v>16</v>
      </c>
      <c r="C17" s="91" t="e">
        <f>('15.1н'!#REF!+'15.2н'!#REF!+'15.3н'!#REF!)/3</f>
        <v>#REF!</v>
      </c>
      <c r="D17" s="91" t="e">
        <f>('15.1н'!#REF!+'15.2н'!#REF!+'15.3н'!#REF!)/3</f>
        <v>#REF!</v>
      </c>
      <c r="E17" s="91">
        <f>('15.1н'!E17+'15.2н'!E17+'15.3н'!E17)/3</f>
        <v>0</v>
      </c>
      <c r="F17" s="91">
        <f>('15.1н'!F17+'15.2н'!F17+'15.3н'!F17)/3</f>
        <v>0</v>
      </c>
      <c r="G17" s="91">
        <f>('15.1н'!G17+'15.2н'!G17+'15.3н'!G17)/3</f>
        <v>0</v>
      </c>
      <c r="H17" s="91">
        <f>('15.1н'!H17+'15.2н'!H17+'15.3н'!H17)/3</f>
        <v>0</v>
      </c>
      <c r="I17" s="91">
        <f>('15.1н'!I17+'15.2н'!I17+'15.3н'!I17)/3</f>
        <v>0</v>
      </c>
      <c r="J17" s="91">
        <f>('15.1н'!J17+'15.2н'!J17+'15.3н'!J17)/3</f>
        <v>0</v>
      </c>
      <c r="K17" s="91">
        <f>('15.1н'!K17+'15.2н'!K17+'15.3н'!K17)/3</f>
        <v>0</v>
      </c>
      <c r="L17" s="91">
        <f>('15.1н'!L17+'15.2н'!L17+'15.3н'!L17)/3</f>
        <v>0</v>
      </c>
      <c r="M17" s="91">
        <f>('15.1н'!M17+'15.2н'!M17+'15.3н'!M17)/3</f>
        <v>0</v>
      </c>
      <c r="N17" s="91">
        <f>('15.1н'!N17+'15.2н'!N17+'15.3н'!N17)/3</f>
        <v>0</v>
      </c>
      <c r="O17" s="91">
        <f>('15.1н'!O17+'15.2н'!O17+'15.3н'!O17)/3</f>
        <v>0</v>
      </c>
      <c r="P17" s="91">
        <f>('15.1н'!P17+'15.2н'!P17+'15.3н'!P17)/3</f>
        <v>0</v>
      </c>
      <c r="Q17" s="91">
        <f>('15.1н'!Q17+'15.2н'!Q17+'15.3н'!Q17)/3</f>
        <v>0</v>
      </c>
      <c r="R17" s="91">
        <f>('15.1н'!B17+'15.2н'!B17+'15.3н'!B17)/3</f>
        <v>0.3700498618305561</v>
      </c>
    </row>
    <row r="18" spans="1:18" x14ac:dyDescent="0.25">
      <c r="A18" s="84">
        <v>17</v>
      </c>
      <c r="B18" s="84" t="s">
        <v>17</v>
      </c>
      <c r="C18" s="91" t="e">
        <f>('15.1н'!#REF!+'15.2н'!#REF!+'15.3н'!#REF!)/3</f>
        <v>#REF!</v>
      </c>
      <c r="D18" s="91" t="e">
        <f>('15.1н'!#REF!+'15.2н'!#REF!+'15.3н'!#REF!)/3</f>
        <v>#REF!</v>
      </c>
      <c r="E18" s="91">
        <f>('15.1н'!E18+'15.2н'!E18+'15.3н'!E18)/3</f>
        <v>0</v>
      </c>
      <c r="F18" s="91">
        <f>('15.1н'!F18+'15.2н'!F18+'15.3н'!F18)/3</f>
        <v>0</v>
      </c>
      <c r="G18" s="91">
        <f>('15.1н'!G18+'15.2н'!G18+'15.3н'!G18)/3</f>
        <v>0</v>
      </c>
      <c r="H18" s="91">
        <f>('15.1н'!H18+'15.2н'!H18+'15.3н'!H18)/3</f>
        <v>0</v>
      </c>
      <c r="I18" s="91">
        <f>('15.1н'!I18+'15.2н'!I18+'15.3н'!I18)/3</f>
        <v>0</v>
      </c>
      <c r="J18" s="91">
        <f>('15.1н'!J18+'15.2н'!J18+'15.3н'!J18)/3</f>
        <v>0</v>
      </c>
      <c r="K18" s="91">
        <f>('15.1н'!K18+'15.2н'!K18+'15.3н'!K18)/3</f>
        <v>0</v>
      </c>
      <c r="L18" s="91">
        <f>('15.1н'!L18+'15.2н'!L18+'15.3н'!L18)/3</f>
        <v>0</v>
      </c>
      <c r="M18" s="91">
        <f>('15.1н'!M18+'15.2н'!M18+'15.3н'!M18)/3</f>
        <v>0</v>
      </c>
      <c r="N18" s="91">
        <f>('15.1н'!N18+'15.2н'!N18+'15.3н'!N18)/3</f>
        <v>0</v>
      </c>
      <c r="O18" s="91">
        <f>('15.1н'!O18+'15.2н'!O18+'15.3н'!O18)/3</f>
        <v>0</v>
      </c>
      <c r="P18" s="91">
        <f>('15.1н'!P18+'15.2н'!P18+'15.3н'!P18)/3</f>
        <v>0</v>
      </c>
      <c r="Q18" s="91">
        <f>('15.1н'!Q18+'15.2н'!Q18+'15.3н'!Q18)/3</f>
        <v>0</v>
      </c>
      <c r="R18" s="91">
        <f>('15.1н'!B18+'15.2н'!B18+'15.3н'!B18)/3</f>
        <v>0.43230829502435419</v>
      </c>
    </row>
    <row r="19" spans="1:18" x14ac:dyDescent="0.25">
      <c r="A19" s="84">
        <v>18</v>
      </c>
      <c r="B19" s="84" t="s">
        <v>18</v>
      </c>
      <c r="C19" s="91" t="e">
        <f>('15.1н'!#REF!+'15.2н'!#REF!+'15.3н'!#REF!)/3</f>
        <v>#REF!</v>
      </c>
      <c r="D19" s="91" t="e">
        <f>('15.1н'!#REF!+'15.2н'!#REF!+'15.3н'!#REF!)/3</f>
        <v>#REF!</v>
      </c>
      <c r="E19" s="91">
        <f>('15.1н'!E19+'15.2н'!E19+'15.3н'!E19)/3</f>
        <v>0</v>
      </c>
      <c r="F19" s="91">
        <f>('15.1н'!F19+'15.2н'!F19+'15.3н'!F19)/3</f>
        <v>0</v>
      </c>
      <c r="G19" s="91">
        <f>('15.1н'!G19+'15.2н'!G19+'15.3н'!G19)/3</f>
        <v>0</v>
      </c>
      <c r="H19" s="91">
        <f>('15.1н'!H19+'15.2н'!H19+'15.3н'!H19)/3</f>
        <v>0</v>
      </c>
      <c r="I19" s="91">
        <f>('15.1н'!I19+'15.2н'!I19+'15.3н'!I19)/3</f>
        <v>0</v>
      </c>
      <c r="J19" s="91">
        <f>('15.1н'!J19+'15.2н'!J19+'15.3н'!J19)/3</f>
        <v>0</v>
      </c>
      <c r="K19" s="91">
        <f>('15.1н'!K19+'15.2н'!K19+'15.3н'!K19)/3</f>
        <v>0</v>
      </c>
      <c r="L19" s="91">
        <f>('15.1н'!L19+'15.2н'!L19+'15.3н'!L19)/3</f>
        <v>0</v>
      </c>
      <c r="M19" s="91">
        <f>('15.1н'!M19+'15.2н'!M19+'15.3н'!M19)/3</f>
        <v>0</v>
      </c>
      <c r="N19" s="91">
        <f>('15.1н'!N19+'15.2н'!N19+'15.3н'!N19)/3</f>
        <v>0</v>
      </c>
      <c r="O19" s="91">
        <f>('15.1н'!O19+'15.2н'!O19+'15.3н'!O19)/3</f>
        <v>0</v>
      </c>
      <c r="P19" s="91">
        <f>('15.1н'!P19+'15.2н'!P19+'15.3н'!P19)/3</f>
        <v>0</v>
      </c>
      <c r="Q19" s="91">
        <f>('15.1н'!Q19+'15.2н'!Q19+'15.3н'!Q19)/3</f>
        <v>0</v>
      </c>
      <c r="R19" s="91">
        <f>('15.1н'!B19+'15.2н'!B19+'15.3н'!B19)/3</f>
        <v>0.68469225323536465</v>
      </c>
    </row>
    <row r="20" spans="1:18" x14ac:dyDescent="0.25">
      <c r="A20" s="84">
        <v>19</v>
      </c>
      <c r="B20" s="84" t="s">
        <v>19</v>
      </c>
      <c r="C20" s="91" t="e">
        <f>('15.1н'!#REF!+'15.2н'!#REF!+'15.3н'!#REF!)/3</f>
        <v>#REF!</v>
      </c>
      <c r="D20" s="91" t="e">
        <f>('15.1н'!#REF!+'15.2н'!#REF!+'15.3н'!#REF!)/3</f>
        <v>#REF!</v>
      </c>
      <c r="E20" s="91">
        <f>('15.1н'!E20+'15.2н'!E20+'15.3н'!E20)/3</f>
        <v>0</v>
      </c>
      <c r="F20" s="91">
        <f>('15.1н'!F20+'15.2н'!F20+'15.3н'!F20)/3</f>
        <v>0</v>
      </c>
      <c r="G20" s="91">
        <f>('15.1н'!G20+'15.2н'!G20+'15.3н'!G20)/3</f>
        <v>0</v>
      </c>
      <c r="H20" s="91">
        <f>('15.1н'!H20+'15.2н'!H20+'15.3н'!H20)/3</f>
        <v>0</v>
      </c>
      <c r="I20" s="91">
        <f>('15.1н'!I20+'15.2н'!I20+'15.3н'!I20)/3</f>
        <v>0</v>
      </c>
      <c r="J20" s="91">
        <f>('15.1н'!J20+'15.2н'!J20+'15.3н'!J20)/3</f>
        <v>0</v>
      </c>
      <c r="K20" s="91">
        <f>('15.1н'!K20+'15.2н'!K20+'15.3н'!K20)/3</f>
        <v>0</v>
      </c>
      <c r="L20" s="91">
        <f>('15.1н'!L20+'15.2н'!L20+'15.3н'!L20)/3</f>
        <v>0</v>
      </c>
      <c r="M20" s="91">
        <f>('15.1н'!M20+'15.2н'!M20+'15.3н'!M20)/3</f>
        <v>0</v>
      </c>
      <c r="N20" s="91">
        <f>('15.1н'!N20+'15.2н'!N20+'15.3н'!N20)/3</f>
        <v>0</v>
      </c>
      <c r="O20" s="91">
        <f>('15.1н'!O20+'15.2н'!O20+'15.3н'!O20)/3</f>
        <v>0</v>
      </c>
      <c r="P20" s="91">
        <f>('15.1н'!P20+'15.2н'!P20+'15.3н'!P20)/3</f>
        <v>0</v>
      </c>
      <c r="Q20" s="91">
        <f>('15.1н'!Q20+'15.2н'!Q20+'15.3н'!Q20)/3</f>
        <v>0</v>
      </c>
      <c r="R20" s="91">
        <f>('15.1н'!B20+'15.2н'!B20+'15.3н'!B20)/3</f>
        <v>0.46507012291605898</v>
      </c>
    </row>
    <row r="21" spans="1:18" x14ac:dyDescent="0.25">
      <c r="A21" s="84">
        <v>20</v>
      </c>
      <c r="B21" s="84" t="s">
        <v>20</v>
      </c>
      <c r="C21" s="91" t="e">
        <f>('15.1н'!#REF!+'15.2н'!#REF!+'15.3н'!#REF!)/3</f>
        <v>#REF!</v>
      </c>
      <c r="D21" s="91" t="e">
        <f>('15.1н'!#REF!+'15.2н'!#REF!+'15.3н'!#REF!)/3</f>
        <v>#REF!</v>
      </c>
      <c r="E21" s="91">
        <f>('15.1н'!E21+'15.2н'!E21+'15.3н'!E21)/3</f>
        <v>0</v>
      </c>
      <c r="F21" s="91">
        <f>('15.1н'!F21+'15.2н'!F21+'15.3н'!F21)/3</f>
        <v>0</v>
      </c>
      <c r="G21" s="91">
        <f>('15.1н'!G21+'15.2н'!G21+'15.3н'!G21)/3</f>
        <v>0</v>
      </c>
      <c r="H21" s="91">
        <f>('15.1н'!H21+'15.2н'!H21+'15.3н'!H21)/3</f>
        <v>0</v>
      </c>
      <c r="I21" s="91">
        <f>('15.1н'!I21+'15.2н'!I21+'15.3н'!I21)/3</f>
        <v>0</v>
      </c>
      <c r="J21" s="91">
        <f>('15.1н'!J21+'15.2н'!J21+'15.3н'!J21)/3</f>
        <v>0</v>
      </c>
      <c r="K21" s="91">
        <f>('15.1н'!K21+'15.2н'!K21+'15.3н'!K21)/3</f>
        <v>0</v>
      </c>
      <c r="L21" s="91">
        <f>('15.1н'!L21+'15.2н'!L21+'15.3н'!L21)/3</f>
        <v>0</v>
      </c>
      <c r="M21" s="91">
        <f>('15.1н'!M21+'15.2н'!M21+'15.3н'!M21)/3</f>
        <v>0</v>
      </c>
      <c r="N21" s="91">
        <f>('15.1н'!N21+'15.2н'!N21+'15.3н'!N21)/3</f>
        <v>0</v>
      </c>
      <c r="O21" s="91">
        <f>('15.1н'!O21+'15.2н'!O21+'15.3н'!O21)/3</f>
        <v>0</v>
      </c>
      <c r="P21" s="91">
        <f>('15.1н'!P21+'15.2н'!P21+'15.3н'!P21)/3</f>
        <v>0</v>
      </c>
      <c r="Q21" s="91">
        <f>('15.1н'!Q21+'15.2н'!Q21+'15.3н'!Q21)/3</f>
        <v>0</v>
      </c>
      <c r="R21" s="91">
        <f>('15.1н'!B21+'15.2н'!B21+'15.3н'!B21)/3</f>
        <v>0.47335133865517903</v>
      </c>
    </row>
    <row r="22" spans="1:18" x14ac:dyDescent="0.25">
      <c r="A22" s="84">
        <v>21</v>
      </c>
      <c r="B22" s="84" t="s">
        <v>21</v>
      </c>
      <c r="C22" s="91" t="e">
        <f>('15.1н'!#REF!+'15.2н'!#REF!+'15.3н'!#REF!)/3</f>
        <v>#REF!</v>
      </c>
      <c r="D22" s="91" t="e">
        <f>('15.1н'!#REF!+'15.2н'!#REF!+'15.3н'!#REF!)/3</f>
        <v>#REF!</v>
      </c>
      <c r="E22" s="91">
        <f>('15.1н'!E22+'15.2н'!E22+'15.3н'!E22)/3</f>
        <v>0</v>
      </c>
      <c r="F22" s="91">
        <f>('15.1н'!F22+'15.2н'!F22+'15.3н'!F22)/3</f>
        <v>0</v>
      </c>
      <c r="G22" s="91">
        <f>('15.1н'!G22+'15.2н'!G22+'15.3н'!G22)/3</f>
        <v>0</v>
      </c>
      <c r="H22" s="91">
        <f>('15.1н'!H22+'15.2н'!H22+'15.3н'!H22)/3</f>
        <v>0</v>
      </c>
      <c r="I22" s="91">
        <f>('15.1н'!I22+'15.2н'!I22+'15.3н'!I22)/3</f>
        <v>0</v>
      </c>
      <c r="J22" s="91">
        <f>('15.1н'!J22+'15.2н'!J22+'15.3н'!J22)/3</f>
        <v>0</v>
      </c>
      <c r="K22" s="91">
        <f>('15.1н'!K22+'15.2н'!K22+'15.3н'!K22)/3</f>
        <v>0</v>
      </c>
      <c r="L22" s="91">
        <f>('15.1н'!L22+'15.2н'!L22+'15.3н'!L22)/3</f>
        <v>0</v>
      </c>
      <c r="M22" s="91">
        <f>('15.1н'!M22+'15.2н'!M22+'15.3н'!M22)/3</f>
        <v>0</v>
      </c>
      <c r="N22" s="91">
        <f>('15.1н'!N22+'15.2н'!N22+'15.3н'!N22)/3</f>
        <v>0</v>
      </c>
      <c r="O22" s="91">
        <f>('15.1н'!O22+'15.2н'!O22+'15.3н'!O22)/3</f>
        <v>0</v>
      </c>
      <c r="P22" s="91">
        <f>('15.1н'!P22+'15.2н'!P22+'15.3н'!P22)/3</f>
        <v>0</v>
      </c>
      <c r="Q22" s="91">
        <f>('15.1н'!Q22+'15.2н'!Q22+'15.3н'!Q22)/3</f>
        <v>0</v>
      </c>
      <c r="R22" s="91">
        <f>('15.1н'!B22+'15.2н'!B22+'15.3н'!B22)/3</f>
        <v>0.50185042930998225</v>
      </c>
    </row>
    <row r="23" spans="1:18" x14ac:dyDescent="0.25">
      <c r="A23" s="84">
        <v>22</v>
      </c>
      <c r="B23" s="84" t="s">
        <v>22</v>
      </c>
      <c r="C23" s="91" t="e">
        <f>('15.1н'!#REF!+'15.2н'!#REF!+'15.3н'!#REF!)/3</f>
        <v>#REF!</v>
      </c>
      <c r="D23" s="91" t="e">
        <f>('15.1н'!#REF!+'15.2н'!#REF!+'15.3н'!#REF!)/3</f>
        <v>#REF!</v>
      </c>
      <c r="E23" s="91">
        <f>('15.1н'!E23+'15.2н'!E23+'15.3н'!E23)/3</f>
        <v>0</v>
      </c>
      <c r="F23" s="91">
        <f>('15.1н'!F23+'15.2н'!F23+'15.3н'!F23)/3</f>
        <v>0</v>
      </c>
      <c r="G23" s="91">
        <f>('15.1н'!G23+'15.2н'!G23+'15.3н'!G23)/3</f>
        <v>0</v>
      </c>
      <c r="H23" s="91">
        <f>('15.1н'!H23+'15.2н'!H23+'15.3н'!H23)/3</f>
        <v>0</v>
      </c>
      <c r="I23" s="91">
        <f>('15.1н'!I23+'15.2н'!I23+'15.3н'!I23)/3</f>
        <v>0</v>
      </c>
      <c r="J23" s="91">
        <f>('15.1н'!J23+'15.2н'!J23+'15.3н'!J23)/3</f>
        <v>0</v>
      </c>
      <c r="K23" s="91">
        <f>('15.1н'!K23+'15.2н'!K23+'15.3н'!K23)/3</f>
        <v>0</v>
      </c>
      <c r="L23" s="91">
        <f>('15.1н'!L23+'15.2н'!L23+'15.3н'!L23)/3</f>
        <v>0</v>
      </c>
      <c r="M23" s="91">
        <f>('15.1н'!M23+'15.2н'!M23+'15.3н'!M23)/3</f>
        <v>0</v>
      </c>
      <c r="N23" s="91">
        <f>('15.1н'!N23+'15.2н'!N23+'15.3н'!N23)/3</f>
        <v>0</v>
      </c>
      <c r="O23" s="91">
        <f>('15.1н'!O23+'15.2н'!O23+'15.3н'!O23)/3</f>
        <v>0</v>
      </c>
      <c r="P23" s="91">
        <f>('15.1н'!P23+'15.2н'!P23+'15.3н'!P23)/3</f>
        <v>0</v>
      </c>
      <c r="Q23" s="91">
        <f>('15.1н'!Q23+'15.2н'!Q23+'15.3н'!Q23)/3</f>
        <v>0</v>
      </c>
      <c r="R23" s="91">
        <f>('15.1н'!B23+'15.2н'!B23+'15.3н'!B23)/3</f>
        <v>0.38693900492773775</v>
      </c>
    </row>
    <row r="24" spans="1:18" x14ac:dyDescent="0.25">
      <c r="A24" s="84">
        <v>23</v>
      </c>
      <c r="B24" s="84" t="s">
        <v>23</v>
      </c>
      <c r="C24" s="91" t="e">
        <f>('15.1н'!#REF!+'15.2н'!#REF!+'15.3н'!#REF!)/3</f>
        <v>#REF!</v>
      </c>
      <c r="D24" s="91" t="e">
        <f>('15.1н'!#REF!+'15.2н'!#REF!+'15.3н'!#REF!)/3</f>
        <v>#REF!</v>
      </c>
      <c r="E24" s="91">
        <f>('15.1н'!E24+'15.2н'!E24+'15.3н'!E24)/3</f>
        <v>0</v>
      </c>
      <c r="F24" s="91">
        <f>('15.1н'!F24+'15.2н'!F24+'15.3н'!F24)/3</f>
        <v>0</v>
      </c>
      <c r="G24" s="91">
        <f>('15.1н'!G24+'15.2н'!G24+'15.3н'!G24)/3</f>
        <v>0</v>
      </c>
      <c r="H24" s="91">
        <f>('15.1н'!H24+'15.2н'!H24+'15.3н'!H24)/3</f>
        <v>0</v>
      </c>
      <c r="I24" s="91">
        <f>('15.1н'!I24+'15.2н'!I24+'15.3н'!I24)/3</f>
        <v>0</v>
      </c>
      <c r="J24" s="91">
        <f>('15.1н'!J24+'15.2н'!J24+'15.3н'!J24)/3</f>
        <v>0</v>
      </c>
      <c r="K24" s="91">
        <f>('15.1н'!K24+'15.2н'!K24+'15.3н'!K24)/3</f>
        <v>0</v>
      </c>
      <c r="L24" s="91">
        <f>('15.1н'!L24+'15.2н'!L24+'15.3н'!L24)/3</f>
        <v>0</v>
      </c>
      <c r="M24" s="91">
        <f>('15.1н'!M24+'15.2н'!M24+'15.3н'!M24)/3</f>
        <v>0</v>
      </c>
      <c r="N24" s="91">
        <f>('15.1н'!N24+'15.2н'!N24+'15.3н'!N24)/3</f>
        <v>0</v>
      </c>
      <c r="O24" s="91">
        <f>('15.1н'!O24+'15.2н'!O24+'15.3н'!O24)/3</f>
        <v>0</v>
      </c>
      <c r="P24" s="91">
        <f>('15.1н'!P24+'15.2н'!P24+'15.3н'!P24)/3</f>
        <v>0</v>
      </c>
      <c r="Q24" s="91">
        <f>('15.1н'!Q24+'15.2н'!Q24+'15.3н'!Q24)/3</f>
        <v>0</v>
      </c>
      <c r="R24" s="91">
        <f>('15.1н'!B24+'15.2н'!B24+'15.3н'!B24)/3</f>
        <v>0.45181194034451994</v>
      </c>
    </row>
    <row r="25" spans="1:18" x14ac:dyDescent="0.25">
      <c r="A25" s="84">
        <v>24</v>
      </c>
      <c r="B25" s="84" t="s">
        <v>24</v>
      </c>
      <c r="C25" s="91" t="e">
        <f>('15.1н'!#REF!+'15.2н'!#REF!+'15.3н'!#REF!)/3</f>
        <v>#REF!</v>
      </c>
      <c r="D25" s="91" t="e">
        <f>('15.1н'!#REF!+'15.2н'!#REF!+'15.3н'!#REF!)/3</f>
        <v>#REF!</v>
      </c>
      <c r="E25" s="91">
        <f>('15.1н'!E25+'15.2н'!E25+'15.3н'!E25)/3</f>
        <v>0</v>
      </c>
      <c r="F25" s="91">
        <f>('15.1н'!F25+'15.2н'!F25+'15.3н'!F25)/3</f>
        <v>0</v>
      </c>
      <c r="G25" s="91">
        <f>('15.1н'!G25+'15.2н'!G25+'15.3н'!G25)/3</f>
        <v>0</v>
      </c>
      <c r="H25" s="91">
        <f>('15.1н'!H25+'15.2н'!H25+'15.3н'!H25)/3</f>
        <v>0</v>
      </c>
      <c r="I25" s="91">
        <f>('15.1н'!I25+'15.2н'!I25+'15.3н'!I25)/3</f>
        <v>0</v>
      </c>
      <c r="J25" s="91">
        <f>('15.1н'!J25+'15.2н'!J25+'15.3н'!J25)/3</f>
        <v>0</v>
      </c>
      <c r="K25" s="91">
        <f>('15.1н'!K25+'15.2н'!K25+'15.3н'!K25)/3</f>
        <v>0</v>
      </c>
      <c r="L25" s="91">
        <f>('15.1н'!L25+'15.2н'!L25+'15.3н'!L25)/3</f>
        <v>0</v>
      </c>
      <c r="M25" s="91">
        <f>('15.1н'!M25+'15.2н'!M25+'15.3н'!M25)/3</f>
        <v>0</v>
      </c>
      <c r="N25" s="91">
        <f>('15.1н'!N25+'15.2н'!N25+'15.3н'!N25)/3</f>
        <v>0</v>
      </c>
      <c r="O25" s="91">
        <f>('15.1н'!O25+'15.2н'!O25+'15.3н'!O25)/3</f>
        <v>0</v>
      </c>
      <c r="P25" s="91">
        <f>('15.1н'!P25+'15.2н'!P25+'15.3н'!P25)/3</f>
        <v>0</v>
      </c>
      <c r="Q25" s="91">
        <f>('15.1н'!Q25+'15.2н'!Q25+'15.3н'!Q25)/3</f>
        <v>0</v>
      </c>
      <c r="R25" s="91">
        <f>('15.1н'!B25+'15.2н'!B25+'15.3н'!B25)/3</f>
        <v>0.41424502324146389</v>
      </c>
    </row>
    <row r="26" spans="1:18" x14ac:dyDescent="0.25">
      <c r="A26" s="84">
        <v>25</v>
      </c>
      <c r="B26" s="84" t="s">
        <v>25</v>
      </c>
      <c r="C26" s="91" t="e">
        <f>('15.1н'!#REF!+'15.2н'!#REF!+'15.3н'!#REF!)/3</f>
        <v>#REF!</v>
      </c>
      <c r="D26" s="91" t="e">
        <f>('15.1н'!#REF!+'15.2н'!#REF!+'15.3н'!#REF!)/3</f>
        <v>#REF!</v>
      </c>
      <c r="E26" s="91">
        <f>('15.1н'!E26+'15.2н'!E26+'15.3н'!E26)/3</f>
        <v>0</v>
      </c>
      <c r="F26" s="91">
        <f>('15.1н'!F26+'15.2н'!F26+'15.3н'!F26)/3</f>
        <v>0</v>
      </c>
      <c r="G26" s="91">
        <f>('15.1н'!G26+'15.2н'!G26+'15.3н'!G26)/3</f>
        <v>0</v>
      </c>
      <c r="H26" s="91">
        <f>('15.1н'!H26+'15.2н'!H26+'15.3н'!H26)/3</f>
        <v>0</v>
      </c>
      <c r="I26" s="91">
        <f>('15.1н'!I26+'15.2н'!I26+'15.3н'!I26)/3</f>
        <v>0</v>
      </c>
      <c r="J26" s="91">
        <f>('15.1н'!J26+'15.2н'!J26+'15.3н'!J26)/3</f>
        <v>0</v>
      </c>
      <c r="K26" s="91">
        <f>('15.1н'!K26+'15.2н'!K26+'15.3н'!K26)/3</f>
        <v>0</v>
      </c>
      <c r="L26" s="91">
        <f>('15.1н'!L26+'15.2н'!L26+'15.3н'!L26)/3</f>
        <v>0</v>
      </c>
      <c r="M26" s="91">
        <f>('15.1н'!M26+'15.2н'!M26+'15.3н'!M26)/3</f>
        <v>0</v>
      </c>
      <c r="N26" s="91">
        <f>('15.1н'!N26+'15.2н'!N26+'15.3н'!N26)/3</f>
        <v>0</v>
      </c>
      <c r="O26" s="91">
        <f>('15.1н'!O26+'15.2н'!O26+'15.3н'!O26)/3</f>
        <v>0</v>
      </c>
      <c r="P26" s="91">
        <f>('15.1н'!P26+'15.2н'!P26+'15.3н'!P26)/3</f>
        <v>0</v>
      </c>
      <c r="Q26" s="91">
        <f>('15.1н'!Q26+'15.2н'!Q26+'15.3н'!Q26)/3</f>
        <v>0</v>
      </c>
      <c r="R26" s="91">
        <f>('15.1н'!B26+'15.2н'!B26+'15.3н'!B26)/3</f>
        <v>0.5710606449035126</v>
      </c>
    </row>
    <row r="27" spans="1:18" x14ac:dyDescent="0.25">
      <c r="A27" s="84">
        <v>26</v>
      </c>
      <c r="B27" s="84" t="s">
        <v>26</v>
      </c>
      <c r="C27" s="91" t="e">
        <f>('15.1н'!#REF!+'15.2н'!#REF!+'15.3н'!#REF!)/3</f>
        <v>#REF!</v>
      </c>
      <c r="D27" s="91" t="e">
        <f>('15.1н'!#REF!+'15.2н'!#REF!+'15.3н'!#REF!)/3</f>
        <v>#REF!</v>
      </c>
      <c r="E27" s="91">
        <f>('15.1н'!E27+'15.2н'!E27+'15.3н'!E27)/3</f>
        <v>0</v>
      </c>
      <c r="F27" s="91">
        <f>('15.1н'!F27+'15.2н'!F27+'15.3н'!F27)/3</f>
        <v>0</v>
      </c>
      <c r="G27" s="91">
        <f>('15.1н'!G27+'15.2н'!G27+'15.3н'!G27)/3</f>
        <v>0</v>
      </c>
      <c r="H27" s="91">
        <f>('15.1н'!H27+'15.2н'!H27+'15.3н'!H27)/3</f>
        <v>0</v>
      </c>
      <c r="I27" s="91">
        <f>('15.1н'!I27+'15.2н'!I27+'15.3н'!I27)/3</f>
        <v>0</v>
      </c>
      <c r="J27" s="91">
        <f>('15.1н'!J27+'15.2н'!J27+'15.3н'!J27)/3</f>
        <v>0</v>
      </c>
      <c r="K27" s="91">
        <f>('15.1н'!K27+'15.2н'!K27+'15.3н'!K27)/3</f>
        <v>0</v>
      </c>
      <c r="L27" s="91">
        <f>('15.1н'!L27+'15.2н'!L27+'15.3н'!L27)/3</f>
        <v>0</v>
      </c>
      <c r="M27" s="91">
        <f>('15.1н'!M27+'15.2н'!M27+'15.3н'!M27)/3</f>
        <v>0</v>
      </c>
      <c r="N27" s="91">
        <f>('15.1н'!N27+'15.2н'!N27+'15.3н'!N27)/3</f>
        <v>0</v>
      </c>
      <c r="O27" s="91">
        <f>('15.1н'!O27+'15.2н'!O27+'15.3н'!O27)/3</f>
        <v>0</v>
      </c>
      <c r="P27" s="91">
        <f>('15.1н'!P27+'15.2н'!P27+'15.3н'!P27)/3</f>
        <v>0</v>
      </c>
      <c r="Q27" s="91">
        <f>('15.1н'!Q27+'15.2н'!Q27+'15.3н'!Q27)/3</f>
        <v>0</v>
      </c>
      <c r="R27" s="91">
        <f>('15.1н'!B27+'15.2н'!B27+'15.3н'!B27)/3</f>
        <v>0.4098130575263535</v>
      </c>
    </row>
    <row r="28" spans="1:18" x14ac:dyDescent="0.25">
      <c r="A28" s="84">
        <v>27</v>
      </c>
      <c r="B28" s="84" t="s">
        <v>27</v>
      </c>
      <c r="C28" s="91" t="e">
        <f>('15.1н'!#REF!+'15.2н'!#REF!+'15.3н'!#REF!)/3</f>
        <v>#REF!</v>
      </c>
      <c r="D28" s="91" t="e">
        <f>('15.1н'!#REF!+'15.2н'!#REF!+'15.3н'!#REF!)/3</f>
        <v>#REF!</v>
      </c>
      <c r="E28" s="91">
        <f>('15.1н'!E28+'15.2н'!E28+'15.3н'!E28)/3</f>
        <v>0</v>
      </c>
      <c r="F28" s="91">
        <f>('15.1н'!F28+'15.2н'!F28+'15.3н'!F28)/3</f>
        <v>0</v>
      </c>
      <c r="G28" s="91">
        <f>('15.1н'!G28+'15.2н'!G28+'15.3н'!G28)/3</f>
        <v>0</v>
      </c>
      <c r="H28" s="91">
        <f>('15.1н'!H28+'15.2н'!H28+'15.3н'!H28)/3</f>
        <v>0</v>
      </c>
      <c r="I28" s="91">
        <f>('15.1н'!I28+'15.2н'!I28+'15.3н'!I28)/3</f>
        <v>0</v>
      </c>
      <c r="J28" s="91">
        <f>('15.1н'!J28+'15.2н'!J28+'15.3н'!J28)/3</f>
        <v>0</v>
      </c>
      <c r="K28" s="91">
        <f>('15.1н'!K28+'15.2н'!K28+'15.3н'!K28)/3</f>
        <v>0</v>
      </c>
      <c r="L28" s="91">
        <f>('15.1н'!L28+'15.2н'!L28+'15.3н'!L28)/3</f>
        <v>0</v>
      </c>
      <c r="M28" s="91">
        <f>('15.1н'!M28+'15.2н'!M28+'15.3н'!M28)/3</f>
        <v>0</v>
      </c>
      <c r="N28" s="91">
        <f>('15.1н'!N28+'15.2н'!N28+'15.3н'!N28)/3</f>
        <v>0</v>
      </c>
      <c r="O28" s="91">
        <f>('15.1н'!O28+'15.2н'!O28+'15.3н'!O28)/3</f>
        <v>0</v>
      </c>
      <c r="P28" s="91">
        <f>('15.1н'!P28+'15.2н'!P28+'15.3н'!P28)/3</f>
        <v>0</v>
      </c>
      <c r="Q28" s="91">
        <f>('15.1н'!Q28+'15.2н'!Q28+'15.3н'!Q28)/3</f>
        <v>0</v>
      </c>
      <c r="R28" s="91">
        <f>('15.1н'!B28+'15.2н'!B28+'15.3н'!B28)/3</f>
        <v>0.40801323755803381</v>
      </c>
    </row>
    <row r="29" spans="1:18" x14ac:dyDescent="0.25">
      <c r="A29" s="84">
        <v>28</v>
      </c>
      <c r="B29" s="84" t="s">
        <v>28</v>
      </c>
      <c r="C29" s="91" t="e">
        <f>('15.1н'!#REF!+'15.2н'!#REF!+'15.3н'!#REF!)/3</f>
        <v>#REF!</v>
      </c>
      <c r="D29" s="91" t="e">
        <f>('15.1н'!#REF!+'15.2н'!#REF!+'15.3н'!#REF!)/3</f>
        <v>#REF!</v>
      </c>
      <c r="E29" s="91">
        <f>('15.1н'!E29+'15.2н'!E29+'15.3н'!E29)/3</f>
        <v>0</v>
      </c>
      <c r="F29" s="91">
        <f>('15.1н'!F29+'15.2н'!F29+'15.3н'!F29)/3</f>
        <v>0</v>
      </c>
      <c r="G29" s="91">
        <f>('15.1н'!G29+'15.2н'!G29+'15.3н'!G29)/3</f>
        <v>0</v>
      </c>
      <c r="H29" s="91">
        <f>('15.1н'!H29+'15.2н'!H29+'15.3н'!H29)/3</f>
        <v>0</v>
      </c>
      <c r="I29" s="91">
        <f>('15.1н'!I29+'15.2н'!I29+'15.3н'!I29)/3</f>
        <v>0</v>
      </c>
      <c r="J29" s="91">
        <f>('15.1н'!J29+'15.2н'!J29+'15.3н'!J29)/3</f>
        <v>0</v>
      </c>
      <c r="K29" s="91">
        <f>('15.1н'!K29+'15.2н'!K29+'15.3н'!K29)/3</f>
        <v>0</v>
      </c>
      <c r="L29" s="91">
        <f>('15.1н'!L29+'15.2н'!L29+'15.3н'!L29)/3</f>
        <v>0</v>
      </c>
      <c r="M29" s="91">
        <f>('15.1н'!M29+'15.2н'!M29+'15.3н'!M29)/3</f>
        <v>0</v>
      </c>
      <c r="N29" s="91">
        <f>('15.1н'!N29+'15.2н'!N29+'15.3н'!N29)/3</f>
        <v>0</v>
      </c>
      <c r="O29" s="91">
        <f>('15.1н'!O29+'15.2н'!O29+'15.3н'!O29)/3</f>
        <v>0</v>
      </c>
      <c r="P29" s="91">
        <f>('15.1н'!P29+'15.2н'!P29+'15.3н'!P29)/3</f>
        <v>0</v>
      </c>
      <c r="Q29" s="91">
        <f>('15.1н'!Q29+'15.2н'!Q29+'15.3н'!Q29)/3</f>
        <v>0</v>
      </c>
      <c r="R29" s="91">
        <f>('15.1н'!B29+'15.2н'!B29+'15.3н'!B29)/3</f>
        <v>0.56746669654713411</v>
      </c>
    </row>
    <row r="30" spans="1:18" x14ac:dyDescent="0.25">
      <c r="A30" s="84">
        <v>29</v>
      </c>
      <c r="B30" s="84" t="s">
        <v>29</v>
      </c>
      <c r="C30" s="91" t="e">
        <f>('15.1н'!#REF!+'15.2н'!#REF!+'15.3н'!#REF!)/3</f>
        <v>#REF!</v>
      </c>
      <c r="D30" s="91" t="e">
        <f>('15.1н'!#REF!+'15.2н'!#REF!+'15.3н'!#REF!)/3</f>
        <v>#REF!</v>
      </c>
      <c r="E30" s="91">
        <f>('15.1н'!E30+'15.2н'!E30+'15.3н'!E30)/3</f>
        <v>0</v>
      </c>
      <c r="F30" s="91">
        <f>('15.1н'!F30+'15.2н'!F30+'15.3н'!F30)/3</f>
        <v>0</v>
      </c>
      <c r="G30" s="91">
        <f>('15.1н'!G30+'15.2н'!G30+'15.3н'!G30)/3</f>
        <v>0</v>
      </c>
      <c r="H30" s="91">
        <f>('15.1н'!H30+'15.2н'!H30+'15.3н'!H30)/3</f>
        <v>0</v>
      </c>
      <c r="I30" s="91">
        <f>('15.1н'!I30+'15.2н'!I30+'15.3н'!I30)/3</f>
        <v>0</v>
      </c>
      <c r="J30" s="91">
        <f>('15.1н'!J30+'15.2н'!J30+'15.3н'!J30)/3</f>
        <v>0</v>
      </c>
      <c r="K30" s="91">
        <f>('15.1н'!K30+'15.2н'!K30+'15.3н'!K30)/3</f>
        <v>0</v>
      </c>
      <c r="L30" s="91">
        <f>('15.1н'!L30+'15.2н'!L30+'15.3н'!L30)/3</f>
        <v>0</v>
      </c>
      <c r="M30" s="91">
        <f>('15.1н'!M30+'15.2н'!M30+'15.3н'!M30)/3</f>
        <v>0</v>
      </c>
      <c r="N30" s="91">
        <f>('15.1н'!N30+'15.2н'!N30+'15.3н'!N30)/3</f>
        <v>0</v>
      </c>
      <c r="O30" s="91">
        <f>('15.1н'!O30+'15.2н'!O30+'15.3н'!O30)/3</f>
        <v>0</v>
      </c>
      <c r="P30" s="91">
        <f>('15.1н'!P30+'15.2н'!P30+'15.3н'!P30)/3</f>
        <v>0</v>
      </c>
      <c r="Q30" s="91">
        <f>('15.1н'!Q30+'15.2н'!Q30+'15.3н'!Q30)/3</f>
        <v>0</v>
      </c>
      <c r="R30" s="91">
        <f>('15.1н'!B30+'15.2н'!B30+'15.3н'!B30)/3</f>
        <v>0.33936806765178568</v>
      </c>
    </row>
    <row r="31" spans="1:18" x14ac:dyDescent="0.25">
      <c r="A31" s="84">
        <v>30</v>
      </c>
      <c r="B31" s="84" t="s">
        <v>30</v>
      </c>
      <c r="C31" s="91" t="e">
        <f>('15.1н'!#REF!+'15.2н'!#REF!+'15.3н'!#REF!)/3</f>
        <v>#REF!</v>
      </c>
      <c r="D31" s="91" t="e">
        <f>('15.1н'!#REF!+'15.2н'!#REF!+'15.3н'!#REF!)/3</f>
        <v>#REF!</v>
      </c>
      <c r="E31" s="91">
        <f>('15.1н'!E31+'15.2н'!E31+'15.3н'!E31)/3</f>
        <v>0</v>
      </c>
      <c r="F31" s="91">
        <f>('15.1н'!F31+'15.2н'!F31+'15.3н'!F31)/3</f>
        <v>0</v>
      </c>
      <c r="G31" s="91">
        <f>('15.1н'!G31+'15.2н'!G31+'15.3н'!G31)/3</f>
        <v>0</v>
      </c>
      <c r="H31" s="91">
        <f>('15.1н'!H31+'15.2н'!H31+'15.3н'!H31)/3</f>
        <v>0</v>
      </c>
      <c r="I31" s="91">
        <f>('15.1н'!I31+'15.2н'!I31+'15.3н'!I31)/3</f>
        <v>0</v>
      </c>
      <c r="J31" s="91">
        <f>('15.1н'!J31+'15.2н'!J31+'15.3н'!J31)/3</f>
        <v>0</v>
      </c>
      <c r="K31" s="91">
        <f>('15.1н'!K31+'15.2н'!K31+'15.3н'!K31)/3</f>
        <v>0</v>
      </c>
      <c r="L31" s="91">
        <f>('15.1н'!L31+'15.2н'!L31+'15.3н'!L31)/3</f>
        <v>0</v>
      </c>
      <c r="M31" s="91">
        <f>('15.1н'!M31+'15.2н'!M31+'15.3н'!M31)/3</f>
        <v>0</v>
      </c>
      <c r="N31" s="91">
        <f>('15.1н'!N31+'15.2н'!N31+'15.3н'!N31)/3</f>
        <v>0</v>
      </c>
      <c r="O31" s="91">
        <f>('15.1н'!O31+'15.2н'!O31+'15.3н'!O31)/3</f>
        <v>0</v>
      </c>
      <c r="P31" s="91">
        <f>('15.1н'!P31+'15.2н'!P31+'15.3н'!P31)/3</f>
        <v>0</v>
      </c>
      <c r="Q31" s="91">
        <f>('15.1н'!Q31+'15.2н'!Q31+'15.3н'!Q31)/3</f>
        <v>0</v>
      </c>
      <c r="R31" s="91">
        <f>('15.1н'!B31+'15.2н'!B31+'15.3н'!B31)/3</f>
        <v>9.9928196941293249E-2</v>
      </c>
    </row>
    <row r="32" spans="1:18" x14ac:dyDescent="0.25">
      <c r="A32" s="84">
        <v>31</v>
      </c>
      <c r="B32" s="84" t="s">
        <v>31</v>
      </c>
      <c r="C32" s="91"/>
      <c r="D32" s="91"/>
      <c r="E32" s="91"/>
      <c r="F32" s="91"/>
      <c r="G32" s="91"/>
      <c r="H32" s="91"/>
      <c r="I32" s="91"/>
      <c r="J32" s="91"/>
      <c r="K32" s="91"/>
      <c r="L32" s="91">
        <f>('15.1н'!L32+'15.2н'!L32+'15.3н'!L32)/3</f>
        <v>0</v>
      </c>
      <c r="M32" s="91">
        <f>('15.1н'!M32+'15.2н'!M32+'15.3н'!M32)/3</f>
        <v>0</v>
      </c>
      <c r="N32" s="91">
        <f>('15.1н'!N32+'15.2н'!N32+'15.3н'!N32)/3</f>
        <v>0</v>
      </c>
      <c r="O32" s="91">
        <f>('15.1н'!O32+'15.2н'!O32+'15.3н'!O32)/3</f>
        <v>0</v>
      </c>
      <c r="P32" s="91">
        <f>('15.1н'!P32+'15.2н'!P32+'15.3н'!P32)/3</f>
        <v>0</v>
      </c>
      <c r="Q32" s="91">
        <f>('15.1н'!Q32+'15.2н'!Q32+'15.3н'!Q32)/3</f>
        <v>0</v>
      </c>
      <c r="R32" s="91">
        <f>('15.1н'!B32+'15.2н'!B32+'15.3н'!B32)/3</f>
        <v>0.34143794986721104</v>
      </c>
    </row>
    <row r="33" spans="1:18" x14ac:dyDescent="0.25">
      <c r="A33" s="84">
        <v>32</v>
      </c>
      <c r="B33" s="84" t="s">
        <v>32</v>
      </c>
      <c r="C33" s="91" t="e">
        <f>('15.1н'!#REF!+'15.2н'!#REF!+'15.3н'!#REF!)/3</f>
        <v>#REF!</v>
      </c>
      <c r="D33" s="91" t="e">
        <f>('15.1н'!#REF!+'15.2н'!#REF!+'15.3н'!#REF!)/3</f>
        <v>#REF!</v>
      </c>
      <c r="E33" s="91">
        <f>('15.1н'!E33+'15.2н'!E33+'15.3н'!E33)/3</f>
        <v>0</v>
      </c>
      <c r="F33" s="91">
        <f>('15.1н'!F33+'15.2н'!F33+'15.3н'!F33)/3</f>
        <v>0</v>
      </c>
      <c r="G33" s="91">
        <f>('15.1н'!G33+'15.2н'!G33+'15.3н'!G33)/3</f>
        <v>0</v>
      </c>
      <c r="H33" s="91">
        <f>('15.1н'!H33+'15.2н'!H33+'15.3н'!H33)/3</f>
        <v>0</v>
      </c>
      <c r="I33" s="91">
        <f>('15.1н'!I33+'15.2н'!I33+'15.3н'!I33)/3</f>
        <v>0</v>
      </c>
      <c r="J33" s="91">
        <f>('15.1н'!J33+'15.2н'!J33+'15.3н'!J33)/3</f>
        <v>0</v>
      </c>
      <c r="K33" s="91">
        <f>('15.1н'!K33+'15.2н'!K33+'15.3н'!K33)/3</f>
        <v>0</v>
      </c>
      <c r="L33" s="91">
        <f>('15.1н'!L33+'15.2н'!L33+'15.3н'!L33)/3</f>
        <v>0</v>
      </c>
      <c r="M33" s="91">
        <f>('15.1н'!M33+'15.2н'!M33+'15.3н'!M33)/3</f>
        <v>0</v>
      </c>
      <c r="N33" s="91">
        <f>('15.1н'!N33+'15.2н'!N33+'15.3н'!N33)/3</f>
        <v>0</v>
      </c>
      <c r="O33" s="91">
        <f>('15.1н'!O33+'15.2н'!O33+'15.3н'!O33)/3</f>
        <v>0</v>
      </c>
      <c r="P33" s="91">
        <f>('15.1н'!P33+'15.2н'!P33+'15.3н'!P33)/3</f>
        <v>0</v>
      </c>
      <c r="Q33" s="91">
        <f>('15.1н'!Q33+'15.2н'!Q33+'15.3н'!Q33)/3</f>
        <v>0</v>
      </c>
      <c r="R33" s="91">
        <f>('15.1н'!B33+'15.2н'!B33+'15.3н'!B33)/3</f>
        <v>0.57137080756760528</v>
      </c>
    </row>
    <row r="34" spans="1:18" x14ac:dyDescent="0.25">
      <c r="A34" s="84">
        <v>33</v>
      </c>
      <c r="B34" s="84" t="s">
        <v>33</v>
      </c>
      <c r="C34" s="91" t="e">
        <f>('15.1н'!#REF!+'15.2н'!#REF!+'15.3н'!#REF!)/3</f>
        <v>#REF!</v>
      </c>
      <c r="D34" s="91" t="e">
        <f>('15.1н'!#REF!+'15.2н'!#REF!+'15.3н'!#REF!)/3</f>
        <v>#REF!</v>
      </c>
      <c r="E34" s="91">
        <f>('15.1н'!E34+'15.2н'!E34+'15.3н'!E34)/3</f>
        <v>0</v>
      </c>
      <c r="F34" s="91">
        <f>('15.1н'!F34+'15.2н'!F34+'15.3н'!F34)/3</f>
        <v>0</v>
      </c>
      <c r="G34" s="91">
        <f>('15.1н'!G34+'15.2н'!G34+'15.3н'!G34)/3</f>
        <v>0</v>
      </c>
      <c r="H34" s="91">
        <f>('15.1н'!H34+'15.2н'!H34+'15.3н'!H34)/3</f>
        <v>0</v>
      </c>
      <c r="I34" s="91">
        <f>('15.1н'!I34+'15.2н'!I34+'15.3н'!I34)/3</f>
        <v>0</v>
      </c>
      <c r="J34" s="91">
        <f>('15.1н'!J34+'15.2н'!J34+'15.3н'!J34)/3</f>
        <v>0</v>
      </c>
      <c r="K34" s="91">
        <f>('15.1н'!K34+'15.2н'!K34+'15.3н'!K34)/3</f>
        <v>0</v>
      </c>
      <c r="L34" s="91">
        <f>('15.1н'!L34+'15.2н'!L34+'15.3н'!L34)/3</f>
        <v>0</v>
      </c>
      <c r="M34" s="91">
        <f>('15.1н'!M34+'15.2н'!M34+'15.3н'!M34)/3</f>
        <v>0</v>
      </c>
      <c r="N34" s="91">
        <f>('15.1н'!N34+'15.2н'!N34+'15.3н'!N34)/3</f>
        <v>0</v>
      </c>
      <c r="O34" s="91">
        <f>('15.1н'!O34+'15.2н'!O34+'15.3н'!O34)/3</f>
        <v>0</v>
      </c>
      <c r="P34" s="91">
        <f>('15.1н'!P34+'15.2н'!P34+'15.3н'!P34)/3</f>
        <v>0</v>
      </c>
      <c r="Q34" s="91">
        <f>('15.1н'!Q34+'15.2н'!Q34+'15.3н'!Q34)/3</f>
        <v>0</v>
      </c>
      <c r="R34" s="91">
        <f>('15.1н'!B34+'15.2н'!B34+'15.3н'!B34)/3</f>
        <v>0.3689867284094408</v>
      </c>
    </row>
    <row r="35" spans="1:18" x14ac:dyDescent="0.25">
      <c r="A35" s="84">
        <v>34</v>
      </c>
      <c r="B35" s="84" t="s">
        <v>34</v>
      </c>
      <c r="C35" s="91" t="e">
        <f>('15.1н'!#REF!+'15.2н'!#REF!+'15.3н'!#REF!)/3</f>
        <v>#REF!</v>
      </c>
      <c r="D35" s="91" t="e">
        <f>('15.1н'!#REF!+'15.2н'!#REF!+'15.3н'!#REF!)/3</f>
        <v>#REF!</v>
      </c>
      <c r="E35" s="91">
        <f>('15.1н'!E35+'15.2н'!E35+'15.3н'!E35)/3</f>
        <v>0</v>
      </c>
      <c r="F35" s="91">
        <f>('15.1н'!F35+'15.2н'!F35+'15.3н'!F35)/3</f>
        <v>0</v>
      </c>
      <c r="G35" s="91">
        <f>('15.1н'!G35+'15.2н'!G35+'15.3н'!G35)/3</f>
        <v>0</v>
      </c>
      <c r="H35" s="91">
        <f>('15.1н'!H35+'15.2н'!H35+'15.3н'!H35)/3</f>
        <v>0</v>
      </c>
      <c r="I35" s="91">
        <f>('15.1н'!I35+'15.2н'!I35+'15.3н'!I35)/3</f>
        <v>0</v>
      </c>
      <c r="J35" s="91">
        <f>('15.1н'!J35+'15.2н'!J35+'15.3н'!J35)/3</f>
        <v>0</v>
      </c>
      <c r="K35" s="91">
        <f>('15.1н'!K35+'15.2н'!K35+'15.3н'!K35)/3</f>
        <v>0</v>
      </c>
      <c r="L35" s="91">
        <f>('15.1н'!L35+'15.2н'!L35+'15.3н'!L35)/3</f>
        <v>0</v>
      </c>
      <c r="M35" s="91">
        <f>('15.1н'!M35+'15.2н'!M35+'15.3н'!M35)/3</f>
        <v>0</v>
      </c>
      <c r="N35" s="91">
        <f>('15.1н'!N35+'15.2н'!N35+'15.3н'!N35)/3</f>
        <v>0</v>
      </c>
      <c r="O35" s="91">
        <f>('15.1н'!O35+'15.2н'!O35+'15.3н'!O35)/3</f>
        <v>0</v>
      </c>
      <c r="P35" s="91">
        <f>('15.1н'!P35+'15.2н'!P35+'15.3н'!P35)/3</f>
        <v>0</v>
      </c>
      <c r="Q35" s="91">
        <f>('15.1н'!Q35+'15.2н'!Q35+'15.3н'!Q35)/3</f>
        <v>0</v>
      </c>
      <c r="R35" s="91">
        <f>('15.1н'!B35+'15.2н'!B35+'15.3н'!B35)/3</f>
        <v>0.35039119852090383</v>
      </c>
    </row>
    <row r="36" spans="1:18" x14ac:dyDescent="0.25">
      <c r="A36" s="84">
        <v>35</v>
      </c>
      <c r="B36" s="84" t="s">
        <v>35</v>
      </c>
      <c r="C36" s="91" t="e">
        <f>('15.1н'!#REF!+'15.2н'!#REF!+'15.3н'!#REF!)/3</f>
        <v>#REF!</v>
      </c>
      <c r="D36" s="91" t="e">
        <f>('15.1н'!#REF!+'15.2н'!#REF!+'15.3н'!#REF!)/3</f>
        <v>#REF!</v>
      </c>
      <c r="E36" s="91">
        <f>('15.1н'!E36+'15.2н'!E36+'15.3н'!E36)/3</f>
        <v>0</v>
      </c>
      <c r="F36" s="91">
        <f>('15.1н'!F36+'15.2н'!F36+'15.3н'!F36)/3</f>
        <v>0</v>
      </c>
      <c r="G36" s="91">
        <f>('15.1н'!G36+'15.2н'!G36+'15.3н'!G36)/3</f>
        <v>0</v>
      </c>
      <c r="H36" s="91">
        <f>('15.1н'!H36+'15.2н'!H36+'15.3н'!H36)/3</f>
        <v>0</v>
      </c>
      <c r="I36" s="91">
        <f>('15.1н'!I36+'15.2н'!I36+'15.3н'!I36)/3</f>
        <v>0</v>
      </c>
      <c r="J36" s="91">
        <f>('15.1н'!J36+'15.2н'!J36+'15.3н'!J36)/3</f>
        <v>0</v>
      </c>
      <c r="K36" s="91">
        <f>('15.1н'!K36+'15.2н'!K36+'15.3н'!K36)/3</f>
        <v>0</v>
      </c>
      <c r="L36" s="91">
        <f>('15.1н'!L36+'15.2н'!L36+'15.3н'!L36)/3</f>
        <v>0</v>
      </c>
      <c r="M36" s="91">
        <f>('15.1н'!M36+'15.2н'!M36+'15.3н'!M36)/3</f>
        <v>0</v>
      </c>
      <c r="N36" s="91">
        <f>('15.1н'!N36+'15.2н'!N36+'15.3н'!N36)/3</f>
        <v>0</v>
      </c>
      <c r="O36" s="91">
        <f>('15.1н'!O36+'15.2н'!O36+'15.3н'!O36)/3</f>
        <v>0</v>
      </c>
      <c r="P36" s="91">
        <f>('15.1н'!P36+'15.2н'!P36+'15.3н'!P36)/3</f>
        <v>0</v>
      </c>
      <c r="Q36" s="91">
        <f>('15.1н'!Q36+'15.2н'!Q36+'15.3н'!Q36)/3</f>
        <v>0</v>
      </c>
      <c r="R36" s="91">
        <f>('15.1н'!B36+'15.2н'!B36+'15.3н'!B36)/3</f>
        <v>0.45150552400619698</v>
      </c>
    </row>
    <row r="37" spans="1:18" x14ac:dyDescent="0.25">
      <c r="A37" s="84">
        <v>36</v>
      </c>
      <c r="B37" s="84" t="s">
        <v>36</v>
      </c>
      <c r="C37" s="91"/>
      <c r="D37" s="91"/>
      <c r="E37" s="91"/>
      <c r="F37" s="91"/>
      <c r="G37" s="91"/>
      <c r="H37" s="91"/>
      <c r="I37" s="91"/>
      <c r="J37" s="91"/>
      <c r="K37" s="91"/>
      <c r="L37" s="91">
        <f>('15.1н'!L37+'15.2н'!L37+'15.3н'!L37)/3</f>
        <v>0</v>
      </c>
      <c r="M37" s="91">
        <f>('15.1н'!M37+'15.2н'!M37+'15.3н'!M37)/3</f>
        <v>0</v>
      </c>
      <c r="N37" s="91">
        <f>('15.1н'!N37+'15.2н'!N37+'15.3н'!N37)/3</f>
        <v>0</v>
      </c>
      <c r="O37" s="91">
        <f>('15.1н'!O37+'15.2н'!O37+'15.3н'!O37)/3</f>
        <v>0</v>
      </c>
      <c r="P37" s="91">
        <f>('15.1н'!P37+'15.2н'!P37+'15.3н'!P37)/3</f>
        <v>0</v>
      </c>
      <c r="Q37" s="91">
        <f>('15.1н'!Q37+'15.2н'!Q37+'15.3н'!Q37)/3</f>
        <v>0</v>
      </c>
      <c r="R37" s="91">
        <f>('15.1н'!B37+'15.2н'!B37+'15.3н'!B37)/3</f>
        <v>0.45035239772564312</v>
      </c>
    </row>
    <row r="38" spans="1:18" x14ac:dyDescent="0.25">
      <c r="A38" s="84">
        <v>37</v>
      </c>
      <c r="B38" s="84" t="s">
        <v>37</v>
      </c>
      <c r="C38" s="91" t="e">
        <f>('15.1н'!#REF!+'15.2н'!#REF!+'15.3н'!#REF!)/3</f>
        <v>#REF!</v>
      </c>
      <c r="D38" s="91" t="e">
        <f>('15.1н'!#REF!+'15.2н'!#REF!+'15.3н'!#REF!)/3</f>
        <v>#REF!</v>
      </c>
      <c r="E38" s="91">
        <f>('15.1н'!E38+'15.2н'!E38+'15.3н'!E38)/3</f>
        <v>0</v>
      </c>
      <c r="F38" s="91">
        <f>('15.1н'!F38+'15.2н'!F38+'15.3н'!F38)/3</f>
        <v>0</v>
      </c>
      <c r="G38" s="91">
        <f>('15.1н'!G38+'15.2н'!G38+'15.3н'!G38)/3</f>
        <v>0</v>
      </c>
      <c r="H38" s="91">
        <f>('15.1н'!H38+'15.2н'!H38+'15.3н'!H38)/3</f>
        <v>0</v>
      </c>
      <c r="I38" s="91">
        <f>('15.1н'!I38+'15.2н'!I38+'15.3н'!I38)/3</f>
        <v>0</v>
      </c>
      <c r="J38" s="91">
        <f>('15.1н'!J38+'15.2н'!J38+'15.3н'!J38)/3</f>
        <v>0</v>
      </c>
      <c r="K38" s="91">
        <f>('15.1н'!K38+'15.2н'!K38+'15.3н'!K38)/3</f>
        <v>0</v>
      </c>
      <c r="L38" s="91">
        <f>('15.1н'!L38+'15.2н'!L38+'15.3н'!L38)/3</f>
        <v>0</v>
      </c>
      <c r="M38" s="91">
        <f>('15.1н'!M38+'15.2н'!M38+'15.3н'!M38)/3</f>
        <v>0</v>
      </c>
      <c r="N38" s="91">
        <f>('15.1н'!N38+'15.2н'!N38+'15.3н'!N38)/3</f>
        <v>0</v>
      </c>
      <c r="O38" s="91">
        <f>('15.1н'!O38+'15.2н'!O38+'15.3н'!O38)/3</f>
        <v>0</v>
      </c>
      <c r="P38" s="91">
        <f>('15.1н'!P38+'15.2н'!P38+'15.3н'!P38)/3</f>
        <v>0</v>
      </c>
      <c r="Q38" s="91">
        <f>('15.1н'!Q38+'15.2н'!Q38+'15.3н'!Q38)/3</f>
        <v>0</v>
      </c>
      <c r="R38" s="91">
        <f>('15.1н'!B38+'15.2н'!B38+'15.3н'!B38)/3</f>
        <v>0.46187434792690651</v>
      </c>
    </row>
    <row r="39" spans="1:18" x14ac:dyDescent="0.25">
      <c r="A39" s="84">
        <v>38</v>
      </c>
      <c r="B39" s="84" t="s">
        <v>38</v>
      </c>
      <c r="C39" s="91"/>
      <c r="D39" s="91"/>
      <c r="E39" s="91"/>
      <c r="F39" s="91"/>
      <c r="G39" s="91"/>
      <c r="H39" s="91"/>
      <c r="I39" s="91"/>
      <c r="J39" s="91"/>
      <c r="K39" s="91">
        <f>('15.1н'!K39+'15.2н'!K39+'15.3н'!K39)/3</f>
        <v>0</v>
      </c>
      <c r="L39" s="91">
        <f>('15.1н'!L39+'15.2н'!L39+'15.3н'!L39)/3</f>
        <v>0</v>
      </c>
      <c r="M39" s="91">
        <f>('15.1н'!M39+'15.2н'!M39+'15.3н'!M39)/3</f>
        <v>0</v>
      </c>
      <c r="N39" s="91">
        <f>('15.1н'!N39+'15.2н'!N39+'15.3н'!N39)/3</f>
        <v>0</v>
      </c>
      <c r="O39" s="91">
        <f>('15.1н'!O39+'15.2н'!O39+'15.3н'!O39)/3</f>
        <v>0</v>
      </c>
      <c r="P39" s="91">
        <f>('15.1н'!P39+'15.2н'!P39+'15.3н'!P39)/3</f>
        <v>0</v>
      </c>
      <c r="Q39" s="91">
        <f>('15.1н'!Q39+'15.2н'!Q39+'15.3н'!Q39)/3</f>
        <v>0</v>
      </c>
      <c r="R39" s="91">
        <f>('15.1н'!B39+'15.2н'!B39+'15.3н'!B39)/3</f>
        <v>4.1629816866589224E-2</v>
      </c>
    </row>
    <row r="40" spans="1:18" x14ac:dyDescent="0.25">
      <c r="A40" s="84">
        <v>39</v>
      </c>
      <c r="B40" s="84" t="s">
        <v>42</v>
      </c>
      <c r="C40" s="91" t="e">
        <f>('15.1н'!#REF!+'15.2н'!#REF!+'15.3н'!#REF!)/3</f>
        <v>#REF!</v>
      </c>
      <c r="D40" s="91" t="e">
        <f>('15.1н'!#REF!+'15.2н'!#REF!+'15.3н'!#REF!)/3</f>
        <v>#REF!</v>
      </c>
      <c r="E40" s="91">
        <f>('15.1н'!E40+'15.2н'!E40+'15.3н'!E40)/3</f>
        <v>0</v>
      </c>
      <c r="F40" s="91">
        <f>('15.1н'!F40+'15.2н'!F40+'15.3н'!F40)/3</f>
        <v>0</v>
      </c>
      <c r="G40" s="91">
        <f>('15.1н'!G40+'15.2н'!G40+'15.3н'!G40)/3</f>
        <v>0</v>
      </c>
      <c r="H40" s="91">
        <f>('15.1н'!H40+'15.2н'!H40+'15.3н'!H40)/3</f>
        <v>0</v>
      </c>
      <c r="I40" s="91">
        <f>('15.1н'!I40+'15.2н'!I40+'15.3н'!I40)/3</f>
        <v>0</v>
      </c>
      <c r="J40" s="91">
        <f>('15.1н'!J40+'15.2н'!J40+'15.3н'!J40)/3</f>
        <v>0</v>
      </c>
      <c r="K40" s="91">
        <f>('15.1н'!K40+'15.2н'!K40+'15.3н'!K40)/3</f>
        <v>0</v>
      </c>
      <c r="L40" s="91">
        <f>('15.1н'!L40+'15.2н'!L40+'15.3н'!L40)/3</f>
        <v>0</v>
      </c>
      <c r="M40" s="91">
        <f>('15.1н'!M40+'15.2н'!M40+'15.3н'!M40)/3</f>
        <v>0</v>
      </c>
      <c r="N40" s="91">
        <f>('15.1н'!N40+'15.2н'!N40+'15.3н'!N40)/3</f>
        <v>0</v>
      </c>
      <c r="O40" s="91">
        <f>('15.1н'!O40+'15.2н'!O40+'15.3н'!O40)/3</f>
        <v>0</v>
      </c>
      <c r="P40" s="91">
        <f>('15.1н'!P40+'15.2н'!P40+'15.3н'!P40)/3</f>
        <v>0</v>
      </c>
      <c r="Q40" s="91">
        <f>('15.1н'!Q40+'15.2н'!Q40+'15.3н'!Q40)/3</f>
        <v>0</v>
      </c>
      <c r="R40" s="91">
        <f>('15.1н'!B40+'15.2н'!B40+'15.3н'!B40)/3</f>
        <v>0.29961646792444524</v>
      </c>
    </row>
    <row r="41" spans="1:18" x14ac:dyDescent="0.25">
      <c r="A41" s="84">
        <v>40</v>
      </c>
      <c r="B41" s="84" t="s">
        <v>39</v>
      </c>
      <c r="C41" s="91" t="e">
        <f>('15.1н'!#REF!+'15.2н'!#REF!+'15.3н'!#REF!)/3</f>
        <v>#REF!</v>
      </c>
      <c r="D41" s="91" t="e">
        <f>('15.1н'!#REF!+'15.2н'!#REF!+'15.3н'!#REF!)/3</f>
        <v>#REF!</v>
      </c>
      <c r="E41" s="91">
        <f>('15.1н'!E41+'15.2н'!E41+'15.3н'!E41)/3</f>
        <v>0</v>
      </c>
      <c r="F41" s="91">
        <f>('15.1н'!F41+'15.2н'!F41+'15.3н'!F41)/3</f>
        <v>0</v>
      </c>
      <c r="G41" s="91">
        <f>('15.1н'!G41+'15.2н'!G41+'15.3н'!G41)/3</f>
        <v>0</v>
      </c>
      <c r="H41" s="91">
        <f>('15.1н'!H41+'15.2н'!H41+'15.3н'!H41)/3</f>
        <v>0</v>
      </c>
      <c r="I41" s="91">
        <f>('15.1н'!I41+'15.2н'!I41+'15.3н'!I41)/3</f>
        <v>0</v>
      </c>
      <c r="J41" s="91">
        <f>('15.1н'!J41+'15.2н'!J41+'15.3н'!J41)/3</f>
        <v>0</v>
      </c>
      <c r="K41" s="91">
        <f>('15.1н'!K41+'15.2н'!K41+'15.3н'!K41)/3</f>
        <v>0</v>
      </c>
      <c r="L41" s="91">
        <f>('15.1н'!L41+'15.2н'!L41+'15.3н'!L41)/3</f>
        <v>0</v>
      </c>
      <c r="M41" s="91">
        <f>('15.1н'!M41+'15.2н'!M41+'15.3н'!M41)/3</f>
        <v>0</v>
      </c>
      <c r="N41" s="91">
        <f>('15.1н'!N41+'15.2н'!N41+'15.3н'!N41)/3</f>
        <v>0</v>
      </c>
      <c r="O41" s="91">
        <f>('15.1н'!O41+'15.2н'!O41+'15.3н'!O41)/3</f>
        <v>0</v>
      </c>
      <c r="P41" s="91">
        <f>('15.1н'!P41+'15.2н'!P41+'15.3н'!P41)/3</f>
        <v>0</v>
      </c>
      <c r="Q41" s="91">
        <f>('15.1н'!Q41+'15.2н'!Q41+'15.3н'!Q41)/3</f>
        <v>0</v>
      </c>
      <c r="R41" s="91">
        <f>('15.1н'!B41+'15.2н'!B41+'15.3н'!B41)/3</f>
        <v>0.13767686414431488</v>
      </c>
    </row>
    <row r="42" spans="1:18" x14ac:dyDescent="0.25">
      <c r="A42" s="84">
        <v>41</v>
      </c>
      <c r="B42" s="84" t="s">
        <v>43</v>
      </c>
      <c r="C42" s="91" t="e">
        <f>('15.1н'!#REF!+'15.2н'!#REF!+'15.3н'!#REF!)/3</f>
        <v>#REF!</v>
      </c>
      <c r="D42" s="91" t="e">
        <f>('15.1н'!#REF!+'15.2н'!#REF!+'15.3н'!#REF!)/3</f>
        <v>#REF!</v>
      </c>
      <c r="E42" s="91">
        <f>('15.1н'!E42+'15.2н'!E42+'15.3н'!E42)/3</f>
        <v>0</v>
      </c>
      <c r="F42" s="91">
        <f>('15.1н'!F42+'15.2н'!F42+'15.3н'!F42)/3</f>
        <v>0</v>
      </c>
      <c r="G42" s="91">
        <f>('15.1н'!G42+'15.2н'!G42+'15.3н'!G42)/3</f>
        <v>0</v>
      </c>
      <c r="H42" s="91">
        <f>('15.1н'!H42+'15.2н'!H42+'15.3н'!H42)/3</f>
        <v>0</v>
      </c>
      <c r="I42" s="91">
        <f>('15.1н'!I42+'15.2н'!I42+'15.3н'!I42)/3</f>
        <v>0</v>
      </c>
      <c r="J42" s="91">
        <f>('15.1н'!J42+'15.2н'!J42+'15.3н'!J42)/3</f>
        <v>0</v>
      </c>
      <c r="K42" s="91">
        <f>('15.1н'!K42+'15.2н'!K42+'15.3н'!K42)/3</f>
        <v>0</v>
      </c>
      <c r="L42" s="91">
        <f>('15.1н'!L42+'15.2н'!L42+'15.3н'!L42)/3</f>
        <v>0</v>
      </c>
      <c r="M42" s="91">
        <f>('15.1н'!M42+'15.2н'!M42+'15.3н'!M42)/3</f>
        <v>0</v>
      </c>
      <c r="N42" s="91">
        <f>('15.1н'!N42+'15.2н'!N42+'15.3н'!N42)/3</f>
        <v>0</v>
      </c>
      <c r="O42" s="91">
        <f>('15.1н'!O42+'15.2н'!O42+'15.3н'!O42)/3</f>
        <v>0</v>
      </c>
      <c r="P42" s="91">
        <f>('15.1н'!P42+'15.2н'!P42+'15.3н'!P42)/3</f>
        <v>0</v>
      </c>
      <c r="Q42" s="91">
        <f>('15.1н'!Q42+'15.2н'!Q42+'15.3н'!Q42)/3</f>
        <v>0</v>
      </c>
      <c r="R42" s="91">
        <f>('15.1н'!B42+'15.2н'!B42+'15.3н'!B42)/3</f>
        <v>0.28867213404293562</v>
      </c>
    </row>
    <row r="43" spans="1:18" x14ac:dyDescent="0.25">
      <c r="A43" s="84">
        <v>42</v>
      </c>
      <c r="B43" s="84" t="s">
        <v>40</v>
      </c>
      <c r="C43" s="91"/>
      <c r="D43" s="91"/>
      <c r="E43" s="91"/>
      <c r="F43" s="91"/>
      <c r="G43" s="91"/>
      <c r="H43" s="91">
        <f>('15.1н'!H43+'15.2н'!H43+'15.3н'!H43)/3</f>
        <v>0</v>
      </c>
      <c r="I43" s="91">
        <f>('15.1н'!I43+'15.2н'!I43+'15.3н'!I43)/3</f>
        <v>0</v>
      </c>
      <c r="J43" s="91">
        <f>('15.1н'!J43+'15.2н'!J43+'15.3н'!J43)/3</f>
        <v>0</v>
      </c>
      <c r="K43" s="91">
        <f>('15.1н'!K43+'15.2н'!K43+'15.3н'!K43)/3</f>
        <v>0</v>
      </c>
      <c r="L43" s="91">
        <f>('15.1н'!L43+'15.2н'!L43+'15.3н'!L43)/3</f>
        <v>0</v>
      </c>
      <c r="M43" s="91">
        <f>('15.1н'!M43+'15.2н'!M43+'15.3н'!M43)/3</f>
        <v>0</v>
      </c>
      <c r="N43" s="91">
        <f>('15.1н'!N43+'15.2н'!N43+'15.3н'!N43)/3</f>
        <v>0</v>
      </c>
      <c r="O43" s="91">
        <f>('15.1н'!O43+'15.2н'!O43+'15.3н'!O43)/3</f>
        <v>0</v>
      </c>
      <c r="P43" s="91">
        <f>('15.1н'!P43+'15.2н'!P43+'15.3н'!P43)/3</f>
        <v>0</v>
      </c>
      <c r="Q43" s="91">
        <f>('15.1н'!Q43+'15.2н'!Q43+'15.3н'!Q43)/3</f>
        <v>0</v>
      </c>
      <c r="R43" s="91">
        <f>('15.1н'!B43+'15.2н'!B43+'15.3н'!B43)/3</f>
        <v>0.32320189071317368</v>
      </c>
    </row>
    <row r="44" spans="1:18" x14ac:dyDescent="0.25">
      <c r="A44" s="84">
        <v>43</v>
      </c>
      <c r="B44" s="84" t="s">
        <v>41</v>
      </c>
      <c r="C44" s="91" t="e">
        <f>('15.1н'!#REF!+'15.2н'!#REF!+'15.3н'!#REF!)/3</f>
        <v>#REF!</v>
      </c>
      <c r="D44" s="91" t="e">
        <f>('15.1н'!#REF!+'15.2н'!#REF!+'15.3н'!#REF!)/3</f>
        <v>#REF!</v>
      </c>
      <c r="E44" s="91">
        <f>('15.1н'!E44+'15.2н'!E44+'15.3н'!E44)/3</f>
        <v>0</v>
      </c>
      <c r="F44" s="91">
        <f>('15.1н'!F44+'15.2н'!F44+'15.3н'!F44)/3</f>
        <v>0</v>
      </c>
      <c r="G44" s="91">
        <f>('15.1н'!G44+'15.2н'!G44+'15.3н'!G44)/3</f>
        <v>0</v>
      </c>
      <c r="H44" s="91">
        <f>('15.1н'!H44+'15.2н'!H44+'15.3н'!H44)/3</f>
        <v>0</v>
      </c>
      <c r="I44" s="91">
        <f>('15.1н'!I44+'15.2н'!I44+'15.3н'!I44)/3</f>
        <v>0</v>
      </c>
      <c r="J44" s="91">
        <f>('15.1н'!J44+'15.2н'!J44+'15.3н'!J44)/3</f>
        <v>0</v>
      </c>
      <c r="K44" s="91">
        <f>('15.1н'!K44+'15.2н'!K44+'15.3н'!K44)/3</f>
        <v>0</v>
      </c>
      <c r="L44" s="91">
        <f>('15.1н'!L44+'15.2н'!L44+'15.3н'!L44)/3</f>
        <v>0</v>
      </c>
      <c r="M44" s="91">
        <f>('15.1н'!M44+'15.2н'!M44+'15.3н'!M44)/3</f>
        <v>0</v>
      </c>
      <c r="N44" s="91">
        <f>('15.1н'!N44+'15.2н'!N44+'15.3н'!N44)/3</f>
        <v>0</v>
      </c>
      <c r="O44" s="91">
        <f>('15.1н'!O44+'15.2н'!O44+'15.3н'!O44)/3</f>
        <v>0</v>
      </c>
      <c r="P44" s="91">
        <f>('15.1н'!P44+'15.2н'!P44+'15.3н'!P44)/3</f>
        <v>0</v>
      </c>
      <c r="Q44" s="91">
        <f>('15.1н'!Q44+'15.2н'!Q44+'15.3н'!Q44)/3</f>
        <v>0</v>
      </c>
      <c r="R44" s="91">
        <f>('15.1н'!B44+'15.2н'!B44+'15.3н'!B44)/3</f>
        <v>0.4355342666652211</v>
      </c>
    </row>
    <row r="45" spans="1:18" x14ac:dyDescent="0.25">
      <c r="A45" s="84">
        <v>44</v>
      </c>
      <c r="B45" s="84" t="s">
        <v>44</v>
      </c>
      <c r="C45" s="91" t="e">
        <f>('15.1н'!#REF!+'15.2н'!#REF!+'15.3н'!#REF!)/3</f>
        <v>#REF!</v>
      </c>
      <c r="D45" s="91" t="e">
        <f>('15.1н'!#REF!+'15.2н'!#REF!+'15.3н'!#REF!)/3</f>
        <v>#REF!</v>
      </c>
      <c r="E45" s="91">
        <f>('15.1н'!E45+'15.2н'!E45+'15.3н'!E45)/3</f>
        <v>0</v>
      </c>
      <c r="F45" s="91">
        <f>('15.1н'!F45+'15.2н'!F45+'15.3н'!F45)/3</f>
        <v>0</v>
      </c>
      <c r="G45" s="91">
        <f>('15.1н'!G45+'15.2н'!G45+'15.3н'!G45)/3</f>
        <v>0</v>
      </c>
      <c r="H45" s="91">
        <f>('15.1н'!H45+'15.2н'!H45+'15.3н'!H45)/3</f>
        <v>0</v>
      </c>
      <c r="I45" s="91">
        <f>('15.1н'!I45+'15.2н'!I45+'15.3н'!I45)/3</f>
        <v>0</v>
      </c>
      <c r="J45" s="91">
        <f>('15.1н'!J45+'15.2н'!J45+'15.3н'!J45)/3</f>
        <v>0</v>
      </c>
      <c r="K45" s="91">
        <f>('15.1н'!K45+'15.2н'!K45+'15.3н'!K45)/3</f>
        <v>0</v>
      </c>
      <c r="L45" s="91">
        <f>('15.1н'!L45+'15.2н'!L45+'15.3н'!L45)/3</f>
        <v>0</v>
      </c>
      <c r="M45" s="91">
        <f>('15.1н'!M45+'15.2н'!M45+'15.3н'!M45)/3</f>
        <v>0</v>
      </c>
      <c r="N45" s="91">
        <f>('15.1н'!N45+'15.2н'!N45+'15.3н'!N45)/3</f>
        <v>0</v>
      </c>
      <c r="O45" s="91">
        <f>('15.1н'!O45+'15.2н'!O45+'15.3н'!O45)/3</f>
        <v>0</v>
      </c>
      <c r="P45" s="91">
        <f>('15.1н'!P45+'15.2н'!P45+'15.3н'!P45)/3</f>
        <v>0</v>
      </c>
      <c r="Q45" s="91">
        <f>('15.1н'!Q45+'15.2н'!Q45+'15.3н'!Q45)/3</f>
        <v>0</v>
      </c>
      <c r="R45" s="91">
        <f>('15.1н'!B45+'15.2н'!B45+'15.3н'!B45)/3</f>
        <v>0.40134612123549895</v>
      </c>
    </row>
    <row r="46" spans="1:18" x14ac:dyDescent="0.25">
      <c r="A46" s="84">
        <v>45</v>
      </c>
      <c r="B46" s="84" t="s">
        <v>45</v>
      </c>
      <c r="C46" s="91" t="e">
        <f>('15.1н'!#REF!+'15.2н'!#REF!+'15.3н'!#REF!)/3</f>
        <v>#REF!</v>
      </c>
      <c r="D46" s="91" t="e">
        <f>('15.1н'!#REF!+'15.2н'!#REF!+'15.3н'!#REF!)/3</f>
        <v>#REF!</v>
      </c>
      <c r="E46" s="91">
        <f>('15.1н'!E46+'15.2н'!E46+'15.3н'!E46)/3</f>
        <v>0</v>
      </c>
      <c r="F46" s="91">
        <f>('15.1н'!F46+'15.2н'!F46+'15.3н'!F46)/3</f>
        <v>0</v>
      </c>
      <c r="G46" s="91">
        <f>('15.1н'!G46+'15.2н'!G46+'15.3н'!G46)/3</f>
        <v>0</v>
      </c>
      <c r="H46" s="91">
        <f>('15.1н'!H46+'15.2н'!H46+'15.3н'!H46)/3</f>
        <v>0</v>
      </c>
      <c r="I46" s="91">
        <f>('15.1н'!I46+'15.2н'!I46+'15.3н'!I46)/3</f>
        <v>0</v>
      </c>
      <c r="J46" s="91">
        <f>('15.1н'!J46+'15.2н'!J46+'15.3н'!J46)/3</f>
        <v>0</v>
      </c>
      <c r="K46" s="91">
        <f>('15.1н'!K46+'15.2н'!K46+'15.3н'!K46)/3</f>
        <v>0</v>
      </c>
      <c r="L46" s="91">
        <f>('15.1н'!L46+'15.2н'!L46+'15.3н'!L46)/3</f>
        <v>0</v>
      </c>
      <c r="M46" s="91">
        <f>('15.1н'!M46+'15.2н'!M46+'15.3н'!M46)/3</f>
        <v>0</v>
      </c>
      <c r="N46" s="91">
        <f>('15.1н'!N46+'15.2н'!N46+'15.3н'!N46)/3</f>
        <v>0</v>
      </c>
      <c r="O46" s="91">
        <f>('15.1н'!O46+'15.2н'!O46+'15.3н'!O46)/3</f>
        <v>0</v>
      </c>
      <c r="P46" s="91">
        <f>('15.1н'!P46+'15.2н'!P46+'15.3н'!P46)/3</f>
        <v>0</v>
      </c>
      <c r="Q46" s="91">
        <f>('15.1н'!Q46+'15.2н'!Q46+'15.3н'!Q46)/3</f>
        <v>0</v>
      </c>
      <c r="R46" s="91">
        <f>('15.1н'!B46+'15.2н'!B46+'15.3н'!B46)/3</f>
        <v>0.28776807260032644</v>
      </c>
    </row>
    <row r="47" spans="1:18" x14ac:dyDescent="0.25">
      <c r="A47" s="84">
        <v>46</v>
      </c>
      <c r="B47" s="84" t="s">
        <v>46</v>
      </c>
      <c r="C47" s="91" t="e">
        <f>('15.1н'!#REF!+'15.2н'!#REF!+'15.3н'!#REF!)/3</f>
        <v>#REF!</v>
      </c>
      <c r="D47" s="91" t="e">
        <f>('15.1н'!#REF!+'15.2н'!#REF!+'15.3н'!#REF!)/3</f>
        <v>#REF!</v>
      </c>
      <c r="E47" s="91">
        <f>('15.1н'!E47+'15.2н'!E47+'15.3н'!E47)/3</f>
        <v>0</v>
      </c>
      <c r="F47" s="91">
        <f>('15.1н'!F47+'15.2н'!F47+'15.3н'!F47)/3</f>
        <v>0</v>
      </c>
      <c r="G47" s="91">
        <f>('15.1н'!G47+'15.2н'!G47+'15.3н'!G47)/3</f>
        <v>0</v>
      </c>
      <c r="H47" s="91">
        <f>('15.1н'!H47+'15.2н'!H47+'15.3н'!H47)/3</f>
        <v>0</v>
      </c>
      <c r="I47" s="91">
        <f>('15.1н'!I47+'15.2н'!I47+'15.3н'!I47)/3</f>
        <v>0</v>
      </c>
      <c r="J47" s="91">
        <f>('15.1н'!J47+'15.2н'!J47+'15.3н'!J47)/3</f>
        <v>0</v>
      </c>
      <c r="K47" s="91">
        <f>('15.1н'!K47+'15.2н'!K47+'15.3н'!K47)/3</f>
        <v>0</v>
      </c>
      <c r="L47" s="91">
        <f>('15.1н'!L47+'15.2н'!L47+'15.3н'!L47)/3</f>
        <v>0</v>
      </c>
      <c r="M47" s="91">
        <f>('15.1н'!M47+'15.2н'!M47+'15.3н'!M47)/3</f>
        <v>0</v>
      </c>
      <c r="N47" s="91">
        <f>('15.1н'!N47+'15.2н'!N47+'15.3н'!N47)/3</f>
        <v>0</v>
      </c>
      <c r="O47" s="91">
        <f>('15.1н'!O47+'15.2н'!O47+'15.3н'!O47)/3</f>
        <v>0</v>
      </c>
      <c r="P47" s="91">
        <f>('15.1н'!P47+'15.2н'!P47+'15.3н'!P47)/3</f>
        <v>0</v>
      </c>
      <c r="Q47" s="91">
        <f>('15.1н'!Q47+'15.2н'!Q47+'15.3н'!Q47)/3</f>
        <v>0</v>
      </c>
      <c r="R47" s="91">
        <f>('15.1н'!B47+'15.2н'!B47+'15.3н'!B47)/3</f>
        <v>0.24793964119261816</v>
      </c>
    </row>
    <row r="48" spans="1:18" x14ac:dyDescent="0.25">
      <c r="A48" s="84">
        <v>47</v>
      </c>
      <c r="B48" s="84" t="s">
        <v>47</v>
      </c>
      <c r="C48" s="91" t="e">
        <f>('15.1н'!#REF!+'15.2н'!#REF!+'15.3н'!#REF!)/3</f>
        <v>#REF!</v>
      </c>
      <c r="D48" s="91" t="e">
        <f>('15.1н'!#REF!+'15.2н'!#REF!+'15.3н'!#REF!)/3</f>
        <v>#REF!</v>
      </c>
      <c r="E48" s="91">
        <f>('15.1н'!E48+'15.2н'!E48+'15.3н'!E48)/3</f>
        <v>0</v>
      </c>
      <c r="F48" s="91">
        <f>('15.1н'!F48+'15.2н'!F48+'15.3н'!F48)/3</f>
        <v>0</v>
      </c>
      <c r="G48" s="91">
        <f>('15.1н'!G48+'15.2н'!G48+'15.3н'!G48)/3</f>
        <v>0</v>
      </c>
      <c r="H48" s="91">
        <f>('15.1н'!H48+'15.2н'!H48+'15.3н'!H48)/3</f>
        <v>0</v>
      </c>
      <c r="I48" s="91">
        <f>('15.1н'!I48+'15.2н'!I48+'15.3н'!I48)/3</f>
        <v>0</v>
      </c>
      <c r="J48" s="91">
        <f>('15.1н'!J48+'15.2н'!J48+'15.3н'!J48)/3</f>
        <v>0</v>
      </c>
      <c r="K48" s="91">
        <f>('15.1н'!K48+'15.2н'!K48+'15.3н'!K48)/3</f>
        <v>0</v>
      </c>
      <c r="L48" s="91">
        <f>('15.1н'!L48+'15.2н'!L48+'15.3н'!L48)/3</f>
        <v>0</v>
      </c>
      <c r="M48" s="91">
        <f>('15.1н'!M48+'15.2н'!M48+'15.3н'!M48)/3</f>
        <v>0</v>
      </c>
      <c r="N48" s="91">
        <f>('15.1н'!N48+'15.2н'!N48+'15.3н'!N48)/3</f>
        <v>0</v>
      </c>
      <c r="O48" s="91">
        <f>('15.1н'!O48+'15.2н'!O48+'15.3н'!O48)/3</f>
        <v>0</v>
      </c>
      <c r="P48" s="91">
        <f>('15.1н'!P48+'15.2н'!P48+'15.3н'!P48)/3</f>
        <v>0</v>
      </c>
      <c r="Q48" s="91">
        <f>('15.1н'!Q48+'15.2н'!Q48+'15.3н'!Q48)/3</f>
        <v>0</v>
      </c>
      <c r="R48" s="91">
        <f>('15.1н'!B48+'15.2н'!B48+'15.3н'!B48)/3</f>
        <v>0.4895550685408982</v>
      </c>
    </row>
    <row r="49" spans="1:18" x14ac:dyDescent="0.25">
      <c r="A49" s="84">
        <v>48</v>
      </c>
      <c r="B49" s="84" t="s">
        <v>48</v>
      </c>
      <c r="C49" s="91" t="e">
        <f>('15.1н'!#REF!+'15.2н'!#REF!+'15.3н'!#REF!)/3</f>
        <v>#REF!</v>
      </c>
      <c r="D49" s="91" t="e">
        <f>('15.1н'!#REF!+'15.2н'!#REF!+'15.3н'!#REF!)/3</f>
        <v>#REF!</v>
      </c>
      <c r="E49" s="91">
        <f>('15.1н'!E49+'15.2н'!E49+'15.3н'!E49)/3</f>
        <v>0</v>
      </c>
      <c r="F49" s="91">
        <f>('15.1н'!F49+'15.2н'!F49+'15.3н'!F49)/3</f>
        <v>0</v>
      </c>
      <c r="G49" s="91">
        <f>('15.1н'!G49+'15.2н'!G49+'15.3н'!G49)/3</f>
        <v>0</v>
      </c>
      <c r="H49" s="91">
        <f>('15.1н'!H49+'15.2н'!H49+'15.3н'!H49)/3</f>
        <v>0</v>
      </c>
      <c r="I49" s="91">
        <f>('15.1н'!I49+'15.2н'!I49+'15.3н'!I49)/3</f>
        <v>0</v>
      </c>
      <c r="J49" s="91">
        <f>('15.1н'!J49+'15.2н'!J49+'15.3н'!J49)/3</f>
        <v>0</v>
      </c>
      <c r="K49" s="91">
        <f>('15.1н'!K49+'15.2н'!K49+'15.3н'!K49)/3</f>
        <v>0</v>
      </c>
      <c r="L49" s="91">
        <f>('15.1н'!L49+'15.2н'!L49+'15.3н'!L49)/3</f>
        <v>0</v>
      </c>
      <c r="M49" s="91">
        <f>('15.1н'!M49+'15.2н'!M49+'15.3н'!M49)/3</f>
        <v>0</v>
      </c>
      <c r="N49" s="91">
        <f>('15.1н'!N49+'15.2н'!N49+'15.3н'!N49)/3</f>
        <v>0</v>
      </c>
      <c r="O49" s="91">
        <f>('15.1н'!O49+'15.2н'!O49+'15.3н'!O49)/3</f>
        <v>0</v>
      </c>
      <c r="P49" s="91">
        <f>('15.1н'!P49+'15.2н'!P49+'15.3н'!P49)/3</f>
        <v>0</v>
      </c>
      <c r="Q49" s="91">
        <f>('15.1н'!Q49+'15.2н'!Q49+'15.3н'!Q49)/3</f>
        <v>0</v>
      </c>
      <c r="R49" s="91">
        <f>('15.1н'!B49+'15.2н'!B49+'15.3н'!B49)/3</f>
        <v>0.35156954733402118</v>
      </c>
    </row>
    <row r="50" spans="1:18" x14ac:dyDescent="0.25">
      <c r="A50" s="84">
        <v>49</v>
      </c>
      <c r="B50" s="84" t="s">
        <v>49</v>
      </c>
      <c r="C50" s="91" t="e">
        <f>('15.1н'!#REF!+'15.2н'!#REF!+'15.3н'!#REF!)/3</f>
        <v>#REF!</v>
      </c>
      <c r="D50" s="91" t="e">
        <f>('15.1н'!#REF!+'15.2н'!#REF!+'15.3н'!#REF!)/3</f>
        <v>#REF!</v>
      </c>
      <c r="E50" s="91">
        <f>('15.1н'!E50+'15.2н'!E50+'15.3н'!E50)/3</f>
        <v>0</v>
      </c>
      <c r="F50" s="91">
        <f>('15.1н'!F50+'15.2н'!F50+'15.3н'!F50)/3</f>
        <v>0</v>
      </c>
      <c r="G50" s="91">
        <f>('15.1н'!G50+'15.2н'!G50+'15.3н'!G50)/3</f>
        <v>0</v>
      </c>
      <c r="H50" s="91">
        <f>('15.1н'!H50+'15.2н'!H50+'15.3н'!H50)/3</f>
        <v>0</v>
      </c>
      <c r="I50" s="91">
        <f>('15.1н'!I50+'15.2н'!I50+'15.3н'!I50)/3</f>
        <v>0</v>
      </c>
      <c r="J50" s="91">
        <f>('15.1н'!J50+'15.2н'!J50+'15.3н'!J50)/3</f>
        <v>0</v>
      </c>
      <c r="K50" s="91">
        <f>('15.1н'!K50+'15.2н'!K50+'15.3н'!K50)/3</f>
        <v>0</v>
      </c>
      <c r="L50" s="91">
        <f>('15.1н'!L50+'15.2н'!L50+'15.3н'!L50)/3</f>
        <v>0</v>
      </c>
      <c r="M50" s="91">
        <f>('15.1н'!M50+'15.2н'!M50+'15.3н'!M50)/3</f>
        <v>0</v>
      </c>
      <c r="N50" s="91">
        <f>('15.1н'!N50+'15.2н'!N50+'15.3н'!N50)/3</f>
        <v>0</v>
      </c>
      <c r="O50" s="91">
        <f>('15.1н'!O50+'15.2н'!O50+'15.3н'!O50)/3</f>
        <v>0</v>
      </c>
      <c r="P50" s="91">
        <f>('15.1н'!P50+'15.2н'!P50+'15.3н'!P50)/3</f>
        <v>0</v>
      </c>
      <c r="Q50" s="91">
        <f>('15.1н'!Q50+'15.2н'!Q50+'15.3н'!Q50)/3</f>
        <v>0</v>
      </c>
      <c r="R50" s="91">
        <f>('15.1н'!B50+'15.2н'!B50+'15.3н'!B50)/3</f>
        <v>0.3283874595654459</v>
      </c>
    </row>
    <row r="51" spans="1:18" x14ac:dyDescent="0.25">
      <c r="A51" s="84">
        <v>50</v>
      </c>
      <c r="B51" s="84" t="s">
        <v>50</v>
      </c>
      <c r="C51" s="91" t="e">
        <f>('15.1н'!#REF!+'15.2н'!#REF!+'15.3н'!#REF!)/3</f>
        <v>#REF!</v>
      </c>
      <c r="D51" s="91" t="e">
        <f>('15.1н'!#REF!+'15.2н'!#REF!+'15.3н'!#REF!)/3</f>
        <v>#REF!</v>
      </c>
      <c r="E51" s="91">
        <f>('15.1н'!E51+'15.2н'!E51+'15.3н'!E51)/3</f>
        <v>0</v>
      </c>
      <c r="F51" s="91">
        <f>('15.1н'!F51+'15.2н'!F51+'15.3н'!F51)/3</f>
        <v>0</v>
      </c>
      <c r="G51" s="91">
        <f>('15.1н'!G51+'15.2н'!G51+'15.3н'!G51)/3</f>
        <v>0</v>
      </c>
      <c r="H51" s="91">
        <f>('15.1н'!H51+'15.2н'!H51+'15.3н'!H51)/3</f>
        <v>0</v>
      </c>
      <c r="I51" s="91">
        <f>('15.1н'!I51+'15.2н'!I51+'15.3н'!I51)/3</f>
        <v>0</v>
      </c>
      <c r="J51" s="91">
        <f>('15.1н'!J51+'15.2н'!J51+'15.3н'!J51)/3</f>
        <v>0</v>
      </c>
      <c r="K51" s="91">
        <f>('15.1н'!K51+'15.2н'!K51+'15.3н'!K51)/3</f>
        <v>0</v>
      </c>
      <c r="L51" s="91">
        <f>('15.1н'!L51+'15.2н'!L51+'15.3н'!L51)/3</f>
        <v>0</v>
      </c>
      <c r="M51" s="91">
        <f>('15.1н'!M51+'15.2н'!M51+'15.3н'!M51)/3</f>
        <v>0</v>
      </c>
      <c r="N51" s="91">
        <f>('15.1н'!N51+'15.2н'!N51+'15.3н'!N51)/3</f>
        <v>0</v>
      </c>
      <c r="O51" s="91">
        <f>('15.1н'!O51+'15.2н'!O51+'15.3н'!O51)/3</f>
        <v>0</v>
      </c>
      <c r="P51" s="91">
        <f>('15.1н'!P51+'15.2н'!P51+'15.3н'!P51)/3</f>
        <v>0</v>
      </c>
      <c r="Q51" s="91">
        <f>('15.1н'!Q51+'15.2н'!Q51+'15.3н'!Q51)/3</f>
        <v>0</v>
      </c>
      <c r="R51" s="91">
        <f>('15.1н'!B51+'15.2н'!B51+'15.3н'!B51)/3</f>
        <v>0.41683130797297352</v>
      </c>
    </row>
    <row r="52" spans="1:18" x14ac:dyDescent="0.25">
      <c r="A52" s="84">
        <v>51</v>
      </c>
      <c r="B52" s="84" t="s">
        <v>51</v>
      </c>
      <c r="C52" s="91" t="e">
        <f>('15.1н'!#REF!+'15.2н'!#REF!+'15.3н'!#REF!)/3</f>
        <v>#REF!</v>
      </c>
      <c r="D52" s="91" t="e">
        <f>('15.1н'!#REF!+'15.2н'!#REF!+'15.3н'!#REF!)/3</f>
        <v>#REF!</v>
      </c>
      <c r="E52" s="91">
        <f>('15.1н'!E52+'15.2н'!E52+'15.3н'!E52)/3</f>
        <v>0</v>
      </c>
      <c r="F52" s="91">
        <f>('15.1н'!F52+'15.2н'!F52+'15.3н'!F52)/3</f>
        <v>0</v>
      </c>
      <c r="G52" s="91">
        <f>('15.1н'!G52+'15.2н'!G52+'15.3н'!G52)/3</f>
        <v>0</v>
      </c>
      <c r="H52" s="91">
        <f>('15.1н'!H52+'15.2н'!H52+'15.3н'!H52)/3</f>
        <v>0</v>
      </c>
      <c r="I52" s="91">
        <f>('15.1н'!I52+'15.2н'!I52+'15.3н'!I52)/3</f>
        <v>0</v>
      </c>
      <c r="J52" s="91">
        <f>('15.1н'!J52+'15.2н'!J52+'15.3н'!J52)/3</f>
        <v>0</v>
      </c>
      <c r="K52" s="91">
        <f>('15.1н'!K52+'15.2н'!K52+'15.3н'!K52)/3</f>
        <v>0</v>
      </c>
      <c r="L52" s="91">
        <f>('15.1н'!L52+'15.2н'!L52+'15.3н'!L52)/3</f>
        <v>0</v>
      </c>
      <c r="M52" s="91">
        <f>('15.1н'!M52+'15.2н'!M52+'15.3н'!M52)/3</f>
        <v>0</v>
      </c>
      <c r="N52" s="91">
        <f>('15.1н'!N52+'15.2н'!N52+'15.3н'!N52)/3</f>
        <v>0</v>
      </c>
      <c r="O52" s="91">
        <f>('15.1н'!O52+'15.2н'!O52+'15.3н'!O52)/3</f>
        <v>0</v>
      </c>
      <c r="P52" s="91">
        <f>('15.1н'!P52+'15.2н'!P52+'15.3н'!P52)/3</f>
        <v>0</v>
      </c>
      <c r="Q52" s="91">
        <f>('15.1н'!Q52+'15.2н'!Q52+'15.3н'!Q52)/3</f>
        <v>0</v>
      </c>
      <c r="R52" s="91">
        <f>('15.1н'!B52+'15.2н'!B52+'15.3н'!B52)/3</f>
        <v>0.36700709471440701</v>
      </c>
    </row>
    <row r="53" spans="1:18" x14ac:dyDescent="0.25">
      <c r="A53" s="84">
        <v>52</v>
      </c>
      <c r="B53" s="84" t="s">
        <v>52</v>
      </c>
      <c r="C53" s="91" t="e">
        <f>('15.1н'!#REF!+'15.2н'!#REF!+'15.3н'!#REF!)/3</f>
        <v>#REF!</v>
      </c>
      <c r="D53" s="91" t="e">
        <f>('15.1н'!#REF!+'15.2н'!#REF!+'15.3н'!#REF!)/3</f>
        <v>#REF!</v>
      </c>
      <c r="E53" s="91">
        <f>('15.1н'!E53+'15.2н'!E53+'15.3н'!E53)/3</f>
        <v>0</v>
      </c>
      <c r="F53" s="91">
        <f>('15.1н'!F53+'15.2н'!F53+'15.3н'!F53)/3</f>
        <v>0</v>
      </c>
      <c r="G53" s="91">
        <f>('15.1н'!G53+'15.2н'!G53+'15.3н'!G53)/3</f>
        <v>0</v>
      </c>
      <c r="H53" s="91">
        <f>('15.1н'!H53+'15.2н'!H53+'15.3н'!H53)/3</f>
        <v>0</v>
      </c>
      <c r="I53" s="91">
        <f>('15.1н'!I53+'15.2н'!I53+'15.3н'!I53)/3</f>
        <v>0</v>
      </c>
      <c r="J53" s="91">
        <f>('15.1н'!J53+'15.2н'!J53+'15.3н'!J53)/3</f>
        <v>0</v>
      </c>
      <c r="K53" s="91">
        <f>('15.1н'!K53+'15.2н'!K53+'15.3н'!K53)/3</f>
        <v>0</v>
      </c>
      <c r="L53" s="91">
        <f>('15.1н'!L53+'15.2н'!L53+'15.3н'!L53)/3</f>
        <v>0</v>
      </c>
      <c r="M53" s="91">
        <f>('15.1н'!M53+'15.2н'!M53+'15.3н'!M53)/3</f>
        <v>0</v>
      </c>
      <c r="N53" s="91">
        <f>('15.1н'!N53+'15.2н'!N53+'15.3н'!N53)/3</f>
        <v>0</v>
      </c>
      <c r="O53" s="91">
        <f>('15.1н'!O53+'15.2н'!O53+'15.3н'!O53)/3</f>
        <v>0</v>
      </c>
      <c r="P53" s="91">
        <f>('15.1н'!P53+'15.2н'!P53+'15.3н'!P53)/3</f>
        <v>0</v>
      </c>
      <c r="Q53" s="91">
        <f>('15.1н'!Q53+'15.2н'!Q53+'15.3н'!Q53)/3</f>
        <v>0</v>
      </c>
      <c r="R53" s="91">
        <f>('15.1н'!B53+'15.2н'!B53+'15.3н'!B53)/3</f>
        <v>0.42194884791508702</v>
      </c>
    </row>
    <row r="54" spans="1:18" x14ac:dyDescent="0.25">
      <c r="A54" s="84">
        <v>53</v>
      </c>
      <c r="B54" s="84" t="s">
        <v>53</v>
      </c>
      <c r="C54" s="91" t="e">
        <f>('15.1н'!#REF!+'15.2н'!#REF!+'15.3н'!#REF!)/3</f>
        <v>#REF!</v>
      </c>
      <c r="D54" s="91" t="e">
        <f>('15.1н'!#REF!+'15.2н'!#REF!+'15.3н'!#REF!)/3</f>
        <v>#REF!</v>
      </c>
      <c r="E54" s="91">
        <f>('15.1н'!E54+'15.2н'!E54+'15.3н'!E54)/3</f>
        <v>0</v>
      </c>
      <c r="F54" s="91">
        <f>('15.1н'!F54+'15.2н'!F54+'15.3н'!F54)/3</f>
        <v>0</v>
      </c>
      <c r="G54" s="91">
        <f>('15.1н'!G54+'15.2н'!G54+'15.3н'!G54)/3</f>
        <v>0</v>
      </c>
      <c r="H54" s="91">
        <f>('15.1н'!H54+'15.2н'!H54+'15.3н'!H54)/3</f>
        <v>0</v>
      </c>
      <c r="I54" s="91">
        <f>('15.1н'!I54+'15.2н'!I54+'15.3н'!I54)/3</f>
        <v>0</v>
      </c>
      <c r="J54" s="91">
        <f>('15.1н'!J54+'15.2н'!J54+'15.3н'!J54)/3</f>
        <v>0</v>
      </c>
      <c r="K54" s="91">
        <f>('15.1н'!K54+'15.2н'!K54+'15.3н'!K54)/3</f>
        <v>0</v>
      </c>
      <c r="L54" s="91">
        <f>('15.1н'!L54+'15.2н'!L54+'15.3н'!L54)/3</f>
        <v>0</v>
      </c>
      <c r="M54" s="91">
        <f>('15.1н'!M54+'15.2н'!M54+'15.3н'!M54)/3</f>
        <v>0</v>
      </c>
      <c r="N54" s="91">
        <f>('15.1н'!N54+'15.2н'!N54+'15.3н'!N54)/3</f>
        <v>0</v>
      </c>
      <c r="O54" s="91">
        <f>('15.1н'!O54+'15.2н'!O54+'15.3н'!O54)/3</f>
        <v>0</v>
      </c>
      <c r="P54" s="91">
        <f>('15.1н'!P54+'15.2н'!P54+'15.3н'!P54)/3</f>
        <v>0</v>
      </c>
      <c r="Q54" s="91">
        <f>('15.1н'!Q54+'15.2н'!Q54+'15.3н'!Q54)/3</f>
        <v>0</v>
      </c>
      <c r="R54" s="91">
        <f>('15.1н'!B54+'15.2н'!B54+'15.3н'!B54)/3</f>
        <v>0.35577677120078272</v>
      </c>
    </row>
    <row r="55" spans="1:18" x14ac:dyDescent="0.25">
      <c r="A55" s="84">
        <v>54</v>
      </c>
      <c r="B55" s="84" t="s">
        <v>54</v>
      </c>
      <c r="C55" s="91" t="e">
        <f>('15.1н'!#REF!+'15.2н'!#REF!+'15.3н'!#REF!)/3</f>
        <v>#REF!</v>
      </c>
      <c r="D55" s="91" t="e">
        <f>('15.1н'!#REF!+'15.2н'!#REF!+'15.3н'!#REF!)/3</f>
        <v>#REF!</v>
      </c>
      <c r="E55" s="91">
        <f>('15.1н'!E55+'15.2н'!E55+'15.3н'!E55)/3</f>
        <v>0</v>
      </c>
      <c r="F55" s="91">
        <f>('15.1н'!F55+'15.2н'!F55+'15.3н'!F55)/3</f>
        <v>0</v>
      </c>
      <c r="G55" s="91">
        <f>('15.1н'!G55+'15.2н'!G55+'15.3н'!G55)/3</f>
        <v>0</v>
      </c>
      <c r="H55" s="91">
        <f>('15.1н'!H55+'15.2н'!H55+'15.3н'!H55)/3</f>
        <v>0</v>
      </c>
      <c r="I55" s="91">
        <f>('15.1н'!I55+'15.2н'!I55+'15.3н'!I55)/3</f>
        <v>0</v>
      </c>
      <c r="J55" s="91">
        <f>('15.1н'!J55+'15.2н'!J55+'15.3н'!J55)/3</f>
        <v>0</v>
      </c>
      <c r="K55" s="91">
        <f>('15.1н'!K55+'15.2н'!K55+'15.3н'!K55)/3</f>
        <v>0</v>
      </c>
      <c r="L55" s="91">
        <f>('15.1н'!L55+'15.2н'!L55+'15.3н'!L55)/3</f>
        <v>0</v>
      </c>
      <c r="M55" s="91">
        <f>('15.1н'!M55+'15.2н'!M55+'15.3н'!M55)/3</f>
        <v>0</v>
      </c>
      <c r="N55" s="91">
        <f>('15.1н'!N55+'15.2н'!N55+'15.3н'!N55)/3</f>
        <v>0</v>
      </c>
      <c r="O55" s="91">
        <f>('15.1н'!O55+'15.2н'!O55+'15.3н'!O55)/3</f>
        <v>0</v>
      </c>
      <c r="P55" s="91">
        <f>('15.1н'!P55+'15.2н'!P55+'15.3н'!P55)/3</f>
        <v>0</v>
      </c>
      <c r="Q55" s="91">
        <f>('15.1н'!Q55+'15.2н'!Q55+'15.3н'!Q55)/3</f>
        <v>0</v>
      </c>
      <c r="R55" s="91">
        <f>('15.1н'!B55+'15.2н'!B55+'15.3н'!B55)/3</f>
        <v>0.35407826419517435</v>
      </c>
    </row>
    <row r="56" spans="1:18" x14ac:dyDescent="0.25">
      <c r="A56" s="84">
        <v>55</v>
      </c>
      <c r="B56" s="84" t="s">
        <v>55</v>
      </c>
      <c r="C56" s="91" t="e">
        <f>('15.1н'!#REF!+'15.2н'!#REF!+'15.3н'!#REF!)/3</f>
        <v>#REF!</v>
      </c>
      <c r="D56" s="91" t="e">
        <f>('15.1н'!#REF!+'15.2н'!#REF!+'15.3н'!#REF!)/3</f>
        <v>#REF!</v>
      </c>
      <c r="E56" s="91">
        <f>('15.1н'!E56+'15.2н'!E56+'15.3н'!E56)/3</f>
        <v>0</v>
      </c>
      <c r="F56" s="91">
        <f>('15.1н'!F56+'15.2н'!F56+'15.3н'!F56)/3</f>
        <v>0</v>
      </c>
      <c r="G56" s="91">
        <f>('15.1н'!G56+'15.2н'!G56+'15.3н'!G56)/3</f>
        <v>0</v>
      </c>
      <c r="H56" s="91">
        <f>('15.1н'!H56+'15.2н'!H56+'15.3н'!H56)/3</f>
        <v>0</v>
      </c>
      <c r="I56" s="91">
        <f>('15.1н'!I56+'15.2н'!I56+'15.3н'!I56)/3</f>
        <v>0</v>
      </c>
      <c r="J56" s="91">
        <f>('15.1н'!J56+'15.2н'!J56+'15.3н'!J56)/3</f>
        <v>0</v>
      </c>
      <c r="K56" s="91">
        <f>('15.1н'!K56+'15.2н'!K56+'15.3н'!K56)/3</f>
        <v>0</v>
      </c>
      <c r="L56" s="91">
        <f>('15.1н'!L56+'15.2н'!L56+'15.3н'!L56)/3</f>
        <v>0</v>
      </c>
      <c r="M56" s="91">
        <f>('15.1н'!M56+'15.2н'!M56+'15.3н'!M56)/3</f>
        <v>0</v>
      </c>
      <c r="N56" s="91">
        <f>('15.1н'!N56+'15.2н'!N56+'15.3н'!N56)/3</f>
        <v>0</v>
      </c>
      <c r="O56" s="91">
        <f>('15.1н'!O56+'15.2н'!O56+'15.3н'!O56)/3</f>
        <v>0</v>
      </c>
      <c r="P56" s="91">
        <f>('15.1н'!P56+'15.2н'!P56+'15.3н'!P56)/3</f>
        <v>0</v>
      </c>
      <c r="Q56" s="91">
        <f>('15.1н'!Q56+'15.2н'!Q56+'15.3н'!Q56)/3</f>
        <v>0</v>
      </c>
      <c r="R56" s="91">
        <f>('15.1н'!B56+'15.2н'!B56+'15.3н'!B56)/3</f>
        <v>0.39658024133115893</v>
      </c>
    </row>
    <row r="57" spans="1:18" x14ac:dyDescent="0.25">
      <c r="A57" s="84">
        <v>56</v>
      </c>
      <c r="B57" s="84" t="s">
        <v>56</v>
      </c>
      <c r="C57" s="91" t="e">
        <f>('15.1н'!#REF!+'15.2н'!#REF!+'15.3н'!#REF!)/3</f>
        <v>#REF!</v>
      </c>
      <c r="D57" s="91" t="e">
        <f>('15.1н'!#REF!+'15.2н'!#REF!+'15.3н'!#REF!)/3</f>
        <v>#REF!</v>
      </c>
      <c r="E57" s="91">
        <f>('15.1н'!E57+'15.2н'!E57+'15.3н'!E57)/3</f>
        <v>0</v>
      </c>
      <c r="F57" s="91">
        <f>('15.1н'!F57+'15.2н'!F57+'15.3н'!F57)/3</f>
        <v>0</v>
      </c>
      <c r="G57" s="91">
        <f>('15.1н'!G57+'15.2н'!G57+'15.3н'!G57)/3</f>
        <v>0</v>
      </c>
      <c r="H57" s="91">
        <f>('15.1н'!H57+'15.2н'!H57+'15.3н'!H57)/3</f>
        <v>0</v>
      </c>
      <c r="I57" s="91">
        <f>('15.1н'!I57+'15.2н'!I57+'15.3н'!I57)/3</f>
        <v>0</v>
      </c>
      <c r="J57" s="91">
        <f>('15.1н'!J57+'15.2н'!J57+'15.3н'!J57)/3</f>
        <v>0</v>
      </c>
      <c r="K57" s="91">
        <f>('15.1н'!K57+'15.2н'!K57+'15.3н'!K57)/3</f>
        <v>0</v>
      </c>
      <c r="L57" s="91">
        <f>('15.1н'!L57+'15.2н'!L57+'15.3н'!L57)/3</f>
        <v>0</v>
      </c>
      <c r="M57" s="91">
        <f>('15.1н'!M57+'15.2н'!M57+'15.3н'!M57)/3</f>
        <v>0</v>
      </c>
      <c r="N57" s="91">
        <f>('15.1н'!N57+'15.2н'!N57+'15.3н'!N57)/3</f>
        <v>0</v>
      </c>
      <c r="O57" s="91">
        <f>('15.1н'!O57+'15.2н'!O57+'15.3н'!O57)/3</f>
        <v>0</v>
      </c>
      <c r="P57" s="91">
        <f>('15.1н'!P57+'15.2н'!P57+'15.3н'!P57)/3</f>
        <v>0</v>
      </c>
      <c r="Q57" s="91">
        <f>('15.1н'!Q57+'15.2н'!Q57+'15.3н'!Q57)/3</f>
        <v>0</v>
      </c>
      <c r="R57" s="91">
        <f>('15.1н'!B57+'15.2н'!B57+'15.3н'!B57)/3</f>
        <v>0.32404641613597213</v>
      </c>
    </row>
    <row r="58" spans="1:18" x14ac:dyDescent="0.25">
      <c r="A58" s="84">
        <v>57</v>
      </c>
      <c r="B58" s="84" t="s">
        <v>57</v>
      </c>
      <c r="C58" s="91" t="e">
        <f>('15.1н'!#REF!+'15.2н'!#REF!+'15.3н'!#REF!)/3</f>
        <v>#REF!</v>
      </c>
      <c r="D58" s="91" t="e">
        <f>('15.1н'!#REF!+'15.2н'!#REF!+'15.3н'!#REF!)/3</f>
        <v>#REF!</v>
      </c>
      <c r="E58" s="91">
        <f>('15.1н'!E58+'15.2н'!E58+'15.3н'!E58)/3</f>
        <v>0</v>
      </c>
      <c r="F58" s="91">
        <f>('15.1н'!F58+'15.2н'!F58+'15.3н'!F58)/3</f>
        <v>0</v>
      </c>
      <c r="G58" s="91">
        <f>('15.1н'!G58+'15.2н'!G58+'15.3н'!G58)/3</f>
        <v>0</v>
      </c>
      <c r="H58" s="91">
        <f>('15.1н'!H58+'15.2н'!H58+'15.3н'!H58)/3</f>
        <v>0</v>
      </c>
      <c r="I58" s="91">
        <f>('15.1н'!I58+'15.2н'!I58+'15.3н'!I58)/3</f>
        <v>0</v>
      </c>
      <c r="J58" s="91">
        <f>('15.1н'!J58+'15.2н'!J58+'15.3н'!J58)/3</f>
        <v>0</v>
      </c>
      <c r="K58" s="91">
        <f>('15.1н'!K58+'15.2н'!K58+'15.3н'!K58)/3</f>
        <v>0</v>
      </c>
      <c r="L58" s="91">
        <f>('15.1н'!L58+'15.2н'!L58+'15.3н'!L58)/3</f>
        <v>0</v>
      </c>
      <c r="M58" s="91">
        <f>('15.1н'!M58+'15.2н'!M58+'15.3н'!M58)/3</f>
        <v>0</v>
      </c>
      <c r="N58" s="91">
        <f>('15.1н'!N58+'15.2н'!N58+'15.3н'!N58)/3</f>
        <v>0</v>
      </c>
      <c r="O58" s="91">
        <f>('15.1н'!O58+'15.2н'!O58+'15.3н'!O58)/3</f>
        <v>0</v>
      </c>
      <c r="P58" s="91">
        <f>('15.1н'!P58+'15.2н'!P58+'15.3н'!P58)/3</f>
        <v>0</v>
      </c>
      <c r="Q58" s="91">
        <f>('15.1н'!Q58+'15.2н'!Q58+'15.3н'!Q58)/3</f>
        <v>0</v>
      </c>
      <c r="R58" s="91">
        <f>('15.1н'!B58+'15.2н'!B58+'15.3н'!B58)/3</f>
        <v>0.31541424254496636</v>
      </c>
    </row>
    <row r="59" spans="1:18" x14ac:dyDescent="0.25">
      <c r="A59" s="84">
        <v>58</v>
      </c>
      <c r="B59" s="84" t="s">
        <v>58</v>
      </c>
      <c r="C59" s="91" t="e">
        <f>('15.1н'!#REF!+'15.2н'!#REF!+'15.3н'!#REF!)/3</f>
        <v>#REF!</v>
      </c>
      <c r="D59" s="91" t="e">
        <f>('15.1н'!#REF!+'15.2н'!#REF!+'15.3н'!#REF!)/3</f>
        <v>#REF!</v>
      </c>
      <c r="E59" s="91">
        <f>('15.1н'!E59+'15.2н'!E59+'15.3н'!E59)/3</f>
        <v>0</v>
      </c>
      <c r="F59" s="91">
        <f>('15.1н'!F59+'15.2н'!F59+'15.3н'!F59)/3</f>
        <v>0</v>
      </c>
      <c r="G59" s="91">
        <f>('15.1н'!G59+'15.2н'!G59+'15.3н'!G59)/3</f>
        <v>0</v>
      </c>
      <c r="H59" s="91">
        <f>('15.1н'!H59+'15.2н'!H59+'15.3н'!H59)/3</f>
        <v>0</v>
      </c>
      <c r="I59" s="91">
        <f>('15.1н'!I59+'15.2н'!I59+'15.3н'!I59)/3</f>
        <v>0</v>
      </c>
      <c r="J59" s="91">
        <f>('15.1н'!J59+'15.2н'!J59+'15.3н'!J59)/3</f>
        <v>0</v>
      </c>
      <c r="K59" s="91">
        <f>('15.1н'!K59+'15.2н'!K59+'15.3н'!K59)/3</f>
        <v>0</v>
      </c>
      <c r="L59" s="91">
        <f>('15.1н'!L59+'15.2н'!L59+'15.3н'!L59)/3</f>
        <v>0</v>
      </c>
      <c r="M59" s="91">
        <f>('15.1н'!M59+'15.2н'!M59+'15.3н'!M59)/3</f>
        <v>0</v>
      </c>
      <c r="N59" s="91">
        <f>('15.1н'!N59+'15.2н'!N59+'15.3н'!N59)/3</f>
        <v>0</v>
      </c>
      <c r="O59" s="91">
        <f>('15.1н'!O59+'15.2н'!O59+'15.3н'!O59)/3</f>
        <v>0</v>
      </c>
      <c r="P59" s="91">
        <f>('15.1н'!P59+'15.2н'!P59+'15.3н'!P59)/3</f>
        <v>0</v>
      </c>
      <c r="Q59" s="91">
        <f>('15.1н'!Q59+'15.2н'!Q59+'15.3н'!Q59)/3</f>
        <v>0</v>
      </c>
      <c r="R59" s="91">
        <f>('15.1н'!B59+'15.2н'!B59+'15.3н'!B59)/3</f>
        <v>0.24298080415319179</v>
      </c>
    </row>
    <row r="60" spans="1:18" x14ac:dyDescent="0.25">
      <c r="A60" s="84">
        <v>59</v>
      </c>
      <c r="B60" s="84" t="s">
        <v>59</v>
      </c>
      <c r="C60" s="91" t="e">
        <f>('15.1н'!#REF!+'15.2н'!#REF!+'15.3н'!#REF!)/3</f>
        <v>#REF!</v>
      </c>
      <c r="D60" s="91" t="e">
        <f>('15.1н'!#REF!+'15.2н'!#REF!+'15.3н'!#REF!)/3</f>
        <v>#REF!</v>
      </c>
      <c r="E60" s="91">
        <f>('15.1н'!E60+'15.2н'!E60+'15.3н'!E60)/3</f>
        <v>0</v>
      </c>
      <c r="F60" s="91">
        <f>('15.1н'!F60+'15.2н'!F60+'15.3н'!F60)/3</f>
        <v>0</v>
      </c>
      <c r="G60" s="91">
        <f>('15.1н'!G60+'15.2н'!G60+'15.3н'!G60)/3</f>
        <v>0</v>
      </c>
      <c r="H60" s="91">
        <f>('15.1н'!H60+'15.2н'!H60+'15.3н'!H60)/3</f>
        <v>0</v>
      </c>
      <c r="I60" s="91">
        <f>('15.1н'!I60+'15.2н'!I60+'15.3н'!I60)/3</f>
        <v>0</v>
      </c>
      <c r="J60" s="91">
        <f>('15.1н'!J60+'15.2н'!J60+'15.3н'!J60)/3</f>
        <v>0</v>
      </c>
      <c r="K60" s="91">
        <f>('15.1н'!K60+'15.2н'!K60+'15.3н'!K60)/3</f>
        <v>0</v>
      </c>
      <c r="L60" s="91">
        <f>('15.1н'!L60+'15.2н'!L60+'15.3н'!L60)/3</f>
        <v>0</v>
      </c>
      <c r="M60" s="91">
        <f>('15.1н'!M60+'15.2н'!M60+'15.3н'!M60)/3</f>
        <v>0</v>
      </c>
      <c r="N60" s="91">
        <f>('15.1н'!N60+'15.2н'!N60+'15.3н'!N60)/3</f>
        <v>0</v>
      </c>
      <c r="O60" s="91">
        <f>('15.1н'!O60+'15.2н'!O60+'15.3н'!O60)/3</f>
        <v>0</v>
      </c>
      <c r="P60" s="91">
        <f>('15.1н'!P60+'15.2н'!P60+'15.3н'!P60)/3</f>
        <v>0</v>
      </c>
      <c r="Q60" s="91">
        <f>('15.1н'!Q60+'15.2н'!Q60+'15.3н'!Q60)/3</f>
        <v>0</v>
      </c>
      <c r="R60" s="91">
        <f>('15.1н'!B60+'15.2н'!B60+'15.3н'!B60)/3</f>
        <v>0.50524982672543961</v>
      </c>
    </row>
    <row r="61" spans="1:18" x14ac:dyDescent="0.25">
      <c r="A61" s="84">
        <v>60</v>
      </c>
      <c r="B61" s="84" t="s">
        <v>60</v>
      </c>
      <c r="C61" s="91" t="e">
        <f>('15.1н'!#REF!+'15.2н'!#REF!+'15.3н'!#REF!)/3</f>
        <v>#REF!</v>
      </c>
      <c r="D61" s="91" t="e">
        <f>('15.1н'!#REF!+'15.2н'!#REF!+'15.3н'!#REF!)/3</f>
        <v>#REF!</v>
      </c>
      <c r="E61" s="91">
        <f>('15.1н'!E61+'15.2н'!E61+'15.3н'!E61)/3</f>
        <v>0</v>
      </c>
      <c r="F61" s="91">
        <f>('15.1н'!F61+'15.2н'!F61+'15.3н'!F61)/3</f>
        <v>0</v>
      </c>
      <c r="G61" s="91">
        <f>('15.1н'!G61+'15.2н'!G61+'15.3н'!G61)/3</f>
        <v>0</v>
      </c>
      <c r="H61" s="91">
        <f>('15.1н'!H61+'15.2н'!H61+'15.3н'!H61)/3</f>
        <v>0</v>
      </c>
      <c r="I61" s="91">
        <f>('15.1н'!I61+'15.2н'!I61+'15.3н'!I61)/3</f>
        <v>0</v>
      </c>
      <c r="J61" s="91">
        <f>('15.1н'!J61+'15.2н'!J61+'15.3н'!J61)/3</f>
        <v>0</v>
      </c>
      <c r="K61" s="91">
        <f>('15.1н'!K61+'15.2н'!K61+'15.3н'!K61)/3</f>
        <v>0</v>
      </c>
      <c r="L61" s="91">
        <f>('15.1н'!L61+'15.2н'!L61+'15.3н'!L61)/3</f>
        <v>0</v>
      </c>
      <c r="M61" s="91">
        <f>('15.1н'!M61+'15.2н'!M61+'15.3н'!M61)/3</f>
        <v>0</v>
      </c>
      <c r="N61" s="91">
        <f>('15.1н'!N61+'15.2н'!N61+'15.3н'!N61)/3</f>
        <v>0</v>
      </c>
      <c r="O61" s="91">
        <f>('15.1н'!O61+'15.2н'!O61+'15.3н'!O61)/3</f>
        <v>0</v>
      </c>
      <c r="P61" s="91">
        <f>('15.1н'!P61+'15.2н'!P61+'15.3н'!P61)/3</f>
        <v>0</v>
      </c>
      <c r="Q61" s="91">
        <f>('15.1н'!Q61+'15.2н'!Q61+'15.3н'!Q61)/3</f>
        <v>0</v>
      </c>
      <c r="R61" s="91">
        <f>('15.1н'!B61+'15.2н'!B61+'15.3н'!B61)/3</f>
        <v>0.56475323807289735</v>
      </c>
    </row>
    <row r="62" spans="1:18" x14ac:dyDescent="0.25">
      <c r="A62" s="84">
        <v>61</v>
      </c>
      <c r="B62" s="84" t="s">
        <v>61</v>
      </c>
      <c r="C62" s="91" t="e">
        <f>('15.1н'!#REF!+'15.2н'!#REF!+'15.3н'!#REF!)/3</f>
        <v>#REF!</v>
      </c>
      <c r="D62" s="91" t="e">
        <f>('15.1н'!#REF!+'15.2н'!#REF!+'15.3н'!#REF!)/3</f>
        <v>#REF!</v>
      </c>
      <c r="E62" s="91">
        <f>('15.1н'!E62+'15.2н'!E62+'15.3н'!E62)/3</f>
        <v>0</v>
      </c>
      <c r="F62" s="91">
        <f>('15.1н'!F62+'15.2н'!F62+'15.3н'!F62)/3</f>
        <v>0</v>
      </c>
      <c r="G62" s="91">
        <f>('15.1н'!G62+'15.2н'!G62+'15.3н'!G62)/3</f>
        <v>0</v>
      </c>
      <c r="H62" s="91">
        <f>('15.1н'!H62+'15.2н'!H62+'15.3н'!H62)/3</f>
        <v>0</v>
      </c>
      <c r="I62" s="91">
        <f>('15.1н'!I62+'15.2н'!I62+'15.3н'!I62)/3</f>
        <v>0</v>
      </c>
      <c r="J62" s="91">
        <f>('15.1н'!J62+'15.2н'!J62+'15.3н'!J62)/3</f>
        <v>0</v>
      </c>
      <c r="K62" s="91">
        <f>('15.1н'!K62+'15.2н'!K62+'15.3н'!K62)/3</f>
        <v>0</v>
      </c>
      <c r="L62" s="91">
        <f>('15.1н'!L62+'15.2н'!L62+'15.3н'!L62)/3</f>
        <v>0</v>
      </c>
      <c r="M62" s="91">
        <f>('15.1н'!M62+'15.2н'!M62+'15.3н'!M62)/3</f>
        <v>0</v>
      </c>
      <c r="N62" s="91">
        <f>('15.1н'!N62+'15.2н'!N62+'15.3н'!N62)/3</f>
        <v>0</v>
      </c>
      <c r="O62" s="91">
        <f>('15.1н'!O62+'15.2н'!O62+'15.3н'!O62)/3</f>
        <v>0</v>
      </c>
      <c r="P62" s="91">
        <f>('15.1н'!P62+'15.2н'!P62+'15.3н'!P62)/3</f>
        <v>0</v>
      </c>
      <c r="Q62" s="91">
        <f>('15.1н'!Q62+'15.2н'!Q62+'15.3н'!Q62)/3</f>
        <v>0</v>
      </c>
      <c r="R62" s="91">
        <f>('15.1н'!B62+'15.2н'!B62+'15.3н'!B62)/3</f>
        <v>0.37041756640808227</v>
      </c>
    </row>
    <row r="63" spans="1:18" x14ac:dyDescent="0.25">
      <c r="A63" s="84">
        <v>62</v>
      </c>
      <c r="B63" s="84" t="s">
        <v>62</v>
      </c>
      <c r="C63" s="91" t="e">
        <f>('15.1н'!#REF!+'15.2н'!#REF!+'15.3н'!#REF!)/3</f>
        <v>#REF!</v>
      </c>
      <c r="D63" s="91" t="e">
        <f>('15.1н'!#REF!+'15.2н'!#REF!+'15.3н'!#REF!)/3</f>
        <v>#REF!</v>
      </c>
      <c r="E63" s="91">
        <f>('15.1н'!E63+'15.2н'!E63+'15.3н'!E63)/3</f>
        <v>0</v>
      </c>
      <c r="F63" s="91">
        <f>('15.1н'!F63+'15.2н'!F63+'15.3н'!F63)/3</f>
        <v>0</v>
      </c>
      <c r="G63" s="91">
        <f>('15.1н'!G63+'15.2н'!G63+'15.3н'!G63)/3</f>
        <v>0</v>
      </c>
      <c r="H63" s="91">
        <f>('15.1н'!H63+'15.2н'!H63+'15.3н'!H63)/3</f>
        <v>0</v>
      </c>
      <c r="I63" s="91">
        <f>('15.1н'!I63+'15.2н'!I63+'15.3н'!I63)/3</f>
        <v>0</v>
      </c>
      <c r="J63" s="91">
        <f>('15.1н'!J63+'15.2н'!J63+'15.3н'!J63)/3</f>
        <v>0</v>
      </c>
      <c r="K63" s="91">
        <f>('15.1н'!K63+'15.2н'!K63+'15.3н'!K63)/3</f>
        <v>0</v>
      </c>
      <c r="L63" s="91">
        <f>('15.1н'!L63+'15.2н'!L63+'15.3н'!L63)/3</f>
        <v>0</v>
      </c>
      <c r="M63" s="91">
        <f>('15.1н'!M63+'15.2н'!M63+'15.3н'!M63)/3</f>
        <v>0</v>
      </c>
      <c r="N63" s="91">
        <f>('15.1н'!N63+'15.2н'!N63+'15.3н'!N63)/3</f>
        <v>0</v>
      </c>
      <c r="O63" s="91">
        <f>('15.1н'!O63+'15.2н'!O63+'15.3н'!O63)/3</f>
        <v>0</v>
      </c>
      <c r="P63" s="91">
        <f>('15.1н'!P63+'15.2н'!P63+'15.3н'!P63)/3</f>
        <v>0</v>
      </c>
      <c r="Q63" s="91">
        <f>('15.1н'!Q63+'15.2н'!Q63+'15.3н'!Q63)/3</f>
        <v>0</v>
      </c>
      <c r="R63" s="91">
        <f>('15.1н'!B63+'15.2н'!B63+'15.3н'!B63)/3</f>
        <v>0.2337570283280116</v>
      </c>
    </row>
    <row r="64" spans="1:18" x14ac:dyDescent="0.25">
      <c r="A64" s="84">
        <v>63</v>
      </c>
      <c r="B64" s="84" t="s">
        <v>63</v>
      </c>
      <c r="C64" s="91" t="e">
        <f>('15.1н'!#REF!+'15.2н'!#REF!+'15.3н'!#REF!)/3</f>
        <v>#REF!</v>
      </c>
      <c r="D64" s="91" t="e">
        <f>('15.1н'!#REF!+'15.2н'!#REF!+'15.3н'!#REF!)/3</f>
        <v>#REF!</v>
      </c>
      <c r="E64" s="91">
        <f>('15.1н'!E64+'15.2н'!E64+'15.3н'!E64)/3</f>
        <v>0</v>
      </c>
      <c r="F64" s="91">
        <f>('15.1н'!F64+'15.2н'!F64+'15.3н'!F64)/3</f>
        <v>0</v>
      </c>
      <c r="G64" s="91">
        <f>('15.1н'!G64+'15.2н'!G64+'15.3н'!G64)/3</f>
        <v>0</v>
      </c>
      <c r="H64" s="91">
        <f>('15.1н'!H64+'15.2н'!H64+'15.3н'!H64)/3</f>
        <v>0</v>
      </c>
      <c r="I64" s="91">
        <f>('15.1н'!I64+'15.2н'!I64+'15.3н'!I64)/3</f>
        <v>0</v>
      </c>
      <c r="J64" s="91">
        <f>('15.1н'!J64+'15.2н'!J64+'15.3н'!J64)/3</f>
        <v>0</v>
      </c>
      <c r="K64" s="91">
        <f>('15.1н'!K64+'15.2н'!K64+'15.3н'!K64)/3</f>
        <v>0</v>
      </c>
      <c r="L64" s="91">
        <f>('15.1н'!L64+'15.2н'!L64+'15.3н'!L64)/3</f>
        <v>0</v>
      </c>
      <c r="M64" s="91">
        <f>('15.1н'!M64+'15.2н'!M64+'15.3н'!M64)/3</f>
        <v>0</v>
      </c>
      <c r="N64" s="91">
        <f>('15.1н'!N64+'15.2н'!N64+'15.3н'!N64)/3</f>
        <v>0</v>
      </c>
      <c r="O64" s="91">
        <f>('15.1н'!O64+'15.2н'!O64+'15.3н'!O64)/3</f>
        <v>0</v>
      </c>
      <c r="P64" s="91">
        <f>('15.1н'!P64+'15.2н'!P64+'15.3н'!P64)/3</f>
        <v>0</v>
      </c>
      <c r="Q64" s="91">
        <f>('15.1н'!Q64+'15.2н'!Q64+'15.3н'!Q64)/3</f>
        <v>0</v>
      </c>
      <c r="R64" s="91">
        <f>('15.1н'!B64+'15.2н'!B64+'15.3н'!B64)/3</f>
        <v>0.41819653026425824</v>
      </c>
    </row>
    <row r="65" spans="1:18" x14ac:dyDescent="0.25">
      <c r="A65" s="84">
        <v>64</v>
      </c>
      <c r="B65" s="84" t="s">
        <v>64</v>
      </c>
      <c r="C65" s="91" t="e">
        <f>('15.1н'!#REF!+'15.2н'!#REF!+'15.3н'!#REF!)/3</f>
        <v>#REF!</v>
      </c>
      <c r="D65" s="91" t="e">
        <f>('15.1н'!#REF!+'15.2н'!#REF!+'15.3н'!#REF!)/3</f>
        <v>#REF!</v>
      </c>
      <c r="E65" s="91">
        <f>('15.1н'!E65+'15.2н'!E65+'15.3н'!E65)/3</f>
        <v>0</v>
      </c>
      <c r="F65" s="91">
        <f>('15.1н'!F65+'15.2н'!F65+'15.3н'!F65)/3</f>
        <v>0</v>
      </c>
      <c r="G65" s="91">
        <f>('15.1н'!G65+'15.2н'!G65+'15.3н'!G65)/3</f>
        <v>0</v>
      </c>
      <c r="H65" s="91">
        <f>('15.1н'!H65+'15.2н'!H65+'15.3н'!H65)/3</f>
        <v>0</v>
      </c>
      <c r="I65" s="91">
        <f>('15.1н'!I65+'15.2н'!I65+'15.3н'!I65)/3</f>
        <v>0</v>
      </c>
      <c r="J65" s="91">
        <f>('15.1н'!J65+'15.2н'!J65+'15.3н'!J65)/3</f>
        <v>0</v>
      </c>
      <c r="K65" s="91">
        <f>('15.1н'!K65+'15.2н'!K65+'15.3н'!K65)/3</f>
        <v>0</v>
      </c>
      <c r="L65" s="91">
        <f>('15.1н'!L65+'15.2н'!L65+'15.3н'!L65)/3</f>
        <v>0</v>
      </c>
      <c r="M65" s="91">
        <f>('15.1н'!M65+'15.2н'!M65+'15.3н'!M65)/3</f>
        <v>0</v>
      </c>
      <c r="N65" s="91">
        <f>('15.1н'!N65+'15.2н'!N65+'15.3н'!N65)/3</f>
        <v>0</v>
      </c>
      <c r="O65" s="91">
        <f>('15.1н'!O65+'15.2н'!O65+'15.3н'!O65)/3</f>
        <v>0</v>
      </c>
      <c r="P65" s="91">
        <f>('15.1н'!P65+'15.2н'!P65+'15.3н'!P65)/3</f>
        <v>0</v>
      </c>
      <c r="Q65" s="91">
        <f>('15.1н'!Q65+'15.2н'!Q65+'15.3н'!Q65)/3</f>
        <v>0</v>
      </c>
      <c r="R65" s="91">
        <f>('15.1н'!B65+'15.2н'!B65+'15.3н'!B65)/3</f>
        <v>9.3402349108846219E-2</v>
      </c>
    </row>
    <row r="66" spans="1:18" x14ac:dyDescent="0.25">
      <c r="A66" s="84">
        <v>65</v>
      </c>
      <c r="B66" s="84" t="s">
        <v>65</v>
      </c>
      <c r="C66" s="91" t="e">
        <f>('15.1н'!#REF!+'15.2н'!#REF!+'15.3н'!#REF!)/3</f>
        <v>#REF!</v>
      </c>
      <c r="D66" s="91" t="e">
        <f>('15.1н'!#REF!+'15.2н'!#REF!+'15.3н'!#REF!)/3</f>
        <v>#REF!</v>
      </c>
      <c r="E66" s="91">
        <f>('15.1н'!E66+'15.2н'!E66+'15.3н'!E66)/3</f>
        <v>0</v>
      </c>
      <c r="F66" s="91">
        <f>('15.1н'!F66+'15.2н'!F66+'15.3н'!F66)/3</f>
        <v>0</v>
      </c>
      <c r="G66" s="91">
        <f>('15.1н'!G66+'15.2н'!G66+'15.3н'!G66)/3</f>
        <v>0</v>
      </c>
      <c r="H66" s="91">
        <f>('15.1н'!H66+'15.2н'!H66+'15.3н'!H66)/3</f>
        <v>0</v>
      </c>
      <c r="I66" s="91">
        <f>('15.1н'!I66+'15.2н'!I66+'15.3н'!I66)/3</f>
        <v>0</v>
      </c>
      <c r="J66" s="91">
        <f>('15.1н'!J66+'15.2н'!J66+'15.3н'!J66)/3</f>
        <v>0</v>
      </c>
      <c r="K66" s="91">
        <f>('15.1н'!K66+'15.2н'!K66+'15.3н'!K66)/3</f>
        <v>0</v>
      </c>
      <c r="L66" s="91">
        <f>('15.1н'!L66+'15.2н'!L66+'15.3н'!L66)/3</f>
        <v>0</v>
      </c>
      <c r="M66" s="91">
        <f>('15.1н'!M66+'15.2н'!M66+'15.3н'!M66)/3</f>
        <v>0</v>
      </c>
      <c r="N66" s="91">
        <f>('15.1н'!N66+'15.2н'!N66+'15.3н'!N66)/3</f>
        <v>0</v>
      </c>
      <c r="O66" s="91">
        <f>('15.1н'!O66+'15.2н'!O66+'15.3н'!O66)/3</f>
        <v>0</v>
      </c>
      <c r="P66" s="91">
        <f>('15.1н'!P66+'15.2н'!P66+'15.3н'!P66)/3</f>
        <v>0</v>
      </c>
      <c r="Q66" s="91">
        <f>('15.1н'!Q66+'15.2н'!Q66+'15.3н'!Q66)/3</f>
        <v>0</v>
      </c>
      <c r="R66" s="91">
        <f>('15.1н'!B66+'15.2н'!B66+'15.3н'!B66)/3</f>
        <v>0.38188011284622697</v>
      </c>
    </row>
    <row r="67" spans="1:18" x14ac:dyDescent="0.25">
      <c r="A67" s="84">
        <v>66</v>
      </c>
      <c r="B67" s="84" t="s">
        <v>66</v>
      </c>
      <c r="C67" s="91" t="e">
        <f>('15.1н'!#REF!+'15.2н'!#REF!+'15.3н'!#REF!)/3</f>
        <v>#REF!</v>
      </c>
      <c r="D67" s="91" t="e">
        <f>('15.1н'!#REF!+'15.2н'!#REF!+'15.3н'!#REF!)/3</f>
        <v>#REF!</v>
      </c>
      <c r="E67" s="91">
        <f>('15.1н'!E67+'15.2н'!E67+'15.3н'!E67)/3</f>
        <v>0</v>
      </c>
      <c r="F67" s="91">
        <f>('15.1н'!F67+'15.2н'!F67+'15.3н'!F67)/3</f>
        <v>0</v>
      </c>
      <c r="G67" s="91">
        <f>('15.1н'!G67+'15.2н'!G67+'15.3н'!G67)/3</f>
        <v>0</v>
      </c>
      <c r="H67" s="91">
        <f>('15.1н'!H67+'15.2н'!H67+'15.3н'!H67)/3</f>
        <v>0</v>
      </c>
      <c r="I67" s="91">
        <f>('15.1н'!I67+'15.2н'!I67+'15.3н'!I67)/3</f>
        <v>0</v>
      </c>
      <c r="J67" s="91">
        <f>('15.1н'!J67+'15.2н'!J67+'15.3н'!J67)/3</f>
        <v>0</v>
      </c>
      <c r="K67" s="91">
        <f>('15.1н'!K67+'15.2н'!K67+'15.3н'!K67)/3</f>
        <v>0</v>
      </c>
      <c r="L67" s="91">
        <f>('15.1н'!L67+'15.2н'!L67+'15.3н'!L67)/3</f>
        <v>0</v>
      </c>
      <c r="M67" s="91">
        <f>('15.1н'!M67+'15.2н'!M67+'15.3н'!M67)/3</f>
        <v>0</v>
      </c>
      <c r="N67" s="91">
        <f>('15.1н'!N67+'15.2н'!N67+'15.3н'!N67)/3</f>
        <v>0</v>
      </c>
      <c r="O67" s="91">
        <f>('15.1н'!O67+'15.2н'!O67+'15.3н'!O67)/3</f>
        <v>0</v>
      </c>
      <c r="P67" s="91">
        <f>('15.1н'!P67+'15.2н'!P67+'15.3н'!P67)/3</f>
        <v>0</v>
      </c>
      <c r="Q67" s="91">
        <f>('15.1н'!Q67+'15.2н'!Q67+'15.3н'!Q67)/3</f>
        <v>0</v>
      </c>
      <c r="R67" s="91">
        <f>('15.1н'!B67+'15.2н'!B67+'15.3н'!B67)/3</f>
        <v>0.27264556062496376</v>
      </c>
    </row>
    <row r="68" spans="1:18" x14ac:dyDescent="0.25">
      <c r="A68" s="84">
        <v>67</v>
      </c>
      <c r="B68" s="84" t="s">
        <v>73</v>
      </c>
      <c r="C68" s="91" t="e">
        <f>('15.1н'!#REF!+'15.2н'!#REF!+'15.3н'!#REF!)/3</f>
        <v>#REF!</v>
      </c>
      <c r="D68" s="91" t="e">
        <f>('15.1н'!#REF!+'15.2н'!#REF!+'15.3н'!#REF!)/3</f>
        <v>#REF!</v>
      </c>
      <c r="E68" s="91">
        <f>('15.1н'!E68+'15.2н'!E68+'15.3н'!E68)/3</f>
        <v>0</v>
      </c>
      <c r="F68" s="91">
        <f>('15.1н'!F68+'15.2н'!F68+'15.3н'!F68)/3</f>
        <v>0</v>
      </c>
      <c r="G68" s="91">
        <f>('15.1н'!G68+'15.2н'!G68+'15.3н'!G68)/3</f>
        <v>0</v>
      </c>
      <c r="H68" s="91">
        <f>('15.1н'!H68+'15.2н'!H68+'15.3н'!H68)/3</f>
        <v>0</v>
      </c>
      <c r="I68" s="91">
        <f>('15.1н'!I68+'15.2н'!I68+'15.3н'!I68)/3</f>
        <v>0</v>
      </c>
      <c r="J68" s="91">
        <f>('15.1н'!J68+'15.2н'!J68+'15.3н'!J68)/3</f>
        <v>0</v>
      </c>
      <c r="K68" s="91">
        <f>('15.1н'!K68+'15.2н'!K68+'15.3н'!K68)/3</f>
        <v>0</v>
      </c>
      <c r="L68" s="91">
        <f>('15.1н'!L68+'15.2н'!L68+'15.3н'!L68)/3</f>
        <v>0</v>
      </c>
      <c r="M68" s="91">
        <f>('15.1н'!M68+'15.2н'!M68+'15.3н'!M68)/3</f>
        <v>0</v>
      </c>
      <c r="N68" s="91">
        <f>('15.1н'!N68+'15.2н'!N68+'15.3н'!N68)/3</f>
        <v>0</v>
      </c>
      <c r="O68" s="91">
        <f>('15.1н'!O68+'15.2н'!O68+'15.3н'!O68)/3</f>
        <v>0</v>
      </c>
      <c r="P68" s="91">
        <f>('15.1н'!P68+'15.2н'!P68+'15.3н'!P68)/3</f>
        <v>0</v>
      </c>
      <c r="Q68" s="91">
        <f>('15.1н'!Q68+'15.2н'!Q68+'15.3н'!Q68)/3</f>
        <v>0</v>
      </c>
      <c r="R68" s="91">
        <f>('15.1н'!B68+'15.2н'!B68+'15.3н'!B68)/3</f>
        <v>0.37194236404385256</v>
      </c>
    </row>
    <row r="69" spans="1:18" x14ac:dyDescent="0.25">
      <c r="A69" s="84">
        <v>68</v>
      </c>
      <c r="B69" s="84" t="s">
        <v>67</v>
      </c>
      <c r="C69" s="91" t="e">
        <f>('15.1н'!#REF!+'15.2н'!#REF!+'15.3н'!#REF!)/3</f>
        <v>#REF!</v>
      </c>
      <c r="D69" s="91" t="e">
        <f>('15.1н'!#REF!+'15.2н'!#REF!+'15.3н'!#REF!)/3</f>
        <v>#REF!</v>
      </c>
      <c r="E69" s="91">
        <f>('15.1н'!E69+'15.2н'!E69+'15.3н'!E69)/3</f>
        <v>0</v>
      </c>
      <c r="F69" s="91">
        <f>('15.1н'!F69+'15.2н'!F69+'15.3н'!F69)/3</f>
        <v>0</v>
      </c>
      <c r="G69" s="91">
        <f>('15.1н'!G69+'15.2н'!G69+'15.3н'!G69)/3</f>
        <v>0</v>
      </c>
      <c r="H69" s="91">
        <f>('15.1н'!H69+'15.2н'!H69+'15.3н'!H69)/3</f>
        <v>0</v>
      </c>
      <c r="I69" s="91">
        <f>('15.1н'!I69+'15.2н'!I69+'15.3н'!I69)/3</f>
        <v>0</v>
      </c>
      <c r="J69" s="91">
        <f>('15.1н'!J69+'15.2н'!J69+'15.3н'!J69)/3</f>
        <v>0</v>
      </c>
      <c r="K69" s="91">
        <f>('15.1н'!K69+'15.2н'!K69+'15.3н'!K69)/3</f>
        <v>0</v>
      </c>
      <c r="L69" s="91">
        <f>('15.1н'!L69+'15.2н'!L69+'15.3н'!L69)/3</f>
        <v>0</v>
      </c>
      <c r="M69" s="91">
        <f>('15.1н'!M69+'15.2н'!M69+'15.3н'!M69)/3</f>
        <v>0</v>
      </c>
      <c r="N69" s="91">
        <f>('15.1н'!N69+'15.2н'!N69+'15.3н'!N69)/3</f>
        <v>0</v>
      </c>
      <c r="O69" s="91">
        <f>('15.1н'!O69+'15.2н'!O69+'15.3н'!O69)/3</f>
        <v>0</v>
      </c>
      <c r="P69" s="91">
        <f>('15.1н'!P69+'15.2н'!P69+'15.3н'!P69)/3</f>
        <v>0</v>
      </c>
      <c r="Q69" s="91">
        <f>('15.1н'!Q69+'15.2н'!Q69+'15.3н'!Q69)/3</f>
        <v>0</v>
      </c>
      <c r="R69" s="91">
        <f>('15.1н'!B69+'15.2н'!B69+'15.3н'!B69)/3</f>
        <v>0.43328243383609538</v>
      </c>
    </row>
    <row r="70" spans="1:18" x14ac:dyDescent="0.25">
      <c r="A70" s="84">
        <v>69</v>
      </c>
      <c r="B70" s="84" t="s">
        <v>68</v>
      </c>
      <c r="C70" s="91" t="e">
        <f>('15.1н'!#REF!+'15.2н'!#REF!+'15.3н'!#REF!)/3</f>
        <v>#REF!</v>
      </c>
      <c r="D70" s="91" t="e">
        <f>('15.1н'!#REF!+'15.2н'!#REF!+'15.3н'!#REF!)/3</f>
        <v>#REF!</v>
      </c>
      <c r="E70" s="91">
        <f>('15.1н'!E70+'15.2н'!E70+'15.3н'!E70)/3</f>
        <v>0</v>
      </c>
      <c r="F70" s="91">
        <f>('15.1н'!F70+'15.2н'!F70+'15.3н'!F70)/3</f>
        <v>0</v>
      </c>
      <c r="G70" s="91">
        <f>('15.1н'!G70+'15.2н'!G70+'15.3н'!G70)/3</f>
        <v>0</v>
      </c>
      <c r="H70" s="91">
        <f>('15.1н'!H70+'15.2н'!H70+'15.3н'!H70)/3</f>
        <v>0</v>
      </c>
      <c r="I70" s="91">
        <f>('15.1н'!I70+'15.2н'!I70+'15.3н'!I70)/3</f>
        <v>0</v>
      </c>
      <c r="J70" s="91">
        <f>('15.1н'!J70+'15.2н'!J70+'15.3н'!J70)/3</f>
        <v>0</v>
      </c>
      <c r="K70" s="91">
        <f>('15.1н'!K70+'15.2н'!K70+'15.3н'!K70)/3</f>
        <v>0</v>
      </c>
      <c r="L70" s="91">
        <f>('15.1н'!L70+'15.2н'!L70+'15.3н'!L70)/3</f>
        <v>0</v>
      </c>
      <c r="M70" s="91">
        <f>('15.1н'!M70+'15.2н'!M70+'15.3н'!M70)/3</f>
        <v>0</v>
      </c>
      <c r="N70" s="91">
        <f>('15.1н'!N70+'15.2н'!N70+'15.3н'!N70)/3</f>
        <v>0</v>
      </c>
      <c r="O70" s="91">
        <f>('15.1н'!O70+'15.2н'!O70+'15.3н'!O70)/3</f>
        <v>0</v>
      </c>
      <c r="P70" s="91">
        <f>('15.1н'!P70+'15.2н'!P70+'15.3н'!P70)/3</f>
        <v>0</v>
      </c>
      <c r="Q70" s="91">
        <f>('15.1н'!Q70+'15.2н'!Q70+'15.3н'!Q70)/3</f>
        <v>0</v>
      </c>
      <c r="R70" s="91">
        <f>('15.1н'!B70+'15.2н'!B70+'15.3н'!B70)/3</f>
        <v>0.31824157489422877</v>
      </c>
    </row>
    <row r="71" spans="1:18" x14ac:dyDescent="0.25">
      <c r="A71" s="84">
        <v>70</v>
      </c>
      <c r="B71" s="84" t="s">
        <v>69</v>
      </c>
      <c r="C71" s="91" t="e">
        <f>('15.1н'!#REF!+'15.2н'!#REF!+'15.3н'!#REF!)/3</f>
        <v>#REF!</v>
      </c>
      <c r="D71" s="91" t="e">
        <f>('15.1н'!#REF!+'15.2н'!#REF!+'15.3н'!#REF!)/3</f>
        <v>#REF!</v>
      </c>
      <c r="E71" s="91">
        <f>('15.1н'!E71+'15.2н'!E71+'15.3н'!E71)/3</f>
        <v>0</v>
      </c>
      <c r="F71" s="91">
        <f>('15.1н'!F71+'15.2н'!F71+'15.3н'!F71)/3</f>
        <v>0</v>
      </c>
      <c r="G71" s="91">
        <f>('15.1н'!G71+'15.2н'!G71+'15.3н'!G71)/3</f>
        <v>0</v>
      </c>
      <c r="H71" s="91">
        <f>('15.1н'!H71+'15.2н'!H71+'15.3н'!H71)/3</f>
        <v>0</v>
      </c>
      <c r="I71" s="91">
        <f>('15.1н'!I71+'15.2н'!I71+'15.3н'!I71)/3</f>
        <v>0</v>
      </c>
      <c r="J71" s="91">
        <f>('15.1н'!J71+'15.2н'!J71+'15.3н'!J71)/3</f>
        <v>0</v>
      </c>
      <c r="K71" s="91">
        <f>('15.1н'!K71+'15.2н'!K71+'15.3н'!K71)/3</f>
        <v>0</v>
      </c>
      <c r="L71" s="91">
        <f>('15.1н'!L71+'15.2н'!L71+'15.3н'!L71)/3</f>
        <v>0</v>
      </c>
      <c r="M71" s="91">
        <f>('15.1н'!M71+'15.2н'!M71+'15.3н'!M71)/3</f>
        <v>0</v>
      </c>
      <c r="N71" s="91">
        <f>('15.1н'!N71+'15.2н'!N71+'15.3н'!N71)/3</f>
        <v>0</v>
      </c>
      <c r="O71" s="91">
        <f>('15.1н'!O71+'15.2н'!O71+'15.3н'!O71)/3</f>
        <v>0</v>
      </c>
      <c r="P71" s="91">
        <f>('15.1н'!P71+'15.2н'!P71+'15.3н'!P71)/3</f>
        <v>0</v>
      </c>
      <c r="Q71" s="91">
        <f>('15.1н'!Q71+'15.2н'!Q71+'15.3н'!Q71)/3</f>
        <v>0</v>
      </c>
      <c r="R71" s="91">
        <f>('15.1н'!B71+'15.2н'!B71+'15.3н'!B71)/3</f>
        <v>0.34500839614649109</v>
      </c>
    </row>
    <row r="72" spans="1:18" x14ac:dyDescent="0.25">
      <c r="A72" s="84">
        <v>71</v>
      </c>
      <c r="B72" s="84" t="s">
        <v>70</v>
      </c>
      <c r="C72" s="91" t="e">
        <f>('15.1н'!#REF!+'15.2н'!#REF!+'15.3н'!#REF!)/3</f>
        <v>#REF!</v>
      </c>
      <c r="D72" s="91" t="e">
        <f>('15.1н'!#REF!+'15.2н'!#REF!+'15.3н'!#REF!)/3</f>
        <v>#REF!</v>
      </c>
      <c r="E72" s="91">
        <f>('15.1н'!E72+'15.2н'!E72+'15.3н'!E72)/3</f>
        <v>0</v>
      </c>
      <c r="F72" s="91">
        <f>('15.1н'!F72+'15.2н'!F72+'15.3н'!F72)/3</f>
        <v>0</v>
      </c>
      <c r="G72" s="91">
        <f>('15.1н'!G72+'15.2н'!G72+'15.3н'!G72)/3</f>
        <v>0</v>
      </c>
      <c r="H72" s="91">
        <f>('15.1н'!H72+'15.2н'!H72+'15.3н'!H72)/3</f>
        <v>0</v>
      </c>
      <c r="I72" s="91">
        <f>('15.1н'!I72+'15.2н'!I72+'15.3н'!I72)/3</f>
        <v>0</v>
      </c>
      <c r="J72" s="91">
        <f>('15.1н'!J72+'15.2н'!J72+'15.3н'!J72)/3</f>
        <v>0</v>
      </c>
      <c r="K72" s="91">
        <f>('15.1н'!K72+'15.2н'!K72+'15.3н'!K72)/3</f>
        <v>0</v>
      </c>
      <c r="L72" s="91">
        <f>('15.1н'!L72+'15.2н'!L72+'15.3н'!L72)/3</f>
        <v>0</v>
      </c>
      <c r="M72" s="91">
        <f>('15.1н'!M72+'15.2н'!M72+'15.3н'!M72)/3</f>
        <v>0</v>
      </c>
      <c r="N72" s="91">
        <f>('15.1н'!N72+'15.2н'!N72+'15.3н'!N72)/3</f>
        <v>0</v>
      </c>
      <c r="O72" s="91">
        <f>('15.1н'!O72+'15.2н'!O72+'15.3н'!O72)/3</f>
        <v>0</v>
      </c>
      <c r="P72" s="91">
        <f>('15.1н'!P72+'15.2н'!P72+'15.3н'!P72)/3</f>
        <v>0</v>
      </c>
      <c r="Q72" s="91">
        <f>('15.1н'!Q72+'15.2н'!Q72+'15.3н'!Q72)/3</f>
        <v>0</v>
      </c>
      <c r="R72" s="91">
        <f>('15.1н'!B72+'15.2н'!B72+'15.3н'!B72)/3</f>
        <v>0.44369172019596453</v>
      </c>
    </row>
    <row r="73" spans="1:18" x14ac:dyDescent="0.25">
      <c r="A73" s="84">
        <v>72</v>
      </c>
      <c r="B73" s="84" t="s">
        <v>71</v>
      </c>
      <c r="C73" s="91" t="e">
        <f>('15.1н'!#REF!+'15.2н'!#REF!+'15.3н'!#REF!)/3</f>
        <v>#REF!</v>
      </c>
      <c r="D73" s="91" t="e">
        <f>('15.1н'!#REF!+'15.2н'!#REF!+'15.3н'!#REF!)/3</f>
        <v>#REF!</v>
      </c>
      <c r="E73" s="91">
        <f>('15.1н'!E73+'15.2н'!E73+'15.3н'!E73)/3</f>
        <v>0</v>
      </c>
      <c r="F73" s="91">
        <f>('15.1н'!F73+'15.2н'!F73+'15.3н'!F73)/3</f>
        <v>0</v>
      </c>
      <c r="G73" s="91">
        <f>('15.1н'!G73+'15.2н'!G73+'15.3н'!G73)/3</f>
        <v>0</v>
      </c>
      <c r="H73" s="91">
        <f>('15.1н'!H73+'15.2н'!H73+'15.3н'!H73)/3</f>
        <v>0</v>
      </c>
      <c r="I73" s="91">
        <f>('15.1н'!I73+'15.2н'!I73+'15.3н'!I73)/3</f>
        <v>0</v>
      </c>
      <c r="J73" s="91">
        <f>('15.1н'!J73+'15.2н'!J73+'15.3н'!J73)/3</f>
        <v>0</v>
      </c>
      <c r="K73" s="91">
        <f>('15.1н'!K73+'15.2н'!K73+'15.3н'!K73)/3</f>
        <v>0</v>
      </c>
      <c r="L73" s="91">
        <f>('15.1н'!L73+'15.2н'!L73+'15.3н'!L73)/3</f>
        <v>0</v>
      </c>
      <c r="M73" s="91">
        <f>('15.1н'!M73+'15.2н'!M73+'15.3н'!M73)/3</f>
        <v>0</v>
      </c>
      <c r="N73" s="91">
        <f>('15.1н'!N73+'15.2н'!N73+'15.3н'!N73)/3</f>
        <v>0</v>
      </c>
      <c r="O73" s="91">
        <f>('15.1н'!O73+'15.2н'!O73+'15.3н'!O73)/3</f>
        <v>0</v>
      </c>
      <c r="P73" s="91">
        <f>('15.1н'!P73+'15.2н'!P73+'15.3н'!P73)/3</f>
        <v>0</v>
      </c>
      <c r="Q73" s="91">
        <f>('15.1н'!Q73+'15.2н'!Q73+'15.3н'!Q73)/3</f>
        <v>0</v>
      </c>
      <c r="R73" s="91">
        <f>('15.1н'!B73+'15.2н'!B73+'15.3н'!B73)/3</f>
        <v>0.39882670653392699</v>
      </c>
    </row>
    <row r="74" spans="1:18" x14ac:dyDescent="0.25">
      <c r="A74" s="84">
        <v>73</v>
      </c>
      <c r="B74" s="84" t="s">
        <v>72</v>
      </c>
      <c r="C74" s="91" t="e">
        <f>('15.1н'!#REF!+'15.2н'!#REF!+'15.3н'!#REF!)/3</f>
        <v>#REF!</v>
      </c>
      <c r="D74" s="91" t="e">
        <f>('15.1н'!#REF!+'15.2н'!#REF!+'15.3н'!#REF!)/3</f>
        <v>#REF!</v>
      </c>
      <c r="E74" s="91">
        <f>('15.1н'!E74+'15.2н'!E74+'15.3н'!E74)/3</f>
        <v>0</v>
      </c>
      <c r="F74" s="91">
        <f>('15.1н'!F74+'15.2н'!F74+'15.3н'!F74)/3</f>
        <v>0</v>
      </c>
      <c r="G74" s="91">
        <f>('15.1н'!G74+'15.2н'!G74+'15.3н'!G74)/3</f>
        <v>0</v>
      </c>
      <c r="H74" s="91">
        <f>('15.1н'!H74+'15.2н'!H74+'15.3н'!H74)/3</f>
        <v>0</v>
      </c>
      <c r="I74" s="91">
        <f>('15.1н'!I74+'15.2н'!I74+'15.3н'!I74)/3</f>
        <v>0</v>
      </c>
      <c r="J74" s="91">
        <f>('15.1н'!J74+'15.2н'!J74+'15.3н'!J74)/3</f>
        <v>0</v>
      </c>
      <c r="K74" s="91">
        <f>('15.1н'!K74+'15.2н'!K74+'15.3н'!K74)/3</f>
        <v>0</v>
      </c>
      <c r="L74" s="91">
        <f>('15.1н'!L74+'15.2н'!L74+'15.3н'!L74)/3</f>
        <v>0</v>
      </c>
      <c r="M74" s="91">
        <f>('15.1н'!M74+'15.2н'!M74+'15.3н'!M74)/3</f>
        <v>0</v>
      </c>
      <c r="N74" s="91">
        <f>('15.1н'!N74+'15.2н'!N74+'15.3н'!N74)/3</f>
        <v>0</v>
      </c>
      <c r="O74" s="91">
        <f>('15.1н'!O74+'15.2н'!O74+'15.3н'!O74)/3</f>
        <v>0</v>
      </c>
      <c r="P74" s="91">
        <f>('15.1н'!P74+'15.2н'!P74+'15.3н'!P74)/3</f>
        <v>0</v>
      </c>
      <c r="Q74" s="91">
        <f>('15.1н'!Q74+'15.2н'!Q74+'15.3н'!Q74)/3</f>
        <v>0</v>
      </c>
      <c r="R74" s="91">
        <f>('15.1н'!B74+'15.2н'!B74+'15.3н'!B74)/3</f>
        <v>0.34428093741324822</v>
      </c>
    </row>
    <row r="75" spans="1:18" x14ac:dyDescent="0.25">
      <c r="A75" s="84">
        <v>74</v>
      </c>
      <c r="B75" s="84" t="s">
        <v>74</v>
      </c>
      <c r="C75" s="91" t="e">
        <f>('15.1н'!#REF!+'15.2н'!#REF!+'15.3н'!#REF!)/3</f>
        <v>#REF!</v>
      </c>
      <c r="D75" s="91" t="e">
        <f>('15.1н'!#REF!+'15.2н'!#REF!+'15.3н'!#REF!)/3</f>
        <v>#REF!</v>
      </c>
      <c r="E75" s="91">
        <f>('15.1н'!E75+'15.2н'!E75+'15.3н'!E75)/3</f>
        <v>0</v>
      </c>
      <c r="F75" s="91">
        <f>('15.1н'!F75+'15.2н'!F75+'15.3н'!F75)/3</f>
        <v>0</v>
      </c>
      <c r="G75" s="91">
        <f>('15.1н'!G75+'15.2н'!G75+'15.3н'!G75)/3</f>
        <v>0</v>
      </c>
      <c r="H75" s="91">
        <f>('15.1н'!H75+'15.2н'!H75+'15.3н'!H75)/3</f>
        <v>0</v>
      </c>
      <c r="I75" s="91">
        <f>('15.1н'!I75+'15.2н'!I75+'15.3н'!I75)/3</f>
        <v>0</v>
      </c>
      <c r="J75" s="91">
        <f>('15.1н'!J75+'15.2н'!J75+'15.3н'!J75)/3</f>
        <v>0</v>
      </c>
      <c r="K75" s="91">
        <f>('15.1н'!K75+'15.2н'!K75+'15.3н'!K75)/3</f>
        <v>0</v>
      </c>
      <c r="L75" s="91">
        <f>('15.1н'!L75+'15.2н'!L75+'15.3н'!L75)/3</f>
        <v>0</v>
      </c>
      <c r="M75" s="91">
        <f>('15.1н'!M75+'15.2н'!M75+'15.3н'!M75)/3</f>
        <v>0</v>
      </c>
      <c r="N75" s="91">
        <f>('15.1н'!N75+'15.2н'!N75+'15.3н'!N75)/3</f>
        <v>0</v>
      </c>
      <c r="O75" s="91">
        <f>('15.1н'!O75+'15.2н'!O75+'15.3н'!O75)/3</f>
        <v>0</v>
      </c>
      <c r="P75" s="91">
        <f>('15.1н'!P75+'15.2н'!P75+'15.3н'!P75)/3</f>
        <v>0</v>
      </c>
      <c r="Q75" s="91">
        <f>('15.1н'!Q75+'15.2н'!Q75+'15.3н'!Q75)/3</f>
        <v>0</v>
      </c>
      <c r="R75" s="91">
        <f>('15.1н'!B75+'15.2н'!B75+'15.3н'!B75)/3</f>
        <v>0.59202072470099709</v>
      </c>
    </row>
    <row r="76" spans="1:18" x14ac:dyDescent="0.25">
      <c r="A76" s="84">
        <v>75</v>
      </c>
      <c r="B76" s="84" t="s">
        <v>75</v>
      </c>
      <c r="C76" s="91" t="e">
        <f>('15.1н'!#REF!+'15.2н'!#REF!+'15.3н'!#REF!)/3</f>
        <v>#REF!</v>
      </c>
      <c r="D76" s="91" t="e">
        <f>('15.1н'!#REF!+'15.2н'!#REF!+'15.3н'!#REF!)/3</f>
        <v>#REF!</v>
      </c>
      <c r="E76" s="91">
        <f>('15.1н'!E76+'15.2н'!E76+'15.3н'!E76)/3</f>
        <v>0</v>
      </c>
      <c r="F76" s="91">
        <f>('15.1н'!F76+'15.2н'!F76+'15.3н'!F76)/3</f>
        <v>0</v>
      </c>
      <c r="G76" s="91">
        <f>('15.1н'!G76+'15.2н'!G76+'15.3н'!G76)/3</f>
        <v>0</v>
      </c>
      <c r="H76" s="91">
        <f>('15.1н'!H76+'15.2н'!H76+'15.3н'!H76)/3</f>
        <v>0</v>
      </c>
      <c r="I76" s="91">
        <f>('15.1н'!I76+'15.2н'!I76+'15.3н'!I76)/3</f>
        <v>0</v>
      </c>
      <c r="J76" s="91">
        <f>('15.1н'!J76+'15.2н'!J76+'15.3н'!J76)/3</f>
        <v>0</v>
      </c>
      <c r="K76" s="91">
        <f>('15.1н'!K76+'15.2н'!K76+'15.3н'!K76)/3</f>
        <v>0</v>
      </c>
      <c r="L76" s="91">
        <f>('15.1н'!L76+'15.2н'!L76+'15.3н'!L76)/3</f>
        <v>0</v>
      </c>
      <c r="M76" s="91">
        <f>('15.1н'!M76+'15.2н'!M76+'15.3н'!M76)/3</f>
        <v>0</v>
      </c>
      <c r="N76" s="91">
        <f>('15.1н'!N76+'15.2н'!N76+'15.3н'!N76)/3</f>
        <v>0</v>
      </c>
      <c r="O76" s="91">
        <f>('15.1н'!O76+'15.2н'!O76+'15.3н'!O76)/3</f>
        <v>0</v>
      </c>
      <c r="P76" s="91">
        <f>('15.1н'!P76+'15.2н'!P76+'15.3н'!P76)/3</f>
        <v>0</v>
      </c>
      <c r="Q76" s="91">
        <f>('15.1н'!Q76+'15.2н'!Q76+'15.3н'!Q76)/3</f>
        <v>0</v>
      </c>
      <c r="R76" s="91">
        <f>('15.1н'!B76+'15.2н'!B76+'15.3н'!B76)/3</f>
        <v>0.58002338354522998</v>
      </c>
    </row>
    <row r="77" spans="1:18" x14ac:dyDescent="0.25">
      <c r="A77" s="84">
        <v>76</v>
      </c>
      <c r="B77" s="84" t="s">
        <v>76</v>
      </c>
      <c r="C77" s="91" t="e">
        <f>('15.1н'!#REF!+'15.2н'!#REF!+'15.3н'!#REF!)/3</f>
        <v>#REF!</v>
      </c>
      <c r="D77" s="91" t="e">
        <f>('15.1н'!#REF!+'15.2н'!#REF!+'15.3н'!#REF!)/3</f>
        <v>#REF!</v>
      </c>
      <c r="E77" s="91">
        <f>('15.1н'!E77+'15.2н'!E77+'15.3н'!E77)/3</f>
        <v>0</v>
      </c>
      <c r="F77" s="91">
        <f>('15.1н'!F77+'15.2н'!F77+'15.3н'!F77)/3</f>
        <v>0</v>
      </c>
      <c r="G77" s="91">
        <f>('15.1н'!G77+'15.2н'!G77+'15.3н'!G77)/3</f>
        <v>0</v>
      </c>
      <c r="H77" s="91">
        <f>('15.1н'!H77+'15.2н'!H77+'15.3н'!H77)/3</f>
        <v>0</v>
      </c>
      <c r="I77" s="91">
        <f>('15.1н'!I77+'15.2н'!I77+'15.3н'!I77)/3</f>
        <v>0</v>
      </c>
      <c r="J77" s="91">
        <f>('15.1н'!J77+'15.2н'!J77+'15.3н'!J77)/3</f>
        <v>0</v>
      </c>
      <c r="K77" s="91">
        <f>('15.1н'!K77+'15.2н'!K77+'15.3н'!K77)/3</f>
        <v>0</v>
      </c>
      <c r="L77" s="91">
        <f>('15.1н'!L77+'15.2н'!L77+'15.3н'!L77)/3</f>
        <v>0</v>
      </c>
      <c r="M77" s="91">
        <f>('15.1н'!M77+'15.2н'!M77+'15.3н'!M77)/3</f>
        <v>0</v>
      </c>
      <c r="N77" s="91">
        <f>('15.1н'!N77+'15.2н'!N77+'15.3н'!N77)/3</f>
        <v>0</v>
      </c>
      <c r="O77" s="91">
        <f>('15.1н'!O77+'15.2н'!O77+'15.3н'!O77)/3</f>
        <v>0</v>
      </c>
      <c r="P77" s="91">
        <f>('15.1н'!P77+'15.2н'!P77+'15.3н'!P77)/3</f>
        <v>0</v>
      </c>
      <c r="Q77" s="91">
        <f>('15.1н'!Q77+'15.2н'!Q77+'15.3н'!Q77)/3</f>
        <v>0</v>
      </c>
      <c r="R77" s="91">
        <f>('15.1н'!B77+'15.2н'!B77+'15.3н'!B77)/3</f>
        <v>0.453012359110539</v>
      </c>
    </row>
    <row r="78" spans="1:18" x14ac:dyDescent="0.25">
      <c r="A78" s="84">
        <v>77</v>
      </c>
      <c r="B78" s="84" t="s">
        <v>77</v>
      </c>
      <c r="C78" s="91" t="e">
        <f>('15.1н'!#REF!+'15.2н'!#REF!+'15.3н'!#REF!)/3</f>
        <v>#REF!</v>
      </c>
      <c r="D78" s="91" t="e">
        <f>('15.1н'!#REF!+'15.2н'!#REF!+'15.3н'!#REF!)/3</f>
        <v>#REF!</v>
      </c>
      <c r="E78" s="91">
        <f>('15.1н'!E78+'15.2н'!E78+'15.3н'!E78)/3</f>
        <v>0</v>
      </c>
      <c r="F78" s="91">
        <f>('15.1н'!F78+'15.2н'!F78+'15.3н'!F78)/3</f>
        <v>0</v>
      </c>
      <c r="G78" s="91">
        <f>('15.1н'!G78+'15.2н'!G78+'15.3н'!G78)/3</f>
        <v>0</v>
      </c>
      <c r="H78" s="91">
        <f>('15.1н'!H78+'15.2н'!H78+'15.3н'!H78)/3</f>
        <v>0</v>
      </c>
      <c r="I78" s="91">
        <f>('15.1н'!I78+'15.2н'!I78+'15.3н'!I78)/3</f>
        <v>0</v>
      </c>
      <c r="J78" s="91">
        <f>('15.1н'!J78+'15.2н'!J78+'15.3н'!J78)/3</f>
        <v>0</v>
      </c>
      <c r="K78" s="91">
        <f>('15.1н'!K78+'15.2н'!K78+'15.3н'!K78)/3</f>
        <v>0</v>
      </c>
      <c r="L78" s="91">
        <f>('15.1н'!L78+'15.2н'!L78+'15.3н'!L78)/3</f>
        <v>0</v>
      </c>
      <c r="M78" s="91">
        <f>('15.1н'!M78+'15.2н'!M78+'15.3н'!M78)/3</f>
        <v>0</v>
      </c>
      <c r="N78" s="91">
        <f>('15.1н'!N78+'15.2н'!N78+'15.3н'!N78)/3</f>
        <v>0</v>
      </c>
      <c r="O78" s="91">
        <f>('15.1н'!O78+'15.2н'!O78+'15.3н'!O78)/3</f>
        <v>0</v>
      </c>
      <c r="P78" s="91">
        <f>('15.1н'!P78+'15.2н'!P78+'15.3н'!P78)/3</f>
        <v>0</v>
      </c>
      <c r="Q78" s="91">
        <f>('15.1н'!Q78+'15.2н'!Q78+'15.3н'!Q78)/3</f>
        <v>0</v>
      </c>
      <c r="R78" s="91">
        <f>('15.1н'!B78+'15.2н'!B78+'15.3н'!B78)/3</f>
        <v>0.57039341401185106</v>
      </c>
    </row>
    <row r="79" spans="1:18" x14ac:dyDescent="0.25">
      <c r="A79" s="84">
        <v>78</v>
      </c>
      <c r="B79" s="84" t="s">
        <v>78</v>
      </c>
      <c r="C79" s="91" t="e">
        <f>('15.1н'!#REF!+'15.2н'!#REF!+'15.3н'!#REF!)/3</f>
        <v>#REF!</v>
      </c>
      <c r="D79" s="91" t="e">
        <f>('15.1н'!#REF!+'15.2н'!#REF!+'15.3н'!#REF!)/3</f>
        <v>#REF!</v>
      </c>
      <c r="E79" s="91">
        <f>('15.1н'!E79+'15.2н'!E79+'15.3н'!E79)/3</f>
        <v>0</v>
      </c>
      <c r="F79" s="91">
        <f>('15.1н'!F79+'15.2н'!F79+'15.3н'!F79)/3</f>
        <v>0</v>
      </c>
      <c r="G79" s="91">
        <f>('15.1н'!G79+'15.2н'!G79+'15.3н'!G79)/3</f>
        <v>0</v>
      </c>
      <c r="H79" s="91">
        <f>('15.1н'!H79+'15.2н'!H79+'15.3н'!H79)/3</f>
        <v>0</v>
      </c>
      <c r="I79" s="91">
        <f>('15.1н'!I79+'15.2н'!I79+'15.3н'!I79)/3</f>
        <v>0</v>
      </c>
      <c r="J79" s="91">
        <f>('15.1н'!J79+'15.2н'!J79+'15.3н'!J79)/3</f>
        <v>0</v>
      </c>
      <c r="K79" s="91">
        <f>('15.1н'!K79+'15.2н'!K79+'15.3н'!K79)/3</f>
        <v>0</v>
      </c>
      <c r="L79" s="91">
        <f>('15.1н'!L79+'15.2н'!L79+'15.3н'!L79)/3</f>
        <v>0</v>
      </c>
      <c r="M79" s="91">
        <f>('15.1н'!M79+'15.2н'!M79+'15.3н'!M79)/3</f>
        <v>0</v>
      </c>
      <c r="N79" s="91">
        <f>('15.1н'!N79+'15.2н'!N79+'15.3н'!N79)/3</f>
        <v>0</v>
      </c>
      <c r="O79" s="91">
        <f>('15.1н'!O79+'15.2н'!O79+'15.3н'!O79)/3</f>
        <v>0</v>
      </c>
      <c r="P79" s="91">
        <f>('15.1н'!P79+'15.2н'!P79+'15.3н'!P79)/3</f>
        <v>0</v>
      </c>
      <c r="Q79" s="91">
        <f>('15.1н'!Q79+'15.2н'!Q79+'15.3н'!Q79)/3</f>
        <v>0</v>
      </c>
      <c r="R79" s="91">
        <f>('15.1н'!B79+'15.2н'!B79+'15.3н'!B79)/3</f>
        <v>0.45990212202718633</v>
      </c>
    </row>
    <row r="80" spans="1:18" x14ac:dyDescent="0.25">
      <c r="A80" s="84">
        <v>79</v>
      </c>
      <c r="B80" s="84" t="s">
        <v>79</v>
      </c>
      <c r="C80" s="91" t="e">
        <f>('15.1н'!#REF!+'15.2н'!#REF!+'15.3н'!#REF!)/3</f>
        <v>#REF!</v>
      </c>
      <c r="D80" s="91" t="e">
        <f>('15.1н'!#REF!+'15.2н'!#REF!+'15.3н'!#REF!)/3</f>
        <v>#REF!</v>
      </c>
      <c r="E80" s="91">
        <f>('15.1н'!E80+'15.2н'!E80+'15.3н'!E80)/3</f>
        <v>0</v>
      </c>
      <c r="F80" s="91">
        <f>('15.1н'!F80+'15.2н'!F80+'15.3н'!F80)/3</f>
        <v>0</v>
      </c>
      <c r="G80" s="91">
        <f>('15.1н'!G80+'15.2н'!G80+'15.3н'!G80)/3</f>
        <v>0</v>
      </c>
      <c r="H80" s="91">
        <f>('15.1н'!H80+'15.2н'!H80+'15.3н'!H80)/3</f>
        <v>0</v>
      </c>
      <c r="I80" s="91">
        <f>('15.1н'!I80+'15.2н'!I80+'15.3н'!I80)/3</f>
        <v>0</v>
      </c>
      <c r="J80" s="91">
        <f>('15.1н'!J80+'15.2н'!J80+'15.3н'!J80)/3</f>
        <v>0</v>
      </c>
      <c r="K80" s="91">
        <f>('15.1н'!K80+'15.2н'!K80+'15.3н'!K80)/3</f>
        <v>0</v>
      </c>
      <c r="L80" s="91">
        <f>('15.1н'!L80+'15.2н'!L80+'15.3н'!L80)/3</f>
        <v>0</v>
      </c>
      <c r="M80" s="91">
        <f>('15.1н'!M80+'15.2н'!M80+'15.3н'!M80)/3</f>
        <v>0</v>
      </c>
      <c r="N80" s="91">
        <f>('15.1н'!N80+'15.2н'!N80+'15.3н'!N80)/3</f>
        <v>0</v>
      </c>
      <c r="O80" s="91">
        <f>('15.1н'!O80+'15.2н'!O80+'15.3н'!O80)/3</f>
        <v>0</v>
      </c>
      <c r="P80" s="91">
        <f>('15.1н'!P80+'15.2н'!P80+'15.3н'!P80)/3</f>
        <v>0</v>
      </c>
      <c r="Q80" s="91">
        <f>('15.1н'!Q80+'15.2н'!Q80+'15.3н'!Q80)/3</f>
        <v>0</v>
      </c>
      <c r="R80" s="91">
        <f>('15.1н'!B80+'15.2н'!B80+'15.3н'!B80)/3</f>
        <v>0.61701283404234164</v>
      </c>
    </row>
    <row r="81" spans="1:18" x14ac:dyDescent="0.25">
      <c r="A81" s="84">
        <v>80</v>
      </c>
      <c r="B81" s="84" t="s">
        <v>80</v>
      </c>
      <c r="C81" s="91" t="e">
        <f>('15.1н'!#REF!+'15.2н'!#REF!+'15.3н'!#REF!)/3</f>
        <v>#REF!</v>
      </c>
      <c r="D81" s="91" t="e">
        <f>('15.1н'!#REF!+'15.2н'!#REF!+'15.3н'!#REF!)/3</f>
        <v>#REF!</v>
      </c>
      <c r="E81" s="91">
        <f>('15.1н'!E81+'15.2н'!E81+'15.3н'!E81)/3</f>
        <v>0</v>
      </c>
      <c r="F81" s="91">
        <f>('15.1н'!F81+'15.2н'!F81+'15.3н'!F81)/3</f>
        <v>0</v>
      </c>
      <c r="G81" s="91">
        <f>('15.1н'!G81+'15.2н'!G81+'15.3н'!G81)/3</f>
        <v>0</v>
      </c>
      <c r="H81" s="91">
        <f>('15.1н'!H81+'15.2н'!H81+'15.3н'!H81)/3</f>
        <v>0</v>
      </c>
      <c r="I81" s="91">
        <f>('15.1н'!I81+'15.2н'!I81+'15.3н'!I81)/3</f>
        <v>0</v>
      </c>
      <c r="J81" s="91">
        <f>('15.1н'!J81+'15.2н'!J81+'15.3н'!J81)/3</f>
        <v>0</v>
      </c>
      <c r="K81" s="91">
        <f>('15.1н'!K81+'15.2н'!K81+'15.3н'!K81)/3</f>
        <v>0</v>
      </c>
      <c r="L81" s="91">
        <f>('15.1н'!L81+'15.2н'!L81+'15.3н'!L81)/3</f>
        <v>0</v>
      </c>
      <c r="M81" s="91">
        <f>('15.1н'!M81+'15.2н'!M81+'15.3н'!M81)/3</f>
        <v>0</v>
      </c>
      <c r="N81" s="91">
        <f>('15.1н'!N81+'15.2н'!N81+'15.3н'!N81)/3</f>
        <v>0</v>
      </c>
      <c r="O81" s="91">
        <f>('15.1н'!O81+'15.2н'!O81+'15.3н'!O81)/3</f>
        <v>0</v>
      </c>
      <c r="P81" s="91">
        <f>('15.1н'!P81+'15.2н'!P81+'15.3н'!P81)/3</f>
        <v>0</v>
      </c>
      <c r="Q81" s="91">
        <f>('15.1н'!Q81+'15.2н'!Q81+'15.3н'!Q81)/3</f>
        <v>0</v>
      </c>
      <c r="R81" s="91">
        <f>('15.1н'!B81+'15.2н'!B81+'15.3н'!B81)/3</f>
        <v>0.63160537735361932</v>
      </c>
    </row>
    <row r="82" spans="1:18" x14ac:dyDescent="0.25">
      <c r="A82" s="84">
        <v>81</v>
      </c>
      <c r="B82" s="84" t="s">
        <v>81</v>
      </c>
      <c r="C82" s="91" t="e">
        <f>('15.1н'!#REF!+'15.2н'!#REF!+'15.3н'!#REF!)/3</f>
        <v>#REF!</v>
      </c>
      <c r="D82" s="91" t="e">
        <f>('15.1н'!#REF!+'15.2н'!#REF!+'15.3н'!#REF!)/3</f>
        <v>#REF!</v>
      </c>
      <c r="E82" s="91">
        <f>('15.1н'!E82+'15.2н'!E82+'15.3н'!E82)/3</f>
        <v>0</v>
      </c>
      <c r="F82" s="91">
        <f>('15.1н'!F82+'15.2н'!F82+'15.3н'!F82)/3</f>
        <v>0</v>
      </c>
      <c r="G82" s="91">
        <f>('15.1н'!G82+'15.2н'!G82+'15.3н'!G82)/3</f>
        <v>0</v>
      </c>
      <c r="H82" s="91">
        <f>('15.1н'!H82+'15.2н'!H82+'15.3н'!H82)/3</f>
        <v>0</v>
      </c>
      <c r="I82" s="91">
        <f>('15.1н'!I82+'15.2н'!I82+'15.3н'!I82)/3</f>
        <v>0</v>
      </c>
      <c r="J82" s="91">
        <f>('15.1н'!J82+'15.2н'!J82+'15.3н'!J82)/3</f>
        <v>0</v>
      </c>
      <c r="K82" s="91">
        <f>('15.1н'!K82+'15.2н'!K82+'15.3н'!K82)/3</f>
        <v>0</v>
      </c>
      <c r="L82" s="91">
        <f>('15.1н'!L82+'15.2н'!L82+'15.3н'!L82)/3</f>
        <v>0</v>
      </c>
      <c r="M82" s="91">
        <f>('15.1н'!M82+'15.2н'!M82+'15.3н'!M82)/3</f>
        <v>0</v>
      </c>
      <c r="N82" s="91">
        <f>('15.1н'!N82+'15.2н'!N82+'15.3н'!N82)/3</f>
        <v>0</v>
      </c>
      <c r="O82" s="91">
        <f>('15.1н'!O82+'15.2н'!O82+'15.3н'!O82)/3</f>
        <v>0</v>
      </c>
      <c r="P82" s="91">
        <f>('15.1н'!P82+'15.2н'!P82+'15.3н'!P82)/3</f>
        <v>0</v>
      </c>
      <c r="Q82" s="91">
        <f>('15.1н'!Q82+'15.2н'!Q82+'15.3н'!Q82)/3</f>
        <v>0</v>
      </c>
      <c r="R82" s="91">
        <f>('15.1н'!B82+'15.2н'!B82+'15.3н'!B82)/3</f>
        <v>0.32736498090218807</v>
      </c>
    </row>
    <row r="83" spans="1:18" x14ac:dyDescent="0.25">
      <c r="A83" s="84">
        <v>82</v>
      </c>
      <c r="B83" s="84" t="s">
        <v>82</v>
      </c>
      <c r="C83" s="91" t="e">
        <f>('15.1н'!#REF!+'15.2н'!#REF!+'15.3н'!#REF!)/3</f>
        <v>#REF!</v>
      </c>
      <c r="D83" s="91" t="e">
        <f>('15.1н'!#REF!+'15.2н'!#REF!+'15.3н'!#REF!)/3</f>
        <v>#REF!</v>
      </c>
      <c r="E83" s="91">
        <f>('15.1н'!E83+'15.2н'!E83+'15.3н'!E83)/3</f>
        <v>0</v>
      </c>
      <c r="F83" s="91">
        <f>('15.1н'!F83+'15.2н'!F83+'15.3н'!F83)/3</f>
        <v>0</v>
      </c>
      <c r="G83" s="91">
        <f>('15.1н'!G83+'15.2н'!G83+'15.3н'!G83)/3</f>
        <v>0</v>
      </c>
      <c r="H83" s="91">
        <f>('15.1н'!H83+'15.2н'!H83+'15.3н'!H83)/3</f>
        <v>0</v>
      </c>
      <c r="I83" s="91">
        <f>('15.1н'!I83+'15.2н'!I83+'15.3н'!I83)/3</f>
        <v>0</v>
      </c>
      <c r="J83" s="91">
        <f>('15.1н'!J83+'15.2н'!J83+'15.3н'!J83)/3</f>
        <v>0</v>
      </c>
      <c r="K83" s="91">
        <f>('15.1н'!K83+'15.2н'!K83+'15.3н'!K83)/3</f>
        <v>0</v>
      </c>
      <c r="L83" s="91">
        <f>('15.1н'!L83+'15.2н'!L83+'15.3н'!L83)/3</f>
        <v>0</v>
      </c>
      <c r="M83" s="91">
        <f>('15.1н'!M83+'15.2н'!M83+'15.3н'!M83)/3</f>
        <v>0</v>
      </c>
      <c r="N83" s="91">
        <f>('15.1н'!N83+'15.2н'!N83+'15.3н'!N83)/3</f>
        <v>0</v>
      </c>
      <c r="O83" s="91">
        <f>('15.1н'!O83+'15.2н'!O83+'15.3н'!O83)/3</f>
        <v>0</v>
      </c>
      <c r="P83" s="91">
        <f>('15.1н'!P83+'15.2н'!P83+'15.3н'!P83)/3</f>
        <v>0</v>
      </c>
      <c r="Q83" s="91">
        <f>('15.1н'!Q83+'15.2н'!Q83+'15.3н'!Q83)/3</f>
        <v>0</v>
      </c>
      <c r="R83" s="91">
        <f>('15.1н'!B83+'15.2н'!B83+'15.3н'!B83)/3</f>
        <v>0.61305700283293341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Q85"/>
  <sheetViews>
    <sheetView topLeftCell="A58" workbookViewId="0">
      <selection activeCell="Q77" sqref="Q77"/>
    </sheetView>
  </sheetViews>
  <sheetFormatPr defaultRowHeight="15" x14ac:dyDescent="0.25"/>
  <cols>
    <col min="1" max="1" width="35.140625" customWidth="1"/>
    <col min="7" max="14" width="0" hidden="1" customWidth="1"/>
  </cols>
  <sheetData>
    <row r="1" spans="1:17" ht="15.75" x14ac:dyDescent="0.25">
      <c r="A1" s="84"/>
      <c r="B1" s="84">
        <v>2005</v>
      </c>
      <c r="C1" s="84">
        <v>2006</v>
      </c>
      <c r="D1" s="84">
        <v>2007</v>
      </c>
      <c r="E1" s="84">
        <v>2008</v>
      </c>
      <c r="F1" s="84">
        <v>2009</v>
      </c>
      <c r="G1" s="86">
        <v>2010</v>
      </c>
      <c r="H1" s="86">
        <v>2011</v>
      </c>
      <c r="I1" s="86">
        <v>2012</v>
      </c>
      <c r="J1" s="86">
        <v>2013</v>
      </c>
      <c r="K1" s="86">
        <v>2014</v>
      </c>
      <c r="L1" s="86">
        <v>2015</v>
      </c>
      <c r="M1" s="86">
        <v>2016</v>
      </c>
      <c r="N1" s="87">
        <v>2017</v>
      </c>
      <c r="O1" s="86">
        <v>2018</v>
      </c>
      <c r="P1" s="86">
        <v>2019</v>
      </c>
      <c r="Q1" s="86">
        <v>2020</v>
      </c>
    </row>
    <row r="2" spans="1:17" ht="15.75" x14ac:dyDescent="0.25">
      <c r="A2" s="84" t="s">
        <v>1</v>
      </c>
      <c r="B2" s="89">
        <v>1637</v>
      </c>
      <c r="C2" s="89">
        <v>1912</v>
      </c>
      <c r="D2" s="89">
        <v>2519</v>
      </c>
      <c r="E2" s="89">
        <v>3768</v>
      </c>
      <c r="F2" s="89">
        <v>3773</v>
      </c>
      <c r="G2" s="89">
        <v>3841</v>
      </c>
      <c r="H2" s="89">
        <v>4186</v>
      </c>
      <c r="I2" s="89">
        <v>5128</v>
      </c>
      <c r="J2" s="89">
        <v>5964</v>
      </c>
      <c r="K2" s="89">
        <v>6280</v>
      </c>
      <c r="L2" s="89">
        <v>6811</v>
      </c>
      <c r="M2" s="89">
        <v>7279</v>
      </c>
      <c r="N2" s="89">
        <v>7902</v>
      </c>
      <c r="O2" s="89">
        <v>8429</v>
      </c>
      <c r="P2" s="89">
        <v>9038</v>
      </c>
      <c r="Q2" s="89">
        <v>9588</v>
      </c>
    </row>
    <row r="3" spans="1:17" ht="15.75" x14ac:dyDescent="0.25">
      <c r="A3" s="84" t="s">
        <v>2</v>
      </c>
      <c r="B3" s="89">
        <v>2187</v>
      </c>
      <c r="C3" s="89">
        <v>2761</v>
      </c>
      <c r="D3" s="89">
        <v>3601</v>
      </c>
      <c r="E3" s="89">
        <v>5292</v>
      </c>
      <c r="F3" s="89">
        <v>4903</v>
      </c>
      <c r="G3" s="89">
        <v>5632</v>
      </c>
      <c r="H3" s="89">
        <v>7204</v>
      </c>
      <c r="I3" s="89">
        <v>8188</v>
      </c>
      <c r="J3" s="89">
        <v>8907</v>
      </c>
      <c r="K3" s="89">
        <v>9645</v>
      </c>
      <c r="L3" s="89">
        <v>10537</v>
      </c>
      <c r="M3" s="89">
        <v>10687</v>
      </c>
      <c r="N3" s="89">
        <v>11332</v>
      </c>
      <c r="O3" s="89">
        <v>12120</v>
      </c>
      <c r="P3" s="89">
        <v>12816</v>
      </c>
      <c r="Q3" s="89">
        <v>8878</v>
      </c>
    </row>
    <row r="4" spans="1:17" ht="15.75" x14ac:dyDescent="0.25">
      <c r="A4" s="84" t="s">
        <v>3</v>
      </c>
      <c r="B4" s="89">
        <v>1554</v>
      </c>
      <c r="C4" s="89">
        <v>1864</v>
      </c>
      <c r="D4" s="89">
        <v>3108</v>
      </c>
      <c r="E4" s="89">
        <v>4795</v>
      </c>
      <c r="F4" s="89">
        <v>4704</v>
      </c>
      <c r="G4" s="89">
        <v>4865</v>
      </c>
      <c r="H4" s="89">
        <v>5820</v>
      </c>
      <c r="I4" s="89">
        <v>6620</v>
      </c>
      <c r="J4" s="89">
        <v>7315</v>
      </c>
      <c r="K4" s="89">
        <v>8285</v>
      </c>
      <c r="L4" s="89">
        <v>9539</v>
      </c>
      <c r="M4" s="89">
        <v>9866</v>
      </c>
      <c r="N4" s="89">
        <v>10530</v>
      </c>
      <c r="O4" s="89">
        <v>10837</v>
      </c>
      <c r="P4" s="89">
        <v>11583</v>
      </c>
      <c r="Q4" s="89">
        <v>9387</v>
      </c>
    </row>
    <row r="5" spans="1:17" ht="15.75" x14ac:dyDescent="0.25">
      <c r="A5" s="84" t="s">
        <v>4</v>
      </c>
      <c r="B5" s="89">
        <v>1844</v>
      </c>
      <c r="C5" s="89">
        <v>1925</v>
      </c>
      <c r="D5" s="89">
        <v>4355</v>
      </c>
      <c r="E5" s="89">
        <v>5574</v>
      </c>
      <c r="F5" s="89">
        <v>5001</v>
      </c>
      <c r="G5" s="89">
        <v>5081</v>
      </c>
      <c r="H5" s="89">
        <v>5751</v>
      </c>
      <c r="I5" s="89">
        <v>6990</v>
      </c>
      <c r="J5" s="89">
        <v>8498</v>
      </c>
      <c r="K5" s="89">
        <v>9572</v>
      </c>
      <c r="L5" s="89">
        <v>12119</v>
      </c>
      <c r="M5" s="89">
        <v>13268</v>
      </c>
      <c r="N5" s="89">
        <v>14932</v>
      </c>
      <c r="O5" s="89">
        <v>16345</v>
      </c>
      <c r="P5" s="89">
        <v>18076</v>
      </c>
      <c r="Q5" s="89">
        <v>15416</v>
      </c>
    </row>
    <row r="6" spans="1:17" ht="15.75" x14ac:dyDescent="0.25">
      <c r="A6" s="84" t="s">
        <v>5</v>
      </c>
      <c r="B6" s="89">
        <v>1061</v>
      </c>
      <c r="C6" s="89">
        <v>1407</v>
      </c>
      <c r="D6" s="89">
        <v>1875</v>
      </c>
      <c r="E6" s="89">
        <v>2628</v>
      </c>
      <c r="F6" s="89">
        <v>2153</v>
      </c>
      <c r="G6" s="89">
        <v>2586</v>
      </c>
      <c r="H6" s="89">
        <v>3345</v>
      </c>
      <c r="I6" s="89">
        <v>4094</v>
      </c>
      <c r="J6" s="89">
        <v>4915</v>
      </c>
      <c r="K6" s="89">
        <v>5397</v>
      </c>
      <c r="L6" s="89">
        <v>5159</v>
      </c>
      <c r="M6" s="89">
        <v>5325</v>
      </c>
      <c r="N6" s="89">
        <v>5808</v>
      </c>
      <c r="O6" s="89">
        <v>6473</v>
      </c>
      <c r="P6" s="89">
        <v>7146</v>
      </c>
      <c r="Q6" s="89">
        <v>6837</v>
      </c>
    </row>
    <row r="7" spans="1:17" ht="15.75" x14ac:dyDescent="0.25">
      <c r="A7" s="84" t="s">
        <v>6</v>
      </c>
      <c r="B7" s="89">
        <v>979</v>
      </c>
      <c r="C7" s="89">
        <v>1321</v>
      </c>
      <c r="D7" s="89">
        <v>1809</v>
      </c>
      <c r="E7" s="89">
        <v>2422</v>
      </c>
      <c r="F7" s="89">
        <v>2574</v>
      </c>
      <c r="G7" s="89">
        <v>3010</v>
      </c>
      <c r="H7" s="89">
        <v>3501</v>
      </c>
      <c r="I7" s="89">
        <v>3799</v>
      </c>
      <c r="J7" s="89">
        <v>4238</v>
      </c>
      <c r="K7" s="89">
        <v>4775</v>
      </c>
      <c r="L7" s="89">
        <v>6687</v>
      </c>
      <c r="M7" s="89">
        <v>7175</v>
      </c>
      <c r="N7" s="89">
        <v>8237</v>
      </c>
      <c r="O7" s="89">
        <v>8815</v>
      </c>
      <c r="P7" s="89">
        <v>10801</v>
      </c>
      <c r="Q7" s="89">
        <v>9465</v>
      </c>
    </row>
    <row r="8" spans="1:17" ht="15.75" x14ac:dyDescent="0.25">
      <c r="A8" s="84" t="s">
        <v>7</v>
      </c>
      <c r="B8" s="89">
        <v>829</v>
      </c>
      <c r="C8" s="89">
        <v>1097</v>
      </c>
      <c r="D8" s="89">
        <v>1379</v>
      </c>
      <c r="E8" s="89">
        <v>1963</v>
      </c>
      <c r="F8" s="89">
        <v>2048</v>
      </c>
      <c r="G8" s="89">
        <v>2224</v>
      </c>
      <c r="H8" s="89">
        <v>2682</v>
      </c>
      <c r="I8" s="89">
        <v>2869</v>
      </c>
      <c r="J8" s="89">
        <v>3280</v>
      </c>
      <c r="K8" s="89">
        <v>3449</v>
      </c>
      <c r="L8" s="89">
        <v>3786</v>
      </c>
      <c r="M8" s="89">
        <v>4095</v>
      </c>
      <c r="N8" s="89">
        <v>4189</v>
      </c>
      <c r="O8" s="89">
        <v>4444</v>
      </c>
      <c r="P8" s="89">
        <v>4774</v>
      </c>
      <c r="Q8" s="89">
        <v>3699</v>
      </c>
    </row>
    <row r="9" spans="1:17" ht="15.75" x14ac:dyDescent="0.25">
      <c r="A9" s="84" t="s">
        <v>8</v>
      </c>
      <c r="B9" s="89">
        <v>1265</v>
      </c>
      <c r="C9" s="89">
        <v>1651</v>
      </c>
      <c r="D9" s="89">
        <v>2077</v>
      </c>
      <c r="E9" s="89">
        <v>2954</v>
      </c>
      <c r="F9" s="89">
        <v>2993</v>
      </c>
      <c r="G9" s="89">
        <v>2945</v>
      </c>
      <c r="H9" s="89">
        <v>3360</v>
      </c>
      <c r="I9" s="89">
        <v>3857</v>
      </c>
      <c r="J9" s="89">
        <v>4431</v>
      </c>
      <c r="K9" s="89">
        <v>4771</v>
      </c>
      <c r="L9" s="89">
        <v>5382</v>
      </c>
      <c r="M9" s="89">
        <v>5776</v>
      </c>
      <c r="N9" s="89">
        <v>6138</v>
      </c>
      <c r="O9" s="89">
        <v>6298</v>
      </c>
      <c r="P9" s="89">
        <v>6773</v>
      </c>
      <c r="Q9" s="89">
        <v>6187</v>
      </c>
    </row>
    <row r="10" spans="1:17" ht="15.75" x14ac:dyDescent="0.25">
      <c r="A10" s="84" t="s">
        <v>9</v>
      </c>
      <c r="B10" s="89">
        <v>1584</v>
      </c>
      <c r="C10" s="89">
        <v>1910</v>
      </c>
      <c r="D10" s="89">
        <v>2287</v>
      </c>
      <c r="E10" s="89">
        <v>3194</v>
      </c>
      <c r="F10" s="89">
        <v>3239</v>
      </c>
      <c r="G10" s="89">
        <v>3519</v>
      </c>
      <c r="H10" s="89">
        <v>4183</v>
      </c>
      <c r="I10" s="89">
        <v>4600</v>
      </c>
      <c r="J10" s="89">
        <v>5264</v>
      </c>
      <c r="K10" s="89">
        <v>5794</v>
      </c>
      <c r="L10" s="89">
        <v>6411</v>
      </c>
      <c r="M10" s="89">
        <v>6571</v>
      </c>
      <c r="N10" s="89">
        <v>6895</v>
      </c>
      <c r="O10" s="89">
        <v>7329</v>
      </c>
      <c r="P10" s="89">
        <v>8007</v>
      </c>
      <c r="Q10" s="89">
        <v>6702</v>
      </c>
    </row>
    <row r="11" spans="1:17" ht="15.75" x14ac:dyDescent="0.25">
      <c r="A11" s="84" t="s">
        <v>10</v>
      </c>
      <c r="B11" s="89">
        <v>14998</v>
      </c>
      <c r="C11" s="89">
        <v>18661</v>
      </c>
      <c r="D11" s="89">
        <v>29766</v>
      </c>
      <c r="E11" s="89">
        <v>42390</v>
      </c>
      <c r="F11" s="89">
        <v>39615</v>
      </c>
      <c r="G11" s="89">
        <v>43951</v>
      </c>
      <c r="H11" s="89">
        <v>49658</v>
      </c>
      <c r="I11" s="89">
        <v>59668</v>
      </c>
      <c r="J11" s="89">
        <v>66296</v>
      </c>
      <c r="K11" s="89">
        <v>74060</v>
      </c>
      <c r="L11" s="89">
        <v>78603</v>
      </c>
      <c r="M11" s="89">
        <v>87456</v>
      </c>
      <c r="N11" s="89">
        <v>100649</v>
      </c>
      <c r="O11" s="89">
        <v>113372</v>
      </c>
      <c r="P11" s="89">
        <v>131130</v>
      </c>
      <c r="Q11" s="89">
        <v>101664</v>
      </c>
    </row>
    <row r="12" spans="1:17" ht="15.75" x14ac:dyDescent="0.25">
      <c r="A12" s="84" t="s">
        <v>11</v>
      </c>
      <c r="B12" s="89">
        <v>1174</v>
      </c>
      <c r="C12" s="89">
        <v>1382</v>
      </c>
      <c r="D12" s="89">
        <v>1577</v>
      </c>
      <c r="E12" s="89">
        <v>1997</v>
      </c>
      <c r="F12" s="89">
        <v>1931</v>
      </c>
      <c r="G12" s="89">
        <v>2352</v>
      </c>
      <c r="H12" s="89">
        <v>2947</v>
      </c>
      <c r="I12" s="89">
        <v>3092</v>
      </c>
      <c r="J12" s="89">
        <v>3605</v>
      </c>
      <c r="K12" s="89">
        <v>3769</v>
      </c>
      <c r="L12" s="89">
        <v>4042</v>
      </c>
      <c r="M12" s="89">
        <v>3815</v>
      </c>
      <c r="N12" s="89">
        <v>3934</v>
      </c>
      <c r="O12" s="89">
        <v>4077</v>
      </c>
      <c r="P12" s="89">
        <v>4349</v>
      </c>
      <c r="Q12" s="89">
        <v>3580</v>
      </c>
    </row>
    <row r="13" spans="1:17" ht="15.75" x14ac:dyDescent="0.25">
      <c r="A13" s="84" t="s">
        <v>12</v>
      </c>
      <c r="B13" s="89">
        <v>1135</v>
      </c>
      <c r="C13" s="89">
        <v>1466</v>
      </c>
      <c r="D13" s="89">
        <v>1998</v>
      </c>
      <c r="E13" s="89">
        <v>2949</v>
      </c>
      <c r="F13" s="89">
        <v>3031</v>
      </c>
      <c r="G13" s="89">
        <v>3130</v>
      </c>
      <c r="H13" s="89">
        <v>3713</v>
      </c>
      <c r="I13" s="89">
        <v>4330</v>
      </c>
      <c r="J13" s="89">
        <v>4861</v>
      </c>
      <c r="K13" s="89">
        <v>5418</v>
      </c>
      <c r="L13" s="89">
        <v>5938</v>
      </c>
      <c r="M13" s="89">
        <v>5533</v>
      </c>
      <c r="N13" s="89">
        <v>6104</v>
      </c>
      <c r="O13" s="89">
        <v>6453</v>
      </c>
      <c r="P13" s="89">
        <v>6980</v>
      </c>
      <c r="Q13" s="89">
        <v>7025</v>
      </c>
    </row>
    <row r="14" spans="1:17" ht="15.75" x14ac:dyDescent="0.25">
      <c r="A14" s="84" t="s">
        <v>13</v>
      </c>
      <c r="B14" s="89">
        <v>873</v>
      </c>
      <c r="C14" s="89">
        <v>1012</v>
      </c>
      <c r="D14" s="89">
        <v>2362</v>
      </c>
      <c r="E14" s="89">
        <v>2973</v>
      </c>
      <c r="F14" s="89">
        <v>3093</v>
      </c>
      <c r="G14" s="89">
        <v>3642</v>
      </c>
      <c r="H14" s="89">
        <v>4428</v>
      </c>
      <c r="I14" s="89">
        <v>5042</v>
      </c>
      <c r="J14" s="89">
        <v>5786</v>
      </c>
      <c r="K14" s="89">
        <v>6368</v>
      </c>
      <c r="L14" s="89">
        <v>6586</v>
      </c>
      <c r="M14" s="89">
        <v>6443</v>
      </c>
      <c r="N14" s="89">
        <v>6536</v>
      </c>
      <c r="O14" s="89">
        <v>6959</v>
      </c>
      <c r="P14" s="89">
        <v>7284</v>
      </c>
      <c r="Q14" s="89">
        <v>5680</v>
      </c>
    </row>
    <row r="15" spans="1:17" ht="15.75" x14ac:dyDescent="0.25">
      <c r="A15" s="84" t="s">
        <v>14</v>
      </c>
      <c r="B15" s="89">
        <v>946</v>
      </c>
      <c r="C15" s="89">
        <v>1165</v>
      </c>
      <c r="D15" s="89">
        <v>1507</v>
      </c>
      <c r="E15" s="89">
        <v>2228</v>
      </c>
      <c r="F15" s="89">
        <v>2151</v>
      </c>
      <c r="G15" s="89">
        <v>2176</v>
      </c>
      <c r="H15" s="89">
        <v>2666</v>
      </c>
      <c r="I15" s="89">
        <v>3035</v>
      </c>
      <c r="J15" s="89">
        <v>3513</v>
      </c>
      <c r="K15" s="89">
        <v>4154</v>
      </c>
      <c r="L15" s="89">
        <v>4618</v>
      </c>
      <c r="M15" s="89">
        <v>4824</v>
      </c>
      <c r="N15" s="89">
        <v>5235</v>
      </c>
      <c r="O15" s="89">
        <v>5805</v>
      </c>
      <c r="P15" s="89">
        <v>6283</v>
      </c>
      <c r="Q15" s="89">
        <v>5706</v>
      </c>
    </row>
    <row r="16" spans="1:17" ht="15.75" x14ac:dyDescent="0.25">
      <c r="A16" s="84" t="s">
        <v>15</v>
      </c>
      <c r="B16" s="89">
        <v>2174</v>
      </c>
      <c r="C16" s="89">
        <v>2863</v>
      </c>
      <c r="D16" s="89">
        <v>3334</v>
      </c>
      <c r="E16" s="89">
        <v>4323</v>
      </c>
      <c r="F16" s="89">
        <v>4652</v>
      </c>
      <c r="G16" s="89">
        <v>5087</v>
      </c>
      <c r="H16" s="89">
        <v>5641</v>
      </c>
      <c r="I16" s="89">
        <v>6172</v>
      </c>
      <c r="J16" s="89">
        <v>6791</v>
      </c>
      <c r="K16" s="89">
        <v>7419</v>
      </c>
      <c r="L16" s="89">
        <v>8010</v>
      </c>
      <c r="M16" s="89">
        <v>7830</v>
      </c>
      <c r="N16" s="89">
        <v>8320</v>
      </c>
      <c r="O16" s="89">
        <v>8683</v>
      </c>
      <c r="P16" s="89">
        <v>9248</v>
      </c>
      <c r="Q16" s="89">
        <v>7976</v>
      </c>
    </row>
    <row r="17" spans="1:17" ht="15.75" x14ac:dyDescent="0.25">
      <c r="A17" s="84" t="s">
        <v>16</v>
      </c>
      <c r="B17" s="89">
        <v>812</v>
      </c>
      <c r="C17" s="89">
        <v>910</v>
      </c>
      <c r="D17" s="89">
        <v>2636</v>
      </c>
      <c r="E17" s="89">
        <v>3731</v>
      </c>
      <c r="F17" s="89">
        <v>3664</v>
      </c>
      <c r="G17" s="89">
        <v>4083</v>
      </c>
      <c r="H17" s="89">
        <v>4232</v>
      </c>
      <c r="I17" s="89">
        <v>4286</v>
      </c>
      <c r="J17" s="89">
        <v>4412</v>
      </c>
      <c r="K17" s="89">
        <v>4930</v>
      </c>
      <c r="L17" s="89">
        <v>6379</v>
      </c>
      <c r="M17" s="89">
        <v>7481</v>
      </c>
      <c r="N17" s="89">
        <v>8099</v>
      </c>
      <c r="O17" s="89">
        <v>8483</v>
      </c>
      <c r="P17" s="89">
        <v>8992</v>
      </c>
      <c r="Q17" s="89">
        <v>8081</v>
      </c>
    </row>
    <row r="18" spans="1:17" ht="15.75" x14ac:dyDescent="0.25">
      <c r="A18" s="84" t="s">
        <v>17</v>
      </c>
      <c r="B18" s="89">
        <v>2021</v>
      </c>
      <c r="C18" s="89">
        <v>2593</v>
      </c>
      <c r="D18" s="89">
        <v>4625</v>
      </c>
      <c r="E18" s="89">
        <v>5961</v>
      </c>
      <c r="F18" s="89">
        <v>5873</v>
      </c>
      <c r="G18" s="89">
        <v>6195</v>
      </c>
      <c r="H18" s="89">
        <v>6583</v>
      </c>
      <c r="I18" s="89">
        <v>7396</v>
      </c>
      <c r="J18" s="89">
        <v>8059</v>
      </c>
      <c r="K18" s="89">
        <v>8669</v>
      </c>
      <c r="L18" s="89">
        <v>8335</v>
      </c>
      <c r="M18" s="89">
        <v>9164</v>
      </c>
      <c r="N18" s="89">
        <v>9576</v>
      </c>
      <c r="O18" s="89">
        <v>10615</v>
      </c>
      <c r="P18" s="89">
        <v>13240</v>
      </c>
      <c r="Q18" s="89">
        <v>12037</v>
      </c>
    </row>
    <row r="19" spans="1:17" ht="15.75" x14ac:dyDescent="0.25">
      <c r="A19" s="84" t="s">
        <v>18</v>
      </c>
      <c r="B19" s="89">
        <v>66289</v>
      </c>
      <c r="C19" s="89">
        <v>82527</v>
      </c>
      <c r="D19" s="89">
        <v>95597</v>
      </c>
      <c r="E19" s="89">
        <v>112044</v>
      </c>
      <c r="F19" s="89">
        <v>117688</v>
      </c>
      <c r="G19" s="89">
        <v>120010</v>
      </c>
      <c r="H19" s="89">
        <v>135180</v>
      </c>
      <c r="I19" s="89">
        <v>145426</v>
      </c>
      <c r="J19" s="89">
        <v>165049</v>
      </c>
      <c r="K19" s="89">
        <v>174126</v>
      </c>
      <c r="L19" s="89">
        <v>175231</v>
      </c>
      <c r="M19" s="89">
        <v>160879</v>
      </c>
      <c r="N19" s="89">
        <v>164595</v>
      </c>
      <c r="O19" s="89">
        <v>182610</v>
      </c>
      <c r="P19" s="89">
        <v>202025</v>
      </c>
      <c r="Q19" s="89">
        <v>256364</v>
      </c>
    </row>
    <row r="20" spans="1:17" ht="15.75" x14ac:dyDescent="0.25">
      <c r="A20" s="84" t="s">
        <v>19</v>
      </c>
      <c r="B20" s="89">
        <v>1115</v>
      </c>
      <c r="C20" s="89">
        <v>1369</v>
      </c>
      <c r="D20" s="89">
        <v>1643</v>
      </c>
      <c r="E20" s="89">
        <v>1888</v>
      </c>
      <c r="F20" s="89">
        <v>1896</v>
      </c>
      <c r="G20" s="89">
        <v>2071</v>
      </c>
      <c r="H20" s="89">
        <v>2454</v>
      </c>
      <c r="I20" s="89">
        <v>2837</v>
      </c>
      <c r="J20" s="89">
        <v>3106</v>
      </c>
      <c r="K20" s="89">
        <v>3603</v>
      </c>
      <c r="L20" s="89">
        <v>4111</v>
      </c>
      <c r="M20" s="89">
        <v>4552</v>
      </c>
      <c r="N20" s="89">
        <v>4783</v>
      </c>
      <c r="O20" s="89">
        <v>4969</v>
      </c>
      <c r="P20" s="89">
        <v>5485</v>
      </c>
      <c r="Q20" s="89">
        <v>5752</v>
      </c>
    </row>
    <row r="21" spans="1:17" ht="15.75" x14ac:dyDescent="0.25">
      <c r="A21" s="84" t="s">
        <v>20</v>
      </c>
      <c r="B21" s="89">
        <v>2007</v>
      </c>
      <c r="C21" s="89">
        <v>2684</v>
      </c>
      <c r="D21" s="89">
        <v>3186</v>
      </c>
      <c r="E21" s="89">
        <v>3839</v>
      </c>
      <c r="F21" s="89">
        <v>4475</v>
      </c>
      <c r="G21" s="89">
        <v>4990</v>
      </c>
      <c r="H21" s="89">
        <v>6292</v>
      </c>
      <c r="I21" s="89">
        <v>6860</v>
      </c>
      <c r="J21" s="89">
        <v>7477</v>
      </c>
      <c r="K21" s="89">
        <v>7895</v>
      </c>
      <c r="L21" s="89">
        <v>7995</v>
      </c>
      <c r="M21" s="89">
        <v>7885</v>
      </c>
      <c r="N21" s="89">
        <v>8130</v>
      </c>
      <c r="O21" s="89">
        <v>8449</v>
      </c>
      <c r="P21" s="89">
        <v>9228</v>
      </c>
      <c r="Q21" s="89">
        <v>9455</v>
      </c>
    </row>
    <row r="22" spans="1:17" ht="15.75" x14ac:dyDescent="0.25">
      <c r="A22" s="84" t="s">
        <v>21</v>
      </c>
      <c r="B22" s="89">
        <v>2303</v>
      </c>
      <c r="C22" s="89">
        <v>2671</v>
      </c>
      <c r="D22" s="89">
        <v>3674</v>
      </c>
      <c r="E22" s="89">
        <v>4968</v>
      </c>
      <c r="F22" s="89">
        <v>5200</v>
      </c>
      <c r="G22" s="89">
        <v>5546</v>
      </c>
      <c r="H22" s="89">
        <v>7174</v>
      </c>
      <c r="I22" s="89">
        <v>8425</v>
      </c>
      <c r="J22" s="89">
        <v>9323</v>
      </c>
      <c r="K22" s="89">
        <v>10692</v>
      </c>
      <c r="L22" s="89">
        <v>12031</v>
      </c>
      <c r="M22" s="89">
        <v>13010</v>
      </c>
      <c r="N22" s="89">
        <v>14456</v>
      </c>
      <c r="O22" s="89">
        <v>15451</v>
      </c>
      <c r="P22" s="89">
        <v>16250</v>
      </c>
      <c r="Q22" s="89">
        <v>13622</v>
      </c>
    </row>
    <row r="23" spans="1:17" ht="15.75" x14ac:dyDescent="0.25">
      <c r="A23" s="84" t="s">
        <v>22</v>
      </c>
      <c r="B23" s="89">
        <v>1943</v>
      </c>
      <c r="C23" s="89">
        <v>2113</v>
      </c>
      <c r="D23" s="89">
        <v>3504</v>
      </c>
      <c r="E23" s="89">
        <v>4339</v>
      </c>
      <c r="F23" s="89">
        <v>3385</v>
      </c>
      <c r="G23" s="89">
        <v>3702</v>
      </c>
      <c r="H23" s="89">
        <v>4185</v>
      </c>
      <c r="I23" s="89">
        <v>4588</v>
      </c>
      <c r="J23" s="89">
        <v>5039</v>
      </c>
      <c r="K23" s="89">
        <v>5615</v>
      </c>
      <c r="L23" s="89">
        <v>6513</v>
      </c>
      <c r="M23" s="89">
        <v>6719</v>
      </c>
      <c r="N23" s="89">
        <v>7221</v>
      </c>
      <c r="O23" s="89">
        <v>8089</v>
      </c>
      <c r="P23" s="89">
        <v>9095</v>
      </c>
      <c r="Q23" s="89">
        <v>7863</v>
      </c>
    </row>
    <row r="24" spans="1:17" ht="15.75" x14ac:dyDescent="0.25">
      <c r="A24" s="84" t="s">
        <v>23</v>
      </c>
      <c r="B24" s="89">
        <v>1442</v>
      </c>
      <c r="C24" s="89">
        <v>1889</v>
      </c>
      <c r="D24" s="89">
        <v>3367</v>
      </c>
      <c r="E24" s="89">
        <v>3908</v>
      </c>
      <c r="F24" s="89">
        <v>3885</v>
      </c>
      <c r="G24" s="89">
        <v>4206</v>
      </c>
      <c r="H24" s="89">
        <v>4773</v>
      </c>
      <c r="I24" s="89">
        <v>5139</v>
      </c>
      <c r="J24" s="89">
        <v>6136</v>
      </c>
      <c r="K24" s="89">
        <v>8535</v>
      </c>
      <c r="L24" s="89">
        <v>9692</v>
      </c>
      <c r="M24" s="89">
        <v>10295</v>
      </c>
      <c r="N24" s="89">
        <v>11701</v>
      </c>
      <c r="O24" s="89">
        <v>13043</v>
      </c>
      <c r="P24" s="89">
        <v>13725</v>
      </c>
      <c r="Q24" s="89">
        <v>11330</v>
      </c>
    </row>
    <row r="25" spans="1:17" ht="15.75" x14ac:dyDescent="0.25">
      <c r="A25" s="84" t="s">
        <v>24</v>
      </c>
      <c r="B25" s="89">
        <v>3522</v>
      </c>
      <c r="C25" s="89">
        <v>4622</v>
      </c>
      <c r="D25" s="89">
        <v>5948</v>
      </c>
      <c r="E25" s="89">
        <v>7042</v>
      </c>
      <c r="F25" s="89">
        <v>7524</v>
      </c>
      <c r="G25" s="89">
        <v>8384</v>
      </c>
      <c r="H25" s="89">
        <v>9485</v>
      </c>
      <c r="I25" s="89">
        <v>10729</v>
      </c>
      <c r="J25" s="89">
        <v>11005</v>
      </c>
      <c r="K25" s="89">
        <v>11508</v>
      </c>
      <c r="L25" s="89">
        <v>12596</v>
      </c>
      <c r="M25" s="89">
        <v>14834</v>
      </c>
      <c r="N25" s="89">
        <v>15462</v>
      </c>
      <c r="O25" s="89">
        <v>16785</v>
      </c>
      <c r="P25" s="89">
        <v>18850</v>
      </c>
      <c r="Q25" s="89">
        <v>14497</v>
      </c>
    </row>
    <row r="26" spans="1:17" ht="15.75" x14ac:dyDescent="0.25">
      <c r="A26" s="84" t="s">
        <v>25</v>
      </c>
      <c r="B26" s="89">
        <v>2555</v>
      </c>
      <c r="C26" s="89">
        <v>3088</v>
      </c>
      <c r="D26" s="89">
        <v>3631</v>
      </c>
      <c r="E26" s="89">
        <v>4683</v>
      </c>
      <c r="F26" s="89">
        <v>5126</v>
      </c>
      <c r="G26" s="89">
        <v>5922</v>
      </c>
      <c r="H26" s="89">
        <v>6585</v>
      </c>
      <c r="I26" s="89">
        <v>7389</v>
      </c>
      <c r="J26" s="89">
        <v>8258</v>
      </c>
      <c r="K26" s="89">
        <v>8993</v>
      </c>
      <c r="L26" s="89">
        <v>13492</v>
      </c>
      <c r="M26" s="89">
        <v>13503</v>
      </c>
      <c r="N26" s="89">
        <v>13757</v>
      </c>
      <c r="O26" s="89">
        <v>14113</v>
      </c>
      <c r="P26" s="89">
        <v>14488</v>
      </c>
      <c r="Q26" s="89">
        <v>12349</v>
      </c>
    </row>
    <row r="27" spans="1:17" ht="15.75" x14ac:dyDescent="0.25">
      <c r="A27" s="84" t="s">
        <v>26</v>
      </c>
      <c r="B27" s="89">
        <v>949</v>
      </c>
      <c r="C27" s="89">
        <v>1057</v>
      </c>
      <c r="D27" s="89">
        <v>1775</v>
      </c>
      <c r="E27" s="89">
        <v>2542</v>
      </c>
      <c r="F27" s="89">
        <v>3208</v>
      </c>
      <c r="G27" s="89">
        <v>3198</v>
      </c>
      <c r="H27" s="89">
        <v>3552</v>
      </c>
      <c r="I27" s="89">
        <v>3807</v>
      </c>
      <c r="J27" s="89">
        <v>4141</v>
      </c>
      <c r="K27" s="89">
        <v>4507</v>
      </c>
      <c r="L27" s="89">
        <v>4941</v>
      </c>
      <c r="M27" s="89">
        <v>4856</v>
      </c>
      <c r="N27" s="89">
        <v>4805</v>
      </c>
      <c r="O27" s="89">
        <v>4911</v>
      </c>
      <c r="P27" s="89">
        <v>5107</v>
      </c>
      <c r="Q27" s="89">
        <v>4669</v>
      </c>
    </row>
    <row r="28" spans="1:17" ht="15.75" x14ac:dyDescent="0.25">
      <c r="A28" s="84" t="s">
        <v>27</v>
      </c>
      <c r="B28" s="89">
        <v>1116</v>
      </c>
      <c r="C28" s="89">
        <v>1320</v>
      </c>
      <c r="D28" s="89">
        <v>2040</v>
      </c>
      <c r="E28" s="89">
        <v>2768</v>
      </c>
      <c r="F28" s="89">
        <v>2395</v>
      </c>
      <c r="G28" s="89">
        <v>2515</v>
      </c>
      <c r="H28" s="89">
        <v>2735</v>
      </c>
      <c r="I28" s="89">
        <v>3427</v>
      </c>
      <c r="J28" s="89">
        <v>3883</v>
      </c>
      <c r="K28" s="89">
        <v>3912</v>
      </c>
      <c r="L28" s="89">
        <v>4181</v>
      </c>
      <c r="M28" s="89">
        <v>4767</v>
      </c>
      <c r="N28" s="89">
        <v>4836</v>
      </c>
      <c r="O28" s="89">
        <v>5242</v>
      </c>
      <c r="P28" s="89">
        <v>5945</v>
      </c>
      <c r="Q28" s="89">
        <v>5693</v>
      </c>
    </row>
    <row r="29" spans="1:17" ht="15.75" x14ac:dyDescent="0.25">
      <c r="A29" s="84" t="s">
        <v>28</v>
      </c>
      <c r="B29" s="89">
        <v>15868</v>
      </c>
      <c r="C29" s="89">
        <v>20431</v>
      </c>
      <c r="D29" s="89">
        <v>31476</v>
      </c>
      <c r="E29" s="89">
        <v>41542</v>
      </c>
      <c r="F29" s="89">
        <v>39463</v>
      </c>
      <c r="G29" s="89">
        <v>45922</v>
      </c>
      <c r="H29" s="89">
        <v>50650</v>
      </c>
      <c r="I29" s="89">
        <v>55802</v>
      </c>
      <c r="J29" s="89">
        <v>53566</v>
      </c>
      <c r="K29" s="89">
        <v>53598</v>
      </c>
      <c r="L29" s="89">
        <v>57177</v>
      </c>
      <c r="M29" s="89">
        <v>67703</v>
      </c>
      <c r="N29" s="89">
        <v>72406</v>
      </c>
      <c r="O29" s="89">
        <v>78198</v>
      </c>
      <c r="P29" s="89">
        <v>92564</v>
      </c>
      <c r="Q29" s="89">
        <v>67236</v>
      </c>
    </row>
    <row r="30" spans="1:17" ht="15.75" x14ac:dyDescent="0.25">
      <c r="A30" s="84" t="s">
        <v>29</v>
      </c>
      <c r="B30" s="84">
        <v>96</v>
      </c>
      <c r="C30" s="84">
        <v>218</v>
      </c>
      <c r="D30" s="89">
        <v>426</v>
      </c>
      <c r="E30" s="89">
        <v>778</v>
      </c>
      <c r="F30" s="89">
        <v>955</v>
      </c>
      <c r="G30" s="89">
        <v>1131</v>
      </c>
      <c r="H30" s="89">
        <v>1284</v>
      </c>
      <c r="I30" s="89">
        <v>1395</v>
      </c>
      <c r="J30" s="89">
        <v>1604</v>
      </c>
      <c r="K30" s="89">
        <v>1953</v>
      </c>
      <c r="L30" s="89">
        <v>2210</v>
      </c>
      <c r="M30" s="89">
        <v>2213</v>
      </c>
      <c r="N30" s="89">
        <v>3085</v>
      </c>
      <c r="O30" s="89">
        <v>3223</v>
      </c>
      <c r="P30" s="89">
        <v>3897</v>
      </c>
      <c r="Q30" s="89">
        <v>2882</v>
      </c>
    </row>
    <row r="31" spans="1:17" ht="15.75" x14ac:dyDescent="0.25">
      <c r="A31" s="84" t="s">
        <v>30</v>
      </c>
      <c r="B31" s="84">
        <v>50</v>
      </c>
      <c r="C31" s="84">
        <v>67</v>
      </c>
      <c r="D31" s="89">
        <v>236</v>
      </c>
      <c r="E31" s="89">
        <v>348</v>
      </c>
      <c r="F31" s="89">
        <v>389</v>
      </c>
      <c r="G31" s="89">
        <v>426</v>
      </c>
      <c r="H31" s="89">
        <v>447</v>
      </c>
      <c r="I31" s="89">
        <v>478</v>
      </c>
      <c r="J31" s="89">
        <v>537</v>
      </c>
      <c r="K31" s="89">
        <v>502</v>
      </c>
      <c r="L31" s="89">
        <v>499</v>
      </c>
      <c r="M31" s="89">
        <v>508</v>
      </c>
      <c r="N31" s="89">
        <v>569</v>
      </c>
      <c r="O31" s="89">
        <v>600</v>
      </c>
      <c r="P31" s="89">
        <v>677</v>
      </c>
      <c r="Q31" s="89">
        <v>542</v>
      </c>
    </row>
    <row r="32" spans="1:17" ht="15.75" x14ac:dyDescent="0.25">
      <c r="A32" s="84" t="s">
        <v>31</v>
      </c>
      <c r="B32" s="114"/>
      <c r="C32" s="114"/>
      <c r="D32" s="114"/>
      <c r="E32" s="114"/>
      <c r="F32" s="114"/>
      <c r="G32" s="114"/>
      <c r="H32" s="112"/>
      <c r="I32" s="112"/>
      <c r="J32" s="112"/>
      <c r="K32" s="89">
        <v>5012</v>
      </c>
      <c r="L32" s="89">
        <v>6061</v>
      </c>
      <c r="M32" s="89">
        <v>9784</v>
      </c>
      <c r="N32" s="89">
        <v>10349</v>
      </c>
      <c r="O32" s="89">
        <v>11989</v>
      </c>
      <c r="P32" s="89">
        <v>12543</v>
      </c>
      <c r="Q32" s="89">
        <v>12901</v>
      </c>
    </row>
    <row r="33" spans="1:17" ht="15.75" x14ac:dyDescent="0.25">
      <c r="A33" s="84" t="s">
        <v>32</v>
      </c>
      <c r="B33" s="84">
        <v>9704</v>
      </c>
      <c r="C33" s="84">
        <v>13728</v>
      </c>
      <c r="D33" s="89">
        <v>21013</v>
      </c>
      <c r="E33" s="89">
        <v>27319</v>
      </c>
      <c r="F33" s="89">
        <v>30740</v>
      </c>
      <c r="G33" s="89">
        <v>35480</v>
      </c>
      <c r="H33" s="89">
        <v>41927</v>
      </c>
      <c r="I33" s="89">
        <v>48217</v>
      </c>
      <c r="J33" s="89">
        <v>51699</v>
      </c>
      <c r="K33" s="89">
        <v>61096</v>
      </c>
      <c r="L33" s="89">
        <v>65622</v>
      </c>
      <c r="M33" s="89">
        <v>70283</v>
      </c>
      <c r="N33" s="89">
        <v>73148</v>
      </c>
      <c r="O33" s="89">
        <v>76690</v>
      </c>
      <c r="P33" s="89">
        <v>81280</v>
      </c>
      <c r="Q33" s="89">
        <v>75394</v>
      </c>
    </row>
    <row r="34" spans="1:17" ht="15.75" x14ac:dyDescent="0.25">
      <c r="A34" s="84" t="s">
        <v>33</v>
      </c>
      <c r="B34" s="89">
        <v>1277</v>
      </c>
      <c r="C34" s="89">
        <v>1778</v>
      </c>
      <c r="D34" s="89">
        <v>2690</v>
      </c>
      <c r="E34" s="89">
        <v>3439</v>
      </c>
      <c r="F34" s="89">
        <v>3628</v>
      </c>
      <c r="G34" s="89">
        <v>4312</v>
      </c>
      <c r="H34" s="89">
        <v>5380</v>
      </c>
      <c r="I34" s="89">
        <v>6271</v>
      </c>
      <c r="J34" s="89">
        <v>6686</v>
      </c>
      <c r="K34" s="89">
        <v>7741</v>
      </c>
      <c r="L34" s="89">
        <v>8144</v>
      </c>
      <c r="M34" s="89">
        <v>8305</v>
      </c>
      <c r="N34" s="89">
        <v>8974</v>
      </c>
      <c r="O34" s="89">
        <v>9587</v>
      </c>
      <c r="P34" s="89">
        <v>10200</v>
      </c>
      <c r="Q34" s="89">
        <v>8299</v>
      </c>
    </row>
    <row r="35" spans="1:17" ht="15.75" x14ac:dyDescent="0.25">
      <c r="A35" s="84" t="s">
        <v>34</v>
      </c>
      <c r="B35" s="89">
        <v>2390</v>
      </c>
      <c r="C35" s="89">
        <v>2741</v>
      </c>
      <c r="D35" s="89">
        <v>4157</v>
      </c>
      <c r="E35" s="89">
        <v>6050</v>
      </c>
      <c r="F35" s="89">
        <v>6626</v>
      </c>
      <c r="G35" s="89">
        <v>7265</v>
      </c>
      <c r="H35" s="89">
        <v>7215</v>
      </c>
      <c r="I35" s="89">
        <v>7851</v>
      </c>
      <c r="J35" s="89">
        <v>8563</v>
      </c>
      <c r="K35" s="89">
        <v>9152</v>
      </c>
      <c r="L35" s="89">
        <v>10157</v>
      </c>
      <c r="M35" s="89">
        <v>11027</v>
      </c>
      <c r="N35" s="89">
        <v>12374</v>
      </c>
      <c r="O35" s="89">
        <v>13681</v>
      </c>
      <c r="P35" s="89">
        <v>15175</v>
      </c>
      <c r="Q35" s="89">
        <v>13366</v>
      </c>
    </row>
    <row r="36" spans="1:17" ht="15.75" x14ac:dyDescent="0.25">
      <c r="A36" s="84" t="s">
        <v>35</v>
      </c>
      <c r="B36" s="89">
        <v>6138</v>
      </c>
      <c r="C36" s="89">
        <v>7557</v>
      </c>
      <c r="D36" s="89">
        <v>11463</v>
      </c>
      <c r="E36" s="89">
        <v>16763</v>
      </c>
      <c r="F36" s="89">
        <v>18032</v>
      </c>
      <c r="G36" s="89">
        <v>20561</v>
      </c>
      <c r="H36" s="89">
        <v>23214</v>
      </c>
      <c r="I36" s="89">
        <v>26926</v>
      </c>
      <c r="J36" s="89">
        <v>29390</v>
      </c>
      <c r="K36" s="89">
        <v>32931</v>
      </c>
      <c r="L36" s="89">
        <v>34356</v>
      </c>
      <c r="M36" s="89">
        <v>34598</v>
      </c>
      <c r="N36" s="89">
        <v>37411</v>
      </c>
      <c r="O36" s="89">
        <v>39649</v>
      </c>
      <c r="P36" s="89">
        <v>42166</v>
      </c>
      <c r="Q36" s="89">
        <v>36626</v>
      </c>
    </row>
    <row r="37" spans="1:17" ht="15.75" x14ac:dyDescent="0.25">
      <c r="A37" s="84" t="s">
        <v>36</v>
      </c>
      <c r="B37" s="114"/>
      <c r="C37" s="114"/>
      <c r="D37" s="114"/>
      <c r="E37" s="114"/>
      <c r="F37" s="114"/>
      <c r="G37" s="114"/>
      <c r="H37" s="112"/>
      <c r="I37" s="112"/>
      <c r="J37" s="112"/>
      <c r="K37" s="89">
        <v>1749</v>
      </c>
      <c r="L37" s="89">
        <v>3480</v>
      </c>
      <c r="M37" s="89">
        <v>5060</v>
      </c>
      <c r="N37" s="89">
        <v>5535</v>
      </c>
      <c r="O37" s="89">
        <v>5717</v>
      </c>
      <c r="P37" s="89">
        <v>5957</v>
      </c>
      <c r="Q37" s="89">
        <v>5828</v>
      </c>
    </row>
    <row r="38" spans="1:17" ht="15.75" x14ac:dyDescent="0.25">
      <c r="A38" s="84" t="s">
        <v>37</v>
      </c>
      <c r="B38" s="89">
        <v>4924</v>
      </c>
      <c r="C38" s="89">
        <v>7956</v>
      </c>
      <c r="D38" s="89">
        <v>12456</v>
      </c>
      <c r="E38" s="89">
        <v>23590</v>
      </c>
      <c r="F38" s="89">
        <v>25861</v>
      </c>
      <c r="G38" s="89">
        <v>29200</v>
      </c>
      <c r="H38" s="89">
        <v>40987</v>
      </c>
      <c r="I38" s="89">
        <v>55531</v>
      </c>
      <c r="J38" s="89">
        <v>62749</v>
      </c>
      <c r="K38" s="89">
        <v>68535</v>
      </c>
      <c r="L38" s="89">
        <v>76340</v>
      </c>
      <c r="M38" s="89">
        <v>79416</v>
      </c>
      <c r="N38" s="89">
        <v>86343</v>
      </c>
      <c r="O38" s="89">
        <v>76920</v>
      </c>
      <c r="P38" s="89">
        <v>79869</v>
      </c>
      <c r="Q38" s="89">
        <v>54831</v>
      </c>
    </row>
    <row r="39" spans="1:17" ht="15.75" x14ac:dyDescent="0.25">
      <c r="A39" s="84" t="s">
        <v>38</v>
      </c>
      <c r="B39" s="114"/>
      <c r="C39" s="114"/>
      <c r="D39" s="114"/>
      <c r="E39" s="114"/>
      <c r="F39" s="114"/>
      <c r="G39" s="114"/>
      <c r="H39" s="89">
        <v>102</v>
      </c>
      <c r="I39" s="89">
        <v>133</v>
      </c>
      <c r="J39" s="89">
        <v>134</v>
      </c>
      <c r="K39" s="89">
        <v>138</v>
      </c>
      <c r="L39" s="89">
        <v>338</v>
      </c>
      <c r="M39" s="89">
        <v>354</v>
      </c>
      <c r="N39" s="89">
        <v>361</v>
      </c>
      <c r="O39" s="89">
        <v>461</v>
      </c>
      <c r="P39" s="89">
        <v>449</v>
      </c>
      <c r="Q39" s="89">
        <v>462</v>
      </c>
    </row>
    <row r="40" spans="1:17" ht="15.75" x14ac:dyDescent="0.25">
      <c r="A40" s="84" t="s">
        <v>42</v>
      </c>
      <c r="B40" s="89">
        <v>238</v>
      </c>
      <c r="C40" s="89">
        <v>301</v>
      </c>
      <c r="D40" s="89">
        <v>857</v>
      </c>
      <c r="E40" s="89">
        <v>1231</v>
      </c>
      <c r="F40" s="89">
        <v>1502</v>
      </c>
      <c r="G40" s="89">
        <v>1894</v>
      </c>
      <c r="H40" s="89">
        <v>2285</v>
      </c>
      <c r="I40" s="89">
        <v>2420</v>
      </c>
      <c r="J40" s="89">
        <v>2558</v>
      </c>
      <c r="K40" s="89">
        <v>3332</v>
      </c>
      <c r="L40" s="89">
        <v>3964</v>
      </c>
      <c r="M40" s="89">
        <v>4309</v>
      </c>
      <c r="N40" s="89">
        <v>4749</v>
      </c>
      <c r="O40" s="89">
        <v>5202</v>
      </c>
      <c r="P40" s="89">
        <v>5474</v>
      </c>
      <c r="Q40" s="89">
        <v>4934</v>
      </c>
    </row>
    <row r="41" spans="1:17" ht="15.75" x14ac:dyDescent="0.25">
      <c r="A41" s="84" t="s">
        <v>39</v>
      </c>
      <c r="B41" s="89">
        <v>148</v>
      </c>
      <c r="C41" s="89">
        <v>174</v>
      </c>
      <c r="D41" s="89">
        <v>428</v>
      </c>
      <c r="E41" s="89">
        <v>601</v>
      </c>
      <c r="F41" s="89">
        <v>616</v>
      </c>
      <c r="G41" s="89">
        <v>638</v>
      </c>
      <c r="H41" s="89">
        <v>682</v>
      </c>
      <c r="I41" s="89">
        <v>753</v>
      </c>
      <c r="J41" s="89">
        <v>669</v>
      </c>
      <c r="K41" s="89">
        <v>822</v>
      </c>
      <c r="L41" s="89">
        <v>807</v>
      </c>
      <c r="M41" s="89">
        <v>839</v>
      </c>
      <c r="N41" s="89">
        <v>889</v>
      </c>
      <c r="O41" s="89">
        <v>929</v>
      </c>
      <c r="P41" s="89">
        <v>990</v>
      </c>
      <c r="Q41" s="89">
        <v>931</v>
      </c>
    </row>
    <row r="42" spans="1:17" ht="15.75" x14ac:dyDescent="0.25">
      <c r="A42" s="84" t="s">
        <v>43</v>
      </c>
      <c r="B42" s="89">
        <v>298</v>
      </c>
      <c r="C42" s="89">
        <v>399</v>
      </c>
      <c r="D42" s="89">
        <v>532</v>
      </c>
      <c r="E42" s="89">
        <v>787</v>
      </c>
      <c r="F42" s="89">
        <v>952</v>
      </c>
      <c r="G42" s="89">
        <v>1497</v>
      </c>
      <c r="H42" s="89">
        <v>2131</v>
      </c>
      <c r="I42" s="89">
        <v>2618</v>
      </c>
      <c r="J42" s="89">
        <v>3001</v>
      </c>
      <c r="K42" s="89">
        <v>3327</v>
      </c>
      <c r="L42" s="89">
        <v>3360</v>
      </c>
      <c r="M42" s="89">
        <v>4477</v>
      </c>
      <c r="N42" s="89">
        <v>4667</v>
      </c>
      <c r="O42" s="89">
        <v>4453</v>
      </c>
      <c r="P42" s="89">
        <v>4734</v>
      </c>
      <c r="Q42" s="89">
        <v>3641</v>
      </c>
    </row>
    <row r="43" spans="1:17" ht="15.75" x14ac:dyDescent="0.25">
      <c r="A43" s="84" t="s">
        <v>40</v>
      </c>
      <c r="B43" s="114"/>
      <c r="C43" s="114"/>
      <c r="D43" s="114"/>
      <c r="E43" s="114"/>
      <c r="F43" s="114"/>
      <c r="G43" s="114"/>
      <c r="H43" s="89">
        <v>3266</v>
      </c>
      <c r="I43" s="89">
        <v>3799</v>
      </c>
      <c r="J43" s="89">
        <v>6669</v>
      </c>
      <c r="K43" s="89">
        <v>10550</v>
      </c>
      <c r="L43" s="89">
        <v>12180</v>
      </c>
      <c r="M43" s="89">
        <v>10528</v>
      </c>
      <c r="N43" s="89">
        <v>11772</v>
      </c>
      <c r="O43" s="89">
        <v>12894</v>
      </c>
      <c r="P43" s="89">
        <v>13927</v>
      </c>
      <c r="Q43" s="89">
        <v>12612</v>
      </c>
    </row>
    <row r="44" spans="1:17" ht="15.75" x14ac:dyDescent="0.25">
      <c r="A44" s="84" t="s">
        <v>41</v>
      </c>
      <c r="B44" s="89">
        <v>4598</v>
      </c>
      <c r="C44" s="89">
        <v>6094</v>
      </c>
      <c r="D44" s="89">
        <v>8147</v>
      </c>
      <c r="E44" s="89">
        <v>11884</v>
      </c>
      <c r="F44" s="89">
        <v>13432</v>
      </c>
      <c r="G44" s="89">
        <v>16404</v>
      </c>
      <c r="H44" s="89">
        <v>19555</v>
      </c>
      <c r="I44" s="89">
        <v>25309</v>
      </c>
      <c r="J44" s="89">
        <v>27355</v>
      </c>
      <c r="K44" s="89">
        <v>28643</v>
      </c>
      <c r="L44" s="89">
        <v>31188</v>
      </c>
      <c r="M44" s="89">
        <v>32636</v>
      </c>
      <c r="N44" s="89">
        <v>34916</v>
      </c>
      <c r="O44" s="89">
        <v>36569</v>
      </c>
      <c r="P44" s="89">
        <v>38598</v>
      </c>
      <c r="Q44" s="89">
        <v>28466</v>
      </c>
    </row>
    <row r="45" spans="1:17" ht="15.75" x14ac:dyDescent="0.25">
      <c r="A45" s="84" t="s">
        <v>44</v>
      </c>
      <c r="B45" s="89">
        <v>9038</v>
      </c>
      <c r="C45" s="89">
        <v>12242</v>
      </c>
      <c r="D45" s="89">
        <v>15822</v>
      </c>
      <c r="E45" s="89">
        <v>19187</v>
      </c>
      <c r="F45" s="89">
        <v>18411</v>
      </c>
      <c r="G45" s="89">
        <v>21254</v>
      </c>
      <c r="H45" s="89">
        <v>26130</v>
      </c>
      <c r="I45" s="89">
        <v>27759</v>
      </c>
      <c r="J45" s="89">
        <v>28931</v>
      </c>
      <c r="K45" s="89">
        <v>31140</v>
      </c>
      <c r="L45" s="89">
        <v>30127</v>
      </c>
      <c r="M45" s="89">
        <v>27855</v>
      </c>
      <c r="N45" s="89">
        <v>28744</v>
      </c>
      <c r="O45" s="89">
        <v>29783</v>
      </c>
      <c r="P45" s="89">
        <v>30774</v>
      </c>
      <c r="Q45" s="89">
        <v>23731</v>
      </c>
    </row>
    <row r="46" spans="1:17" ht="15.75" x14ac:dyDescent="0.25">
      <c r="A46" s="84" t="s">
        <v>45</v>
      </c>
      <c r="B46" s="89">
        <v>973</v>
      </c>
      <c r="C46" s="89">
        <v>1197</v>
      </c>
      <c r="D46" s="89">
        <v>1851</v>
      </c>
      <c r="E46" s="89">
        <v>2258</v>
      </c>
      <c r="F46" s="89">
        <v>2406</v>
      </c>
      <c r="G46" s="89">
        <v>2541</v>
      </c>
      <c r="H46" s="89">
        <v>3132</v>
      </c>
      <c r="I46" s="89">
        <v>3411</v>
      </c>
      <c r="J46" s="89">
        <v>3780</v>
      </c>
      <c r="K46" s="89">
        <v>4061</v>
      </c>
      <c r="L46" s="89">
        <v>4236</v>
      </c>
      <c r="M46" s="89">
        <v>4527</v>
      </c>
      <c r="N46" s="89">
        <v>4759</v>
      </c>
      <c r="O46" s="89">
        <v>5058</v>
      </c>
      <c r="P46" s="89">
        <v>5719</v>
      </c>
      <c r="Q46" s="89">
        <v>4293</v>
      </c>
    </row>
    <row r="47" spans="1:17" ht="15.75" x14ac:dyDescent="0.25">
      <c r="A47" s="84" t="s">
        <v>46</v>
      </c>
      <c r="B47" s="89">
        <v>666</v>
      </c>
      <c r="C47" s="89">
        <v>805</v>
      </c>
      <c r="D47" s="89">
        <v>1037</v>
      </c>
      <c r="E47" s="89">
        <v>1452</v>
      </c>
      <c r="F47" s="89">
        <v>1516</v>
      </c>
      <c r="G47" s="89">
        <v>1719</v>
      </c>
      <c r="H47" s="89">
        <v>1859</v>
      </c>
      <c r="I47" s="89">
        <v>2121</v>
      </c>
      <c r="J47" s="89">
        <v>2564</v>
      </c>
      <c r="K47" s="89">
        <v>2809</v>
      </c>
      <c r="L47" s="89">
        <v>3482</v>
      </c>
      <c r="M47" s="89">
        <v>3850</v>
      </c>
      <c r="N47" s="89">
        <v>4268</v>
      </c>
      <c r="O47" s="89">
        <v>5016</v>
      </c>
      <c r="P47" s="89">
        <v>5011</v>
      </c>
      <c r="Q47" s="89">
        <v>3861</v>
      </c>
    </row>
    <row r="48" spans="1:17" ht="15.75" x14ac:dyDescent="0.25">
      <c r="A48" s="84" t="s">
        <v>47</v>
      </c>
      <c r="B48" s="89">
        <v>10544</v>
      </c>
      <c r="C48" s="89">
        <v>12184</v>
      </c>
      <c r="D48" s="89">
        <v>15846</v>
      </c>
      <c r="E48" s="89">
        <v>20460</v>
      </c>
      <c r="F48" s="89">
        <v>19193</v>
      </c>
      <c r="G48" s="89">
        <v>21800</v>
      </c>
      <c r="H48" s="89">
        <v>24307</v>
      </c>
      <c r="I48" s="89">
        <v>26768</v>
      </c>
      <c r="J48" s="89">
        <v>31706</v>
      </c>
      <c r="K48" s="89">
        <v>34185</v>
      </c>
      <c r="L48" s="89">
        <v>36251</v>
      </c>
      <c r="M48" s="89">
        <v>37741</v>
      </c>
      <c r="N48" s="89">
        <v>39997</v>
      </c>
      <c r="O48" s="89">
        <v>44067</v>
      </c>
      <c r="P48" s="89">
        <v>47651</v>
      </c>
      <c r="Q48" s="89">
        <v>37433</v>
      </c>
    </row>
    <row r="49" spans="1:17" ht="15.75" x14ac:dyDescent="0.25">
      <c r="A49" s="84" t="s">
        <v>48</v>
      </c>
      <c r="B49" s="89">
        <v>2482</v>
      </c>
      <c r="C49" s="89">
        <v>3101</v>
      </c>
      <c r="D49" s="89">
        <v>4524</v>
      </c>
      <c r="E49" s="89">
        <v>5912</v>
      </c>
      <c r="F49" s="89">
        <v>6322</v>
      </c>
      <c r="G49" s="89">
        <v>7098</v>
      </c>
      <c r="H49" s="89">
        <v>8871</v>
      </c>
      <c r="I49" s="89">
        <v>9955</v>
      </c>
      <c r="J49" s="89">
        <v>11725</v>
      </c>
      <c r="K49" s="89">
        <v>13204</v>
      </c>
      <c r="L49" s="89">
        <v>12883</v>
      </c>
      <c r="M49" s="89">
        <v>11956</v>
      </c>
      <c r="N49" s="89">
        <v>11847</v>
      </c>
      <c r="O49" s="89">
        <v>12586</v>
      </c>
      <c r="P49" s="89">
        <v>13238</v>
      </c>
      <c r="Q49" s="89">
        <v>10758</v>
      </c>
    </row>
    <row r="50" spans="1:17" ht="15.75" x14ac:dyDescent="0.25">
      <c r="A50" s="84" t="s">
        <v>49</v>
      </c>
      <c r="B50" s="89">
        <v>1562</v>
      </c>
      <c r="C50" s="89">
        <v>1749</v>
      </c>
      <c r="D50" s="89">
        <v>2673</v>
      </c>
      <c r="E50" s="89">
        <v>3741</v>
      </c>
      <c r="F50" s="89">
        <v>4000</v>
      </c>
      <c r="G50" s="89">
        <v>4334</v>
      </c>
      <c r="H50" s="89">
        <v>6719</v>
      </c>
      <c r="I50" s="89">
        <v>7094</v>
      </c>
      <c r="J50" s="89">
        <v>7907</v>
      </c>
      <c r="K50" s="89">
        <v>8512</v>
      </c>
      <c r="L50" s="89">
        <v>8631</v>
      </c>
      <c r="M50" s="89">
        <v>8955</v>
      </c>
      <c r="N50" s="89">
        <v>9452</v>
      </c>
      <c r="O50" s="89">
        <v>10120</v>
      </c>
      <c r="P50" s="89">
        <v>10892</v>
      </c>
      <c r="Q50" s="89">
        <v>8493</v>
      </c>
    </row>
    <row r="51" spans="1:17" ht="15.75" x14ac:dyDescent="0.25">
      <c r="A51" s="84" t="s">
        <v>50</v>
      </c>
      <c r="B51" s="89">
        <v>6903</v>
      </c>
      <c r="C51" s="89">
        <v>7292</v>
      </c>
      <c r="D51" s="89">
        <v>10945</v>
      </c>
      <c r="E51" s="89">
        <v>18401</v>
      </c>
      <c r="F51" s="89">
        <v>19273</v>
      </c>
      <c r="G51" s="89">
        <v>21001</v>
      </c>
      <c r="H51" s="89">
        <v>23922</v>
      </c>
      <c r="I51" s="89">
        <v>24230</v>
      </c>
      <c r="J51" s="89">
        <v>26082</v>
      </c>
      <c r="K51" s="89">
        <v>25119</v>
      </c>
      <c r="L51" s="89">
        <v>23850</v>
      </c>
      <c r="M51" s="89">
        <v>22530</v>
      </c>
      <c r="N51" s="89">
        <v>23624</v>
      </c>
      <c r="O51" s="89">
        <v>22759</v>
      </c>
      <c r="P51" s="89">
        <v>23964</v>
      </c>
      <c r="Q51" s="89">
        <v>17933</v>
      </c>
    </row>
    <row r="52" spans="1:17" ht="15.75" x14ac:dyDescent="0.25">
      <c r="A52" s="84" t="s">
        <v>51</v>
      </c>
      <c r="B52" s="89">
        <v>2378</v>
      </c>
      <c r="C52" s="89">
        <v>2773</v>
      </c>
      <c r="D52" s="89">
        <v>4675</v>
      </c>
      <c r="E52" s="89">
        <v>6627</v>
      </c>
      <c r="F52" s="89">
        <v>6662</v>
      </c>
      <c r="G52" s="89">
        <v>7332</v>
      </c>
      <c r="H52" s="89">
        <v>8201</v>
      </c>
      <c r="I52" s="89">
        <v>9076</v>
      </c>
      <c r="J52" s="89">
        <v>9979</v>
      </c>
      <c r="K52" s="89">
        <v>10879</v>
      </c>
      <c r="L52" s="89">
        <v>11408</v>
      </c>
      <c r="M52" s="89">
        <v>10597</v>
      </c>
      <c r="N52" s="89">
        <v>10862</v>
      </c>
      <c r="O52" s="89">
        <v>11315</v>
      </c>
      <c r="P52" s="89">
        <v>11667</v>
      </c>
      <c r="Q52" s="89">
        <v>9343</v>
      </c>
    </row>
    <row r="53" spans="1:17" ht="15.75" x14ac:dyDescent="0.25">
      <c r="A53" s="84" t="s">
        <v>52</v>
      </c>
      <c r="B53" s="89">
        <v>4025</v>
      </c>
      <c r="C53" s="89">
        <v>4776</v>
      </c>
      <c r="D53" s="89">
        <v>11096</v>
      </c>
      <c r="E53" s="89">
        <v>15248</v>
      </c>
      <c r="F53" s="89">
        <v>14216</v>
      </c>
      <c r="G53" s="89">
        <v>16406</v>
      </c>
      <c r="H53" s="89">
        <v>19794</v>
      </c>
      <c r="I53" s="89">
        <v>23402</v>
      </c>
      <c r="J53" s="89">
        <v>24193</v>
      </c>
      <c r="K53" s="89">
        <v>20666</v>
      </c>
      <c r="L53" s="89">
        <v>21555</v>
      </c>
      <c r="M53" s="89">
        <v>21503</v>
      </c>
      <c r="N53" s="89">
        <v>24761</v>
      </c>
      <c r="O53" s="89">
        <v>27413</v>
      </c>
      <c r="P53" s="89">
        <v>29563</v>
      </c>
      <c r="Q53" s="89">
        <v>21267</v>
      </c>
    </row>
    <row r="54" spans="1:17" ht="15.75" x14ac:dyDescent="0.25">
      <c r="A54" s="84" t="s">
        <v>53</v>
      </c>
      <c r="B54" s="89">
        <v>3397</v>
      </c>
      <c r="C54" s="89">
        <v>4068</v>
      </c>
      <c r="D54" s="89">
        <v>5228</v>
      </c>
      <c r="E54" s="89">
        <v>7287</v>
      </c>
      <c r="F54" s="89">
        <v>8813</v>
      </c>
      <c r="G54" s="89">
        <v>9465</v>
      </c>
      <c r="H54" s="89">
        <v>11346</v>
      </c>
      <c r="I54" s="89">
        <v>13539</v>
      </c>
      <c r="J54" s="89">
        <v>14937</v>
      </c>
      <c r="K54" s="89">
        <v>15866</v>
      </c>
      <c r="L54" s="89">
        <v>14778</v>
      </c>
      <c r="M54" s="89">
        <v>14747</v>
      </c>
      <c r="N54" s="89">
        <v>15401</v>
      </c>
      <c r="O54" s="89">
        <v>16274</v>
      </c>
      <c r="P54" s="89">
        <v>17025</v>
      </c>
      <c r="Q54" s="89">
        <v>12935</v>
      </c>
    </row>
    <row r="55" spans="1:17" ht="15.75" x14ac:dyDescent="0.25">
      <c r="A55" s="84" t="s">
        <v>54</v>
      </c>
      <c r="B55" s="89">
        <v>925</v>
      </c>
      <c r="C55" s="89">
        <v>1108</v>
      </c>
      <c r="D55" s="89">
        <v>2263</v>
      </c>
      <c r="E55" s="89">
        <v>3225</v>
      </c>
      <c r="F55" s="89">
        <v>4423</v>
      </c>
      <c r="G55" s="89">
        <v>5181</v>
      </c>
      <c r="H55" s="89">
        <v>6349</v>
      </c>
      <c r="I55" s="89">
        <v>6714</v>
      </c>
      <c r="J55" s="89">
        <v>7401</v>
      </c>
      <c r="K55" s="89">
        <v>8155</v>
      </c>
      <c r="L55" s="89">
        <v>9002</v>
      </c>
      <c r="M55" s="89">
        <v>9323</v>
      </c>
      <c r="N55" s="89">
        <v>9905</v>
      </c>
      <c r="O55" s="89">
        <v>10392</v>
      </c>
      <c r="P55" s="89">
        <v>10763</v>
      </c>
      <c r="Q55" s="89">
        <v>8961</v>
      </c>
    </row>
    <row r="56" spans="1:17" ht="15.75" x14ac:dyDescent="0.25">
      <c r="A56" s="84" t="s">
        <v>55</v>
      </c>
      <c r="B56" s="89">
        <v>9263</v>
      </c>
      <c r="C56" s="89">
        <v>10487</v>
      </c>
      <c r="D56" s="89">
        <v>15087</v>
      </c>
      <c r="E56" s="89">
        <v>17332</v>
      </c>
      <c r="F56" s="89">
        <v>16733</v>
      </c>
      <c r="G56" s="89">
        <v>19137</v>
      </c>
      <c r="H56" s="89">
        <v>20889</v>
      </c>
      <c r="I56" s="89">
        <v>21433</v>
      </c>
      <c r="J56" s="89">
        <v>24197</v>
      </c>
      <c r="K56" s="89">
        <v>26503</v>
      </c>
      <c r="L56" s="89">
        <v>25023</v>
      </c>
      <c r="M56" s="89">
        <v>24888</v>
      </c>
      <c r="N56" s="89">
        <v>24333</v>
      </c>
      <c r="O56" s="89">
        <v>26491</v>
      </c>
      <c r="P56" s="89">
        <v>28227</v>
      </c>
      <c r="Q56" s="89">
        <v>20482</v>
      </c>
    </row>
    <row r="57" spans="1:17" ht="15.75" x14ac:dyDescent="0.25">
      <c r="A57" s="84" t="s">
        <v>56</v>
      </c>
      <c r="B57" s="89">
        <v>1552</v>
      </c>
      <c r="C57" s="89">
        <v>2248</v>
      </c>
      <c r="D57" s="89">
        <v>3982</v>
      </c>
      <c r="E57" s="89">
        <v>6598</v>
      </c>
      <c r="F57" s="89">
        <v>7413</v>
      </c>
      <c r="G57" s="89">
        <v>7743</v>
      </c>
      <c r="H57" s="89">
        <v>8585</v>
      </c>
      <c r="I57" s="89">
        <v>9036</v>
      </c>
      <c r="J57" s="89">
        <v>10445</v>
      </c>
      <c r="K57" s="89">
        <v>11171</v>
      </c>
      <c r="L57" s="89">
        <v>12333</v>
      </c>
      <c r="M57" s="89">
        <v>12990</v>
      </c>
      <c r="N57" s="89">
        <v>13692</v>
      </c>
      <c r="O57" s="89">
        <v>14708</v>
      </c>
      <c r="P57" s="89">
        <v>15634</v>
      </c>
      <c r="Q57" s="89">
        <v>13942</v>
      </c>
    </row>
    <row r="58" spans="1:17" ht="15.75" x14ac:dyDescent="0.25">
      <c r="A58" s="84" t="s">
        <v>57</v>
      </c>
      <c r="B58" s="89">
        <v>708</v>
      </c>
      <c r="C58" s="89">
        <v>812</v>
      </c>
      <c r="D58" s="89">
        <v>1538</v>
      </c>
      <c r="E58" s="89">
        <v>2343</v>
      </c>
      <c r="F58" s="89">
        <v>2143</v>
      </c>
      <c r="G58" s="89">
        <v>2379</v>
      </c>
      <c r="H58" s="89">
        <v>3398</v>
      </c>
      <c r="I58" s="89">
        <v>3830</v>
      </c>
      <c r="J58" s="89">
        <v>4470</v>
      </c>
      <c r="K58" s="89">
        <v>5186</v>
      </c>
      <c r="L58" s="89">
        <v>5498</v>
      </c>
      <c r="M58" s="89">
        <v>5314</v>
      </c>
      <c r="N58" s="89">
        <v>6042</v>
      </c>
      <c r="O58" s="89">
        <v>6143</v>
      </c>
      <c r="P58" s="89">
        <v>6697</v>
      </c>
      <c r="Q58" s="89">
        <v>5948</v>
      </c>
    </row>
    <row r="59" spans="1:17" ht="15.75" x14ac:dyDescent="0.25">
      <c r="A59" s="84" t="s">
        <v>58</v>
      </c>
      <c r="B59" s="89">
        <v>1576</v>
      </c>
      <c r="C59" s="89">
        <v>2031</v>
      </c>
      <c r="D59" s="89">
        <v>2606</v>
      </c>
      <c r="E59" s="89">
        <v>3504</v>
      </c>
      <c r="F59" s="89">
        <v>3281</v>
      </c>
      <c r="G59" s="89">
        <v>3204</v>
      </c>
      <c r="H59" s="89">
        <v>3363</v>
      </c>
      <c r="I59" s="89">
        <v>3442</v>
      </c>
      <c r="J59" s="89">
        <v>3689</v>
      </c>
      <c r="K59" s="89">
        <v>3741</v>
      </c>
      <c r="L59" s="89">
        <v>3768</v>
      </c>
      <c r="M59" s="89">
        <v>3613</v>
      </c>
      <c r="N59" s="89">
        <v>3692</v>
      </c>
      <c r="O59" s="89">
        <v>3809</v>
      </c>
      <c r="P59" s="89">
        <v>3977</v>
      </c>
      <c r="Q59" s="89">
        <v>3008</v>
      </c>
    </row>
    <row r="60" spans="1:17" ht="15.75" x14ac:dyDescent="0.25">
      <c r="A60" s="84" t="s">
        <v>59</v>
      </c>
      <c r="B60" s="89">
        <v>12382</v>
      </c>
      <c r="C60" s="89">
        <v>15299</v>
      </c>
      <c r="D60" s="89">
        <v>20737</v>
      </c>
      <c r="E60" s="89">
        <v>27337</v>
      </c>
      <c r="F60" s="89">
        <v>25939</v>
      </c>
      <c r="G60" s="89">
        <v>32138</v>
      </c>
      <c r="H60" s="89">
        <v>39997</v>
      </c>
      <c r="I60" s="89">
        <v>43843</v>
      </c>
      <c r="J60" s="89">
        <v>48802</v>
      </c>
      <c r="K60" s="89">
        <v>53215</v>
      </c>
      <c r="L60" s="89">
        <v>56041</v>
      </c>
      <c r="M60" s="89">
        <v>51780</v>
      </c>
      <c r="N60" s="89">
        <v>50548</v>
      </c>
      <c r="O60" s="89">
        <v>52514</v>
      </c>
      <c r="P60" s="89">
        <v>54888</v>
      </c>
      <c r="Q60" s="89">
        <v>38763</v>
      </c>
    </row>
    <row r="61" spans="1:17" ht="15.75" x14ac:dyDescent="0.25">
      <c r="A61" s="84" t="s">
        <v>60</v>
      </c>
      <c r="B61" s="89">
        <v>20489</v>
      </c>
      <c r="C61" s="89">
        <v>32648</v>
      </c>
      <c r="D61" s="89">
        <v>44190</v>
      </c>
      <c r="E61" s="89">
        <v>56450</v>
      </c>
      <c r="F61" s="89">
        <v>41179</v>
      </c>
      <c r="G61" s="89">
        <v>42182</v>
      </c>
      <c r="H61" s="89">
        <v>46675</v>
      </c>
      <c r="I61" s="89">
        <v>49640</v>
      </c>
      <c r="J61" s="89">
        <v>58497</v>
      </c>
      <c r="K61" s="89">
        <v>64494</v>
      </c>
      <c r="L61" s="89">
        <v>68955</v>
      </c>
      <c r="M61" s="89">
        <v>72499</v>
      </c>
      <c r="N61" s="89">
        <v>75446</v>
      </c>
      <c r="O61" s="89">
        <v>78410</v>
      </c>
      <c r="P61" s="89">
        <v>81630</v>
      </c>
      <c r="Q61" s="89">
        <v>70969</v>
      </c>
    </row>
    <row r="62" spans="1:17" ht="15.75" x14ac:dyDescent="0.25">
      <c r="A62" s="84" t="s">
        <v>61</v>
      </c>
      <c r="B62" s="89">
        <v>5620</v>
      </c>
      <c r="C62" s="89">
        <v>7642</v>
      </c>
      <c r="D62" s="89">
        <v>10390</v>
      </c>
      <c r="E62" s="89">
        <v>14934</v>
      </c>
      <c r="F62" s="89">
        <v>15340</v>
      </c>
      <c r="G62" s="89">
        <v>15941</v>
      </c>
      <c r="H62" s="89">
        <v>16826</v>
      </c>
      <c r="I62" s="89">
        <v>17899</v>
      </c>
      <c r="J62" s="89">
        <v>20246</v>
      </c>
      <c r="K62" s="89">
        <v>21583</v>
      </c>
      <c r="L62" s="89">
        <v>19440</v>
      </c>
      <c r="M62" s="89">
        <v>19604</v>
      </c>
      <c r="N62" s="89">
        <v>20641</v>
      </c>
      <c r="O62" s="89">
        <v>21085</v>
      </c>
      <c r="P62" s="89">
        <v>23047</v>
      </c>
      <c r="Q62" s="89">
        <v>22609</v>
      </c>
    </row>
    <row r="63" spans="1:17" ht="15.75" x14ac:dyDescent="0.25">
      <c r="A63" s="84" t="s">
        <v>62</v>
      </c>
      <c r="B63" s="89">
        <v>135</v>
      </c>
      <c r="C63" s="89">
        <v>178</v>
      </c>
      <c r="D63" s="89">
        <v>251</v>
      </c>
      <c r="E63" s="89">
        <v>397</v>
      </c>
      <c r="F63" s="89">
        <v>434</v>
      </c>
      <c r="G63" s="89">
        <v>472</v>
      </c>
      <c r="H63" s="89">
        <v>552</v>
      </c>
      <c r="I63" s="89">
        <v>631</v>
      </c>
      <c r="J63" s="89">
        <v>690</v>
      </c>
      <c r="K63" s="89">
        <v>758</v>
      </c>
      <c r="L63" s="89">
        <v>806</v>
      </c>
      <c r="M63" s="89">
        <v>772</v>
      </c>
      <c r="N63" s="89">
        <v>844</v>
      </c>
      <c r="O63" s="89">
        <v>855</v>
      </c>
      <c r="P63" s="89">
        <v>1055</v>
      </c>
      <c r="Q63" s="89">
        <v>993</v>
      </c>
    </row>
    <row r="64" spans="1:17" ht="15.75" x14ac:dyDescent="0.25">
      <c r="A64" s="84" t="s">
        <v>63</v>
      </c>
      <c r="B64" s="89">
        <v>1395</v>
      </c>
      <c r="C64" s="89">
        <v>1879</v>
      </c>
      <c r="D64" s="89">
        <v>2924</v>
      </c>
      <c r="E64" s="89">
        <v>3941</v>
      </c>
      <c r="F64" s="89">
        <v>4581</v>
      </c>
      <c r="G64" s="89">
        <v>5238</v>
      </c>
      <c r="H64" s="89">
        <v>6425</v>
      </c>
      <c r="I64" s="89">
        <v>7290</v>
      </c>
      <c r="J64" s="89">
        <v>8158</v>
      </c>
      <c r="K64" s="89">
        <v>8392</v>
      </c>
      <c r="L64" s="89">
        <v>8996</v>
      </c>
      <c r="M64" s="89">
        <v>9379</v>
      </c>
      <c r="N64" s="89">
        <v>10019</v>
      </c>
      <c r="O64" s="89">
        <v>10353</v>
      </c>
      <c r="P64" s="89">
        <v>11422</v>
      </c>
      <c r="Q64" s="89">
        <v>9748</v>
      </c>
    </row>
    <row r="65" spans="1:17" ht="15.75" x14ac:dyDescent="0.25">
      <c r="A65" s="84" t="s">
        <v>64</v>
      </c>
      <c r="B65" s="89">
        <v>117</v>
      </c>
      <c r="C65" s="89">
        <v>141</v>
      </c>
      <c r="D65" s="89">
        <v>199</v>
      </c>
      <c r="E65" s="89">
        <v>260</v>
      </c>
      <c r="F65" s="89">
        <v>307</v>
      </c>
      <c r="G65" s="89">
        <v>352</v>
      </c>
      <c r="H65" s="89">
        <v>426</v>
      </c>
      <c r="I65" s="89">
        <v>489</v>
      </c>
      <c r="J65" s="89">
        <v>573</v>
      </c>
      <c r="K65" s="89">
        <v>622</v>
      </c>
      <c r="L65" s="89">
        <v>702</v>
      </c>
      <c r="M65" s="89">
        <v>713</v>
      </c>
      <c r="N65" s="89">
        <v>753</v>
      </c>
      <c r="O65" s="89">
        <v>804</v>
      </c>
      <c r="P65" s="89">
        <v>965</v>
      </c>
      <c r="Q65" s="89">
        <v>883</v>
      </c>
    </row>
    <row r="66" spans="1:17" ht="15.75" x14ac:dyDescent="0.25">
      <c r="A66" s="84" t="s">
        <v>65</v>
      </c>
      <c r="B66" s="89">
        <v>806</v>
      </c>
      <c r="C66" s="89">
        <v>1127</v>
      </c>
      <c r="D66" s="89">
        <v>1717</v>
      </c>
      <c r="E66" s="89">
        <v>2097</v>
      </c>
      <c r="F66" s="89">
        <v>2101</v>
      </c>
      <c r="G66" s="89">
        <v>1996</v>
      </c>
      <c r="H66" s="89">
        <v>2350</v>
      </c>
      <c r="I66" s="89">
        <v>2720</v>
      </c>
      <c r="J66" s="89">
        <v>3002</v>
      </c>
      <c r="K66" s="89">
        <v>3440</v>
      </c>
      <c r="L66" s="89">
        <v>4170</v>
      </c>
      <c r="M66" s="89">
        <v>4397</v>
      </c>
      <c r="N66" s="89">
        <v>5036</v>
      </c>
      <c r="O66" s="89">
        <v>5252</v>
      </c>
      <c r="P66" s="89">
        <v>5634</v>
      </c>
      <c r="Q66" s="89">
        <v>5273</v>
      </c>
    </row>
    <row r="67" spans="1:17" ht="15.75" x14ac:dyDescent="0.25">
      <c r="A67" s="84" t="s">
        <v>66</v>
      </c>
      <c r="B67" s="89">
        <v>2370</v>
      </c>
      <c r="C67" s="89">
        <v>3267</v>
      </c>
      <c r="D67" s="89">
        <v>4255</v>
      </c>
      <c r="E67" s="89">
        <v>6146</v>
      </c>
      <c r="F67" s="89">
        <v>4351</v>
      </c>
      <c r="G67" s="89">
        <v>5025</v>
      </c>
      <c r="H67" s="89">
        <v>6011</v>
      </c>
      <c r="I67" s="89">
        <v>6602</v>
      </c>
      <c r="J67" s="89">
        <v>7325</v>
      </c>
      <c r="K67" s="89">
        <v>8045</v>
      </c>
      <c r="L67" s="89">
        <v>8694</v>
      </c>
      <c r="M67" s="89">
        <v>9072</v>
      </c>
      <c r="N67" s="89">
        <v>9489</v>
      </c>
      <c r="O67" s="89">
        <v>9856</v>
      </c>
      <c r="P67" s="89">
        <v>10365</v>
      </c>
      <c r="Q67" s="89">
        <v>8508</v>
      </c>
    </row>
    <row r="68" spans="1:17" ht="15.75" x14ac:dyDescent="0.25">
      <c r="A68" s="84" t="s">
        <v>73</v>
      </c>
      <c r="B68" s="95">
        <v>1837</v>
      </c>
      <c r="C68" s="95">
        <v>2300</v>
      </c>
      <c r="D68" s="89">
        <v>2888</v>
      </c>
      <c r="E68" s="89">
        <v>4088</v>
      </c>
      <c r="F68" s="89">
        <v>4466</v>
      </c>
      <c r="G68" s="89">
        <v>5079</v>
      </c>
      <c r="H68" s="89">
        <v>6199</v>
      </c>
      <c r="I68" s="89">
        <v>6752</v>
      </c>
      <c r="J68" s="89">
        <v>7441</v>
      </c>
      <c r="K68" s="89">
        <v>7701</v>
      </c>
      <c r="L68" s="89">
        <v>8170</v>
      </c>
      <c r="M68" s="89">
        <v>8012</v>
      </c>
      <c r="N68" s="89">
        <v>8392</v>
      </c>
      <c r="O68" s="89">
        <v>8857</v>
      </c>
      <c r="P68" s="89">
        <v>9902</v>
      </c>
      <c r="Q68" s="89">
        <v>8357</v>
      </c>
    </row>
    <row r="69" spans="1:17" ht="15.75" x14ac:dyDescent="0.25">
      <c r="A69" s="84" t="s">
        <v>67</v>
      </c>
      <c r="B69" s="89">
        <v>8893</v>
      </c>
      <c r="C69" s="89">
        <v>10428</v>
      </c>
      <c r="D69" s="89">
        <v>11799</v>
      </c>
      <c r="E69" s="89">
        <v>14035</v>
      </c>
      <c r="F69" s="89">
        <v>11411</v>
      </c>
      <c r="G69" s="89">
        <v>10934</v>
      </c>
      <c r="H69" s="89">
        <v>13044</v>
      </c>
      <c r="I69" s="89">
        <v>15686</v>
      </c>
      <c r="J69" s="89">
        <v>16982</v>
      </c>
      <c r="K69" s="89">
        <v>18138</v>
      </c>
      <c r="L69" s="89">
        <v>17988</v>
      </c>
      <c r="M69" s="89">
        <v>21540</v>
      </c>
      <c r="N69" s="89">
        <v>23112</v>
      </c>
      <c r="O69" s="89">
        <v>26487</v>
      </c>
      <c r="P69" s="89">
        <v>30293</v>
      </c>
      <c r="Q69" s="89">
        <v>24162</v>
      </c>
    </row>
    <row r="70" spans="1:17" ht="15.75" x14ac:dyDescent="0.25">
      <c r="A70" s="84" t="s">
        <v>68</v>
      </c>
      <c r="B70" s="89">
        <v>4076</v>
      </c>
      <c r="C70" s="89">
        <v>4816</v>
      </c>
      <c r="D70" s="89">
        <v>5645</v>
      </c>
      <c r="E70" s="89">
        <v>7449</v>
      </c>
      <c r="F70" s="89">
        <v>7359</v>
      </c>
      <c r="G70" s="89">
        <v>7668</v>
      </c>
      <c r="H70" s="89">
        <v>9078</v>
      </c>
      <c r="I70" s="89">
        <v>9645</v>
      </c>
      <c r="J70" s="89">
        <v>10308</v>
      </c>
      <c r="K70" s="89">
        <v>11030</v>
      </c>
      <c r="L70" s="89">
        <v>11394</v>
      </c>
      <c r="M70" s="89">
        <v>12921</v>
      </c>
      <c r="N70" s="89">
        <v>14245</v>
      </c>
      <c r="O70" s="89">
        <v>15609</v>
      </c>
      <c r="P70" s="89">
        <v>17263</v>
      </c>
      <c r="Q70" s="89">
        <v>12572</v>
      </c>
    </row>
    <row r="71" spans="1:17" ht="15.75" x14ac:dyDescent="0.25">
      <c r="A71" s="84" t="s">
        <v>69</v>
      </c>
      <c r="B71" s="89">
        <v>6977</v>
      </c>
      <c r="C71" s="89">
        <v>9700</v>
      </c>
      <c r="D71" s="89">
        <v>12369</v>
      </c>
      <c r="E71" s="89">
        <v>16578</v>
      </c>
      <c r="F71" s="89">
        <v>11273</v>
      </c>
      <c r="G71" s="89">
        <v>10250</v>
      </c>
      <c r="H71" s="89">
        <v>11802</v>
      </c>
      <c r="I71" s="89">
        <v>14385</v>
      </c>
      <c r="J71" s="89">
        <v>15553</v>
      </c>
      <c r="K71" s="89">
        <v>16327</v>
      </c>
      <c r="L71" s="89">
        <v>17508</v>
      </c>
      <c r="M71" s="89">
        <v>18441</v>
      </c>
      <c r="N71" s="89">
        <v>19042</v>
      </c>
      <c r="O71" s="89">
        <v>20149</v>
      </c>
      <c r="P71" s="89">
        <v>22086</v>
      </c>
      <c r="Q71" s="89">
        <v>17326</v>
      </c>
    </row>
    <row r="72" spans="1:17" ht="15.75" x14ac:dyDescent="0.25">
      <c r="A72" s="84" t="s">
        <v>70</v>
      </c>
      <c r="B72" s="89">
        <v>3897</v>
      </c>
      <c r="C72" s="89">
        <v>5074</v>
      </c>
      <c r="D72" s="89">
        <v>8746</v>
      </c>
      <c r="E72" s="89">
        <v>11753</v>
      </c>
      <c r="F72" s="89">
        <v>9557</v>
      </c>
      <c r="G72" s="89">
        <v>10544</v>
      </c>
      <c r="H72" s="89">
        <v>11791</v>
      </c>
      <c r="I72" s="89">
        <v>14601</v>
      </c>
      <c r="J72" s="89">
        <v>16602</v>
      </c>
      <c r="K72" s="89">
        <v>18400</v>
      </c>
      <c r="L72" s="89">
        <v>18896</v>
      </c>
      <c r="M72" s="89">
        <v>21387</v>
      </c>
      <c r="N72" s="89">
        <v>25751</v>
      </c>
      <c r="O72" s="89">
        <v>31275</v>
      </c>
      <c r="P72" s="89">
        <v>35605</v>
      </c>
      <c r="Q72" s="89">
        <v>26416</v>
      </c>
    </row>
    <row r="73" spans="1:17" ht="15.75" x14ac:dyDescent="0.25">
      <c r="A73" s="84" t="s">
        <v>71</v>
      </c>
      <c r="B73" s="89">
        <v>3867</v>
      </c>
      <c r="C73" s="89">
        <v>4714</v>
      </c>
      <c r="D73" s="89">
        <v>6010</v>
      </c>
      <c r="E73" s="89">
        <v>8031</v>
      </c>
      <c r="F73" s="89">
        <v>6089</v>
      </c>
      <c r="G73" s="89">
        <v>6501</v>
      </c>
      <c r="H73" s="89">
        <v>7880</v>
      </c>
      <c r="I73" s="89">
        <v>9268</v>
      </c>
      <c r="J73" s="89">
        <v>10558</v>
      </c>
      <c r="K73" s="89">
        <v>12177</v>
      </c>
      <c r="L73" s="89">
        <v>12633</v>
      </c>
      <c r="M73" s="89">
        <v>13303</v>
      </c>
      <c r="N73" s="89">
        <v>14373</v>
      </c>
      <c r="O73" s="89">
        <v>14573</v>
      </c>
      <c r="P73" s="89">
        <v>16905</v>
      </c>
      <c r="Q73" s="89">
        <v>14723</v>
      </c>
    </row>
    <row r="74" spans="1:17" ht="15.75" x14ac:dyDescent="0.25">
      <c r="A74" s="84" t="s">
        <v>72</v>
      </c>
      <c r="B74" s="89">
        <v>2179</v>
      </c>
      <c r="C74" s="89">
        <v>2660</v>
      </c>
      <c r="D74" s="89">
        <v>3129</v>
      </c>
      <c r="E74" s="89">
        <v>3983</v>
      </c>
      <c r="F74" s="89">
        <v>4176</v>
      </c>
      <c r="G74" s="89">
        <v>4602</v>
      </c>
      <c r="H74" s="89">
        <v>5204</v>
      </c>
      <c r="I74" s="89">
        <v>6182</v>
      </c>
      <c r="J74" s="89">
        <v>7529</v>
      </c>
      <c r="K74" s="89">
        <v>8344</v>
      </c>
      <c r="L74" s="89">
        <v>8825</v>
      </c>
      <c r="M74" s="89">
        <v>8925</v>
      </c>
      <c r="N74" s="89">
        <v>8683</v>
      </c>
      <c r="O74" s="89">
        <v>9352</v>
      </c>
      <c r="P74" s="89">
        <v>9539</v>
      </c>
      <c r="Q74" s="89">
        <v>6269</v>
      </c>
    </row>
    <row r="75" spans="1:17" ht="15.75" x14ac:dyDescent="0.25">
      <c r="A75" s="84" t="s">
        <v>74</v>
      </c>
      <c r="B75" s="89">
        <v>4456</v>
      </c>
      <c r="C75" s="89">
        <v>5644</v>
      </c>
      <c r="D75" s="89">
        <v>6556</v>
      </c>
      <c r="E75" s="89">
        <v>7437</v>
      </c>
      <c r="F75" s="89">
        <v>8229</v>
      </c>
      <c r="G75" s="89">
        <v>9007</v>
      </c>
      <c r="H75" s="89">
        <v>10163</v>
      </c>
      <c r="I75" s="89">
        <v>11214</v>
      </c>
      <c r="J75" s="89">
        <v>11998</v>
      </c>
      <c r="K75" s="89">
        <v>13013</v>
      </c>
      <c r="L75" s="89">
        <v>14786</v>
      </c>
      <c r="M75" s="89">
        <v>16092</v>
      </c>
      <c r="N75" s="89">
        <v>16793</v>
      </c>
      <c r="O75" s="89">
        <v>18872</v>
      </c>
      <c r="P75" s="89">
        <v>22630</v>
      </c>
      <c r="Q75" s="89">
        <v>20813</v>
      </c>
    </row>
    <row r="76" spans="1:17" ht="15.75" x14ac:dyDescent="0.25">
      <c r="A76" s="84" t="s">
        <v>75</v>
      </c>
      <c r="B76" s="89">
        <v>510</v>
      </c>
      <c r="C76" s="89">
        <v>830</v>
      </c>
      <c r="D76" s="89">
        <v>1979</v>
      </c>
      <c r="E76" s="89">
        <v>2356</v>
      </c>
      <c r="F76" s="89">
        <v>2854</v>
      </c>
      <c r="G76" s="89">
        <v>3088</v>
      </c>
      <c r="H76" s="89">
        <v>3187</v>
      </c>
      <c r="I76" s="89">
        <v>3388</v>
      </c>
      <c r="J76" s="89">
        <v>3590</v>
      </c>
      <c r="K76" s="89">
        <v>3794</v>
      </c>
      <c r="L76" s="89">
        <v>4171</v>
      </c>
      <c r="M76" s="89">
        <v>5510</v>
      </c>
      <c r="N76" s="89">
        <v>5733</v>
      </c>
      <c r="O76" s="89">
        <v>5945</v>
      </c>
      <c r="P76" s="89">
        <v>6230</v>
      </c>
      <c r="Q76" s="89">
        <v>6034</v>
      </c>
    </row>
    <row r="77" spans="1:17" ht="15.75" x14ac:dyDescent="0.25">
      <c r="A77" s="84" t="s">
        <v>76</v>
      </c>
      <c r="B77" s="89">
        <v>3639</v>
      </c>
      <c r="C77" s="89">
        <v>4265</v>
      </c>
      <c r="D77" s="89">
        <v>4949</v>
      </c>
      <c r="E77" s="89">
        <v>6012</v>
      </c>
      <c r="F77" s="89">
        <v>6693</v>
      </c>
      <c r="G77" s="89">
        <v>7338</v>
      </c>
      <c r="H77" s="89">
        <v>8078</v>
      </c>
      <c r="I77" s="89">
        <v>10694</v>
      </c>
      <c r="J77" s="89">
        <v>13004</v>
      </c>
      <c r="K77" s="89">
        <v>14792</v>
      </c>
      <c r="L77" s="89">
        <v>16878</v>
      </c>
      <c r="M77" s="89">
        <v>15727</v>
      </c>
      <c r="N77" s="89">
        <v>16966</v>
      </c>
      <c r="O77" s="89">
        <v>18050</v>
      </c>
      <c r="P77" s="89">
        <v>19496</v>
      </c>
      <c r="Q77" s="89">
        <v>13119</v>
      </c>
    </row>
    <row r="78" spans="1:17" ht="15.75" x14ac:dyDescent="0.25">
      <c r="A78" s="84" t="s">
        <v>77</v>
      </c>
      <c r="B78" s="89">
        <v>3612</v>
      </c>
      <c r="C78" s="89">
        <v>4601</v>
      </c>
      <c r="D78" s="89">
        <v>4978</v>
      </c>
      <c r="E78" s="89">
        <v>6039</v>
      </c>
      <c r="F78" s="89">
        <v>6642</v>
      </c>
      <c r="G78" s="89">
        <v>7683</v>
      </c>
      <c r="H78" s="89">
        <v>8568</v>
      </c>
      <c r="I78" s="89">
        <v>9774</v>
      </c>
      <c r="J78" s="89">
        <v>11681</v>
      </c>
      <c r="K78" s="89">
        <v>13635</v>
      </c>
      <c r="L78" s="89">
        <v>15567</v>
      </c>
      <c r="M78" s="89">
        <v>16404</v>
      </c>
      <c r="N78" s="89">
        <v>17197</v>
      </c>
      <c r="O78" s="89">
        <v>18087</v>
      </c>
      <c r="P78" s="89">
        <v>19506</v>
      </c>
      <c r="Q78" s="89">
        <v>16296</v>
      </c>
    </row>
    <row r="79" spans="1:17" ht="15.75" x14ac:dyDescent="0.25">
      <c r="A79" s="84" t="s">
        <v>78</v>
      </c>
      <c r="B79" s="89">
        <v>1194</v>
      </c>
      <c r="C79" s="89">
        <v>1594</v>
      </c>
      <c r="D79" s="89">
        <v>2206</v>
      </c>
      <c r="E79" s="89">
        <v>2733</v>
      </c>
      <c r="F79" s="89">
        <v>3051</v>
      </c>
      <c r="G79" s="89">
        <v>3420</v>
      </c>
      <c r="H79" s="89">
        <v>4279</v>
      </c>
      <c r="I79" s="89">
        <v>4503</v>
      </c>
      <c r="J79" s="89">
        <v>4852</v>
      </c>
      <c r="K79" s="89">
        <v>5643</v>
      </c>
      <c r="L79" s="89">
        <v>5882</v>
      </c>
      <c r="M79" s="89">
        <v>5721</v>
      </c>
      <c r="N79" s="89">
        <v>5944</v>
      </c>
      <c r="O79" s="89">
        <v>6176</v>
      </c>
      <c r="P79" s="89">
        <v>6474</v>
      </c>
      <c r="Q79" s="89">
        <v>6367</v>
      </c>
    </row>
    <row r="80" spans="1:17" ht="15.75" x14ac:dyDescent="0.25">
      <c r="A80" s="84" t="s">
        <v>79</v>
      </c>
      <c r="B80" s="89">
        <v>373</v>
      </c>
      <c r="C80" s="89">
        <v>472</v>
      </c>
      <c r="D80" s="89">
        <v>589</v>
      </c>
      <c r="E80" s="89">
        <v>723</v>
      </c>
      <c r="F80" s="89">
        <v>819</v>
      </c>
      <c r="G80" s="89">
        <v>890</v>
      </c>
      <c r="H80" s="89">
        <v>1463</v>
      </c>
      <c r="I80" s="89">
        <v>1638</v>
      </c>
      <c r="J80" s="89">
        <v>1933</v>
      </c>
      <c r="K80" s="89">
        <v>1912</v>
      </c>
      <c r="L80" s="89">
        <v>1807</v>
      </c>
      <c r="M80" s="89">
        <v>2059</v>
      </c>
      <c r="N80" s="89">
        <v>2263</v>
      </c>
      <c r="O80" s="89">
        <v>2657</v>
      </c>
      <c r="P80" s="89">
        <v>2738</v>
      </c>
      <c r="Q80" s="89">
        <v>2767</v>
      </c>
    </row>
    <row r="81" spans="1:17" ht="15.75" x14ac:dyDescent="0.25">
      <c r="A81" s="84" t="s">
        <v>80</v>
      </c>
      <c r="B81" s="89">
        <v>1597</v>
      </c>
      <c r="C81" s="89">
        <v>2187</v>
      </c>
      <c r="D81" s="89">
        <v>2839</v>
      </c>
      <c r="E81" s="89">
        <v>4254</v>
      </c>
      <c r="F81" s="89">
        <v>4707</v>
      </c>
      <c r="G81" s="89">
        <v>5078</v>
      </c>
      <c r="H81" s="89">
        <v>4344</v>
      </c>
      <c r="I81" s="89">
        <v>4477</v>
      </c>
      <c r="J81" s="89">
        <v>4543</v>
      </c>
      <c r="K81" s="89">
        <v>5192</v>
      </c>
      <c r="L81" s="89">
        <v>6062</v>
      </c>
      <c r="M81" s="89">
        <v>6785</v>
      </c>
      <c r="N81" s="89">
        <v>8824</v>
      </c>
      <c r="O81" s="89">
        <v>9046</v>
      </c>
      <c r="P81" s="89">
        <v>9714</v>
      </c>
      <c r="Q81" s="89">
        <v>8189</v>
      </c>
    </row>
    <row r="82" spans="1:17" ht="15.75" x14ac:dyDescent="0.25">
      <c r="A82" s="84" t="s">
        <v>81</v>
      </c>
      <c r="B82" s="89">
        <v>291</v>
      </c>
      <c r="C82" s="89">
        <v>348</v>
      </c>
      <c r="D82" s="89">
        <v>400</v>
      </c>
      <c r="E82" s="89">
        <v>517</v>
      </c>
      <c r="F82" s="89">
        <v>565</v>
      </c>
      <c r="G82" s="89">
        <v>582</v>
      </c>
      <c r="H82" s="89">
        <v>624</v>
      </c>
      <c r="I82" s="89">
        <v>724</v>
      </c>
      <c r="J82" s="89">
        <v>798</v>
      </c>
      <c r="K82" s="89">
        <v>872</v>
      </c>
      <c r="L82" s="89">
        <v>883</v>
      </c>
      <c r="M82" s="89">
        <v>804</v>
      </c>
      <c r="N82" s="89">
        <v>803</v>
      </c>
      <c r="O82" s="89">
        <v>870</v>
      </c>
      <c r="P82" s="89">
        <v>935</v>
      </c>
      <c r="Q82" s="89">
        <v>673</v>
      </c>
    </row>
    <row r="83" spans="1:17" ht="15.75" x14ac:dyDescent="0.25">
      <c r="A83" s="84" t="s">
        <v>82</v>
      </c>
      <c r="B83" s="89">
        <v>133</v>
      </c>
      <c r="C83" s="89">
        <v>155</v>
      </c>
      <c r="D83" s="89">
        <v>179</v>
      </c>
      <c r="E83" s="89">
        <v>243</v>
      </c>
      <c r="F83" s="89">
        <v>222</v>
      </c>
      <c r="G83" s="89">
        <v>161</v>
      </c>
      <c r="H83" s="89">
        <v>301</v>
      </c>
      <c r="I83" s="89">
        <v>467</v>
      </c>
      <c r="J83" s="89">
        <v>134</v>
      </c>
      <c r="K83" s="89">
        <v>165</v>
      </c>
      <c r="L83" s="89">
        <v>441</v>
      </c>
      <c r="M83" s="89">
        <v>518</v>
      </c>
      <c r="N83" s="89">
        <v>603</v>
      </c>
      <c r="O83" s="89">
        <v>723</v>
      </c>
      <c r="P83" s="89">
        <v>1068</v>
      </c>
      <c r="Q83" s="89">
        <v>1555</v>
      </c>
    </row>
    <row r="84" spans="1:17" x14ac:dyDescent="0.25">
      <c r="I84">
        <f>SUM(I2:I83)</f>
        <v>1019618</v>
      </c>
    </row>
    <row r="85" spans="1:17" x14ac:dyDescent="0.25">
      <c r="I85">
        <f>I84/Население!J84</f>
        <v>7.1129357433361005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R83"/>
  <sheetViews>
    <sheetView topLeftCell="B58" workbookViewId="0">
      <selection activeCell="C40" sqref="C40"/>
    </sheetView>
  </sheetViews>
  <sheetFormatPr defaultRowHeight="15.75" x14ac:dyDescent="0.25"/>
  <cols>
    <col min="1" max="1" width="9.140625" style="80"/>
    <col min="2" max="2" width="36.140625" style="80" customWidth="1"/>
    <col min="3" max="3" width="9.7109375" style="80" customWidth="1"/>
    <col min="4" max="16384" width="9.140625" style="80"/>
  </cols>
  <sheetData>
    <row r="1" spans="1:18" x14ac:dyDescent="0.25">
      <c r="A1" s="84" t="s">
        <v>0</v>
      </c>
      <c r="B1" s="84" t="s">
        <v>83</v>
      </c>
      <c r="C1" s="84">
        <v>2005</v>
      </c>
      <c r="D1" s="84">
        <v>2006</v>
      </c>
      <c r="E1" s="84">
        <v>2007</v>
      </c>
      <c r="F1" s="84">
        <v>2008</v>
      </c>
      <c r="G1" s="84">
        <v>2009</v>
      </c>
      <c r="H1" s="86">
        <v>2010</v>
      </c>
      <c r="I1" s="86">
        <v>2011</v>
      </c>
      <c r="J1" s="86">
        <v>2012</v>
      </c>
      <c r="K1" s="86">
        <v>2013</v>
      </c>
      <c r="L1" s="86">
        <v>2014</v>
      </c>
      <c r="M1" s="86">
        <v>2015</v>
      </c>
      <c r="N1" s="86">
        <v>2016</v>
      </c>
      <c r="O1" s="87">
        <v>2017</v>
      </c>
      <c r="P1" s="86">
        <v>2018</v>
      </c>
      <c r="Q1" s="86">
        <v>2019</v>
      </c>
      <c r="R1" s="86">
        <v>2020</v>
      </c>
    </row>
    <row r="2" spans="1:18" x14ac:dyDescent="0.25">
      <c r="A2" s="84">
        <v>1</v>
      </c>
      <c r="B2" s="84" t="s">
        <v>1</v>
      </c>
      <c r="C2" s="91" t="e">
        <f>('16.1н'!#REF!+'16.2н'!#REF!+'16.3н'!#REF!)/3</f>
        <v>#REF!</v>
      </c>
      <c r="D2" s="91" t="e">
        <f>('16.1н'!#REF!+'16.2н'!#REF!+'16.3н'!#REF!)/3</f>
        <v>#REF!</v>
      </c>
      <c r="E2" s="91">
        <f>('16.1н'!E2+'16.2н'!E2+'16.3н'!E2)/3</f>
        <v>0</v>
      </c>
      <c r="F2" s="91">
        <f>('16.1н'!F2+'16.2н'!F2+'16.3н'!F2)/3</f>
        <v>0</v>
      </c>
      <c r="G2" s="91">
        <f>('16.1н'!G2+'16.2н'!G2+'16.3н'!G2)/3</f>
        <v>0</v>
      </c>
      <c r="H2" s="91">
        <f>('16.1н'!H2+'16.2н'!H2+'16.3н'!H2)/3</f>
        <v>0</v>
      </c>
      <c r="I2" s="91">
        <f>('16.1н'!I2+'16.2н'!I2+'16.3н'!I2)/3</f>
        <v>0</v>
      </c>
      <c r="J2" s="91">
        <f>('16.1н'!J2+'16.2н'!J2+'16.3н'!J2)/3</f>
        <v>0</v>
      </c>
      <c r="K2" s="91">
        <f>('16.1н'!K2+'16.2н'!K2+'16.3н'!K2)/3</f>
        <v>0</v>
      </c>
      <c r="L2" s="91">
        <f>('16.1н'!L2+'16.2н'!L2+'16.3н'!L2)/3</f>
        <v>0</v>
      </c>
      <c r="M2" s="91">
        <f>('16.1н'!M2+'16.2н'!M2+'16.3н'!M2)/3</f>
        <v>0</v>
      </c>
      <c r="N2" s="91">
        <f>('16.1н'!N2+'16.2н'!N2+'16.3н'!N2)/3</f>
        <v>0</v>
      </c>
      <c r="O2" s="91">
        <f>('16.1н'!O2+'16.2н'!O2+'16.3н'!O2)/3</f>
        <v>0</v>
      </c>
      <c r="P2" s="91">
        <f>('16.1н'!P2+'16.2н'!P2+'16.3н'!P2)/3</f>
        <v>0</v>
      </c>
      <c r="Q2" s="91">
        <f>('16.1н'!Q2+'16.2н'!Q2+'16.3н'!Q2)/3</f>
        <v>0</v>
      </c>
      <c r="R2" s="91">
        <f>('16.1н'!B2+'16.2н'!B2+'16.3н'!B2)/3</f>
        <v>0.51483202085986812</v>
      </c>
    </row>
    <row r="3" spans="1:18" x14ac:dyDescent="0.25">
      <c r="A3" s="84">
        <v>2</v>
      </c>
      <c r="B3" s="84" t="s">
        <v>2</v>
      </c>
      <c r="C3" s="91" t="e">
        <f>('16.1н'!#REF!+'16.2н'!#REF!+'16.3н'!#REF!)/3</f>
        <v>#REF!</v>
      </c>
      <c r="D3" s="91" t="e">
        <f>('16.1н'!#REF!+'16.2н'!#REF!+'16.3н'!#REF!)/3</f>
        <v>#REF!</v>
      </c>
      <c r="E3" s="91">
        <f>('16.1н'!E3+'16.2н'!E3+'16.3н'!E3)/3</f>
        <v>0</v>
      </c>
      <c r="F3" s="91">
        <f>('16.1н'!F3+'16.2н'!F3+'16.3н'!F3)/3</f>
        <v>0</v>
      </c>
      <c r="G3" s="91">
        <f>('16.1н'!G3+'16.2н'!G3+'16.3н'!G3)/3</f>
        <v>0</v>
      </c>
      <c r="H3" s="91">
        <f>('16.1н'!H3+'16.2н'!H3+'16.3н'!H3)/3</f>
        <v>0</v>
      </c>
      <c r="I3" s="91">
        <f>('16.1н'!I3+'16.2н'!I3+'16.3н'!I3)/3</f>
        <v>0</v>
      </c>
      <c r="J3" s="91">
        <f>('16.1н'!J3+'16.2н'!J3+'16.3н'!J3)/3</f>
        <v>0</v>
      </c>
      <c r="K3" s="91">
        <f>('16.1н'!K3+'16.2н'!K3+'16.3н'!K3)/3</f>
        <v>0</v>
      </c>
      <c r="L3" s="91">
        <f>('16.1н'!L3+'16.2н'!L3+'16.3н'!L3)/3</f>
        <v>0</v>
      </c>
      <c r="M3" s="91">
        <f>('16.1н'!M3+'16.2н'!M3+'16.3н'!M3)/3</f>
        <v>0</v>
      </c>
      <c r="N3" s="91">
        <f>('16.1н'!N3+'16.2н'!N3+'16.3н'!N3)/3</f>
        <v>0</v>
      </c>
      <c r="O3" s="91">
        <f>('16.1н'!O3+'16.2н'!O3+'16.3н'!O3)/3</f>
        <v>0</v>
      </c>
      <c r="P3" s="91">
        <f>('16.1н'!P3+'16.2н'!P3+'16.3н'!P3)/3</f>
        <v>0</v>
      </c>
      <c r="Q3" s="91">
        <f>('16.1н'!Q3+'16.2н'!Q3+'16.3н'!Q3)/3</f>
        <v>0</v>
      </c>
      <c r="R3" s="91">
        <f>('16.1н'!B3+'16.2н'!B3+'16.3н'!B3)/3</f>
        <v>0.42724244308158049</v>
      </c>
    </row>
    <row r="4" spans="1:18" x14ac:dyDescent="0.25">
      <c r="A4" s="84">
        <v>3</v>
      </c>
      <c r="B4" s="84" t="s">
        <v>3</v>
      </c>
      <c r="C4" s="91" t="e">
        <f>('16.1н'!#REF!+'16.2н'!#REF!+'16.3н'!#REF!)/3</f>
        <v>#REF!</v>
      </c>
      <c r="D4" s="91" t="e">
        <f>('16.1н'!#REF!+'16.2н'!#REF!+'16.3н'!#REF!)/3</f>
        <v>#REF!</v>
      </c>
      <c r="E4" s="91">
        <f>('16.1н'!E4+'16.2н'!E4+'16.3н'!E4)/3</f>
        <v>0</v>
      </c>
      <c r="F4" s="91">
        <f>('16.1н'!F4+'16.2н'!F4+'16.3н'!F4)/3</f>
        <v>0</v>
      </c>
      <c r="G4" s="91">
        <f>('16.1н'!G4+'16.2н'!G4+'16.3н'!G4)/3</f>
        <v>0</v>
      </c>
      <c r="H4" s="91">
        <f>('16.1н'!H4+'16.2н'!H4+'16.3н'!H4)/3</f>
        <v>0</v>
      </c>
      <c r="I4" s="91">
        <f>('16.1н'!I4+'16.2н'!I4+'16.3н'!I4)/3</f>
        <v>0</v>
      </c>
      <c r="J4" s="91">
        <f>('16.1н'!J4+'16.2н'!J4+'16.3н'!J4)/3</f>
        <v>0</v>
      </c>
      <c r="K4" s="91">
        <f>('16.1н'!K4+'16.2н'!K4+'16.3н'!K4)/3</f>
        <v>0</v>
      </c>
      <c r="L4" s="91">
        <f>('16.1н'!L4+'16.2н'!L4+'16.3н'!L4)/3</f>
        <v>0</v>
      </c>
      <c r="M4" s="91">
        <f>('16.1н'!M4+'16.2н'!M4+'16.3н'!M4)/3</f>
        <v>0</v>
      </c>
      <c r="N4" s="91">
        <f>('16.1н'!N4+'16.2н'!N4+'16.3н'!N4)/3</f>
        <v>0</v>
      </c>
      <c r="O4" s="91">
        <f>('16.1н'!O4+'16.2н'!O4+'16.3н'!O4)/3</f>
        <v>0</v>
      </c>
      <c r="P4" s="91">
        <f>('16.1н'!P4+'16.2н'!P4+'16.3н'!P4)/3</f>
        <v>0</v>
      </c>
      <c r="Q4" s="91">
        <f>('16.1н'!Q4+'16.2н'!Q4+'16.3н'!Q4)/3</f>
        <v>0</v>
      </c>
      <c r="R4" s="91">
        <f>('16.1н'!B4+'16.2н'!B4+'16.3н'!B4)/3</f>
        <v>0.50622887741978473</v>
      </c>
    </row>
    <row r="5" spans="1:18" x14ac:dyDescent="0.25">
      <c r="A5" s="84">
        <v>4</v>
      </c>
      <c r="B5" s="84" t="s">
        <v>4</v>
      </c>
      <c r="C5" s="91" t="e">
        <f>('16.1н'!#REF!+'16.2н'!#REF!+'16.3н'!#REF!)/3</f>
        <v>#REF!</v>
      </c>
      <c r="D5" s="91" t="e">
        <f>('16.1н'!#REF!+'16.2н'!#REF!+'16.3н'!#REF!)/3</f>
        <v>#REF!</v>
      </c>
      <c r="E5" s="91">
        <f>('16.1н'!E5+'16.2н'!E5+'16.3н'!E5)/3</f>
        <v>0</v>
      </c>
      <c r="F5" s="91">
        <f>('16.1н'!F5+'16.2н'!F5+'16.3н'!F5)/3</f>
        <v>0</v>
      </c>
      <c r="G5" s="91">
        <f>('16.1н'!G5+'16.2н'!G5+'16.3н'!G5)/3</f>
        <v>0</v>
      </c>
      <c r="H5" s="91">
        <f>('16.1н'!H5+'16.2н'!H5+'16.3н'!H5)/3</f>
        <v>0</v>
      </c>
      <c r="I5" s="91">
        <f>('16.1н'!I5+'16.2н'!I5+'16.3н'!I5)/3</f>
        <v>0</v>
      </c>
      <c r="J5" s="91">
        <f>('16.1н'!J5+'16.2н'!J5+'16.3н'!J5)/3</f>
        <v>0</v>
      </c>
      <c r="K5" s="91">
        <f>('16.1н'!K5+'16.2н'!K5+'16.3н'!K5)/3</f>
        <v>0</v>
      </c>
      <c r="L5" s="91">
        <f>('16.1н'!L5+'16.2н'!L5+'16.3н'!L5)/3</f>
        <v>0</v>
      </c>
      <c r="M5" s="91">
        <f>('16.1н'!M5+'16.2н'!M5+'16.3н'!M5)/3</f>
        <v>0</v>
      </c>
      <c r="N5" s="91">
        <f>('16.1н'!N5+'16.2н'!N5+'16.3н'!N5)/3</f>
        <v>0</v>
      </c>
      <c r="O5" s="91">
        <f>('16.1н'!O5+'16.2н'!O5+'16.3н'!O5)/3</f>
        <v>0</v>
      </c>
      <c r="P5" s="91">
        <f>('16.1н'!P5+'16.2н'!P5+'16.3н'!P5)/3</f>
        <v>0</v>
      </c>
      <c r="Q5" s="91">
        <f>('16.1н'!Q5+'16.2н'!Q5+'16.3н'!Q5)/3</f>
        <v>0</v>
      </c>
      <c r="R5" s="91">
        <f>('16.1н'!B5+'16.2н'!B5+'16.3н'!B5)/3</f>
        <v>0.54436171495537811</v>
      </c>
    </row>
    <row r="6" spans="1:18" x14ac:dyDescent="0.25">
      <c r="A6" s="84">
        <v>5</v>
      </c>
      <c r="B6" s="84" t="s">
        <v>5</v>
      </c>
      <c r="C6" s="91" t="e">
        <f>('16.1н'!#REF!+'16.2н'!#REF!+'16.3н'!#REF!)/3</f>
        <v>#REF!</v>
      </c>
      <c r="D6" s="91" t="e">
        <f>('16.1н'!#REF!+'16.2н'!#REF!+'16.3н'!#REF!)/3</f>
        <v>#REF!</v>
      </c>
      <c r="E6" s="91">
        <f>('16.1н'!E6+'16.2н'!E6+'16.3н'!E6)/3</f>
        <v>0</v>
      </c>
      <c r="F6" s="91">
        <f>('16.1н'!F6+'16.2н'!F6+'16.3н'!F6)/3</f>
        <v>0</v>
      </c>
      <c r="G6" s="91">
        <f>('16.1н'!G6+'16.2н'!G6+'16.3н'!G6)/3</f>
        <v>0</v>
      </c>
      <c r="H6" s="91">
        <f>('16.1н'!H6+'16.2н'!H6+'16.3н'!H6)/3</f>
        <v>0</v>
      </c>
      <c r="I6" s="91">
        <f>('16.1н'!I6+'16.2н'!I6+'16.3н'!I6)/3</f>
        <v>0</v>
      </c>
      <c r="J6" s="91">
        <f>('16.1н'!J6+'16.2н'!J6+'16.3н'!J6)/3</f>
        <v>0</v>
      </c>
      <c r="K6" s="91">
        <f>('16.1н'!K6+'16.2н'!K6+'16.3н'!K6)/3</f>
        <v>0</v>
      </c>
      <c r="L6" s="91">
        <f>('16.1н'!L6+'16.2н'!L6+'16.3н'!L6)/3</f>
        <v>0</v>
      </c>
      <c r="M6" s="91">
        <f>('16.1н'!M6+'16.2н'!M6+'16.3н'!M6)/3</f>
        <v>0</v>
      </c>
      <c r="N6" s="91">
        <f>('16.1н'!N6+'16.2н'!N6+'16.3н'!N6)/3</f>
        <v>0</v>
      </c>
      <c r="O6" s="91">
        <f>('16.1н'!O6+'16.2н'!O6+'16.3н'!O6)/3</f>
        <v>0</v>
      </c>
      <c r="P6" s="91">
        <f>('16.1н'!P6+'16.2н'!P6+'16.3н'!P6)/3</f>
        <v>0</v>
      </c>
      <c r="Q6" s="91">
        <f>('16.1н'!Q6+'16.2н'!Q6+'16.3н'!Q6)/3</f>
        <v>0</v>
      </c>
      <c r="R6" s="91">
        <f>('16.1н'!B6+'16.2н'!B6+'16.3н'!B6)/3</f>
        <v>0.43378698642498409</v>
      </c>
    </row>
    <row r="7" spans="1:18" x14ac:dyDescent="0.25">
      <c r="A7" s="84">
        <v>6</v>
      </c>
      <c r="B7" s="84" t="s">
        <v>6</v>
      </c>
      <c r="C7" s="91" t="e">
        <f>('16.1н'!#REF!+'16.2н'!#REF!+'16.3н'!#REF!)/3</f>
        <v>#REF!</v>
      </c>
      <c r="D7" s="91" t="e">
        <f>('16.1н'!#REF!+'16.2н'!#REF!+'16.3н'!#REF!)/3</f>
        <v>#REF!</v>
      </c>
      <c r="E7" s="91">
        <f>('16.1н'!E7+'16.2н'!E7+'16.3н'!E7)/3</f>
        <v>0</v>
      </c>
      <c r="F7" s="91">
        <f>('16.1н'!F7+'16.2н'!F7+'16.3н'!F7)/3</f>
        <v>0</v>
      </c>
      <c r="G7" s="91">
        <f>('16.1н'!G7+'16.2н'!G7+'16.3н'!G7)/3</f>
        <v>0</v>
      </c>
      <c r="H7" s="91">
        <f>('16.1н'!H7+'16.2н'!H7+'16.3н'!H7)/3</f>
        <v>0</v>
      </c>
      <c r="I7" s="91">
        <f>('16.1н'!I7+'16.2н'!I7+'16.3н'!I7)/3</f>
        <v>0</v>
      </c>
      <c r="J7" s="91">
        <f>('16.1н'!J7+'16.2н'!J7+'16.3н'!J7)/3</f>
        <v>0</v>
      </c>
      <c r="K7" s="91">
        <f>('16.1н'!K7+'16.2н'!K7+'16.3н'!K7)/3</f>
        <v>0</v>
      </c>
      <c r="L7" s="91">
        <f>('16.1н'!L7+'16.2н'!L7+'16.3н'!L7)/3</f>
        <v>0</v>
      </c>
      <c r="M7" s="91">
        <f>('16.1н'!M7+'16.2н'!M7+'16.3н'!M7)/3</f>
        <v>0</v>
      </c>
      <c r="N7" s="91">
        <f>('16.1н'!N7+'16.2н'!N7+'16.3н'!N7)/3</f>
        <v>0</v>
      </c>
      <c r="O7" s="91">
        <f>('16.1н'!O7+'16.2н'!O7+'16.3н'!O7)/3</f>
        <v>0</v>
      </c>
      <c r="P7" s="91">
        <f>('16.1н'!P7+'16.2н'!P7+'16.3н'!P7)/3</f>
        <v>0</v>
      </c>
      <c r="Q7" s="91">
        <f>('16.1н'!Q7+'16.2н'!Q7+'16.3н'!Q7)/3</f>
        <v>0</v>
      </c>
      <c r="R7" s="91">
        <f>('16.1н'!B7+'16.2н'!B7+'16.3н'!B7)/3</f>
        <v>0.52769202178157448</v>
      </c>
    </row>
    <row r="8" spans="1:18" x14ac:dyDescent="0.25">
      <c r="A8" s="84">
        <v>7</v>
      </c>
      <c r="B8" s="84" t="s">
        <v>7</v>
      </c>
      <c r="C8" s="91" t="e">
        <f>('16.1н'!#REF!+'16.2н'!#REF!+'16.3н'!#REF!)/3</f>
        <v>#REF!</v>
      </c>
      <c r="D8" s="91" t="e">
        <f>('16.1н'!#REF!+'16.2н'!#REF!+'16.3н'!#REF!)/3</f>
        <v>#REF!</v>
      </c>
      <c r="E8" s="91">
        <f>('16.1н'!E8+'16.2н'!E8+'16.3н'!E8)/3</f>
        <v>0</v>
      </c>
      <c r="F8" s="91">
        <f>('16.1н'!F8+'16.2н'!F8+'16.3н'!F8)/3</f>
        <v>0</v>
      </c>
      <c r="G8" s="91">
        <f>('16.1н'!G8+'16.2н'!G8+'16.3н'!G8)/3</f>
        <v>0</v>
      </c>
      <c r="H8" s="91">
        <f>('16.1н'!H8+'16.2н'!H8+'16.3н'!H8)/3</f>
        <v>0</v>
      </c>
      <c r="I8" s="91">
        <f>('16.1н'!I8+'16.2н'!I8+'16.3н'!I8)/3</f>
        <v>0</v>
      </c>
      <c r="J8" s="91">
        <f>('16.1н'!J8+'16.2н'!J8+'16.3н'!J8)/3</f>
        <v>0</v>
      </c>
      <c r="K8" s="91">
        <f>('16.1н'!K8+'16.2н'!K8+'16.3н'!K8)/3</f>
        <v>0</v>
      </c>
      <c r="L8" s="91">
        <f>('16.1н'!L8+'16.2н'!L8+'16.3н'!L8)/3</f>
        <v>0</v>
      </c>
      <c r="M8" s="91">
        <f>('16.1н'!M8+'16.2н'!M8+'16.3н'!M8)/3</f>
        <v>0</v>
      </c>
      <c r="N8" s="91">
        <f>('16.1н'!N8+'16.2н'!N8+'16.3н'!N8)/3</f>
        <v>0</v>
      </c>
      <c r="O8" s="91">
        <f>('16.1н'!O8+'16.2н'!O8+'16.3н'!O8)/3</f>
        <v>0</v>
      </c>
      <c r="P8" s="91">
        <f>('16.1н'!P8+'16.2н'!P8+'16.3н'!P8)/3</f>
        <v>0</v>
      </c>
      <c r="Q8" s="91">
        <f>('16.1н'!Q8+'16.2н'!Q8+'16.3н'!Q8)/3</f>
        <v>0</v>
      </c>
      <c r="R8" s="91">
        <f>('16.1н'!B8+'16.2н'!B8+'16.3н'!B8)/3</f>
        <v>0.43628938667173905</v>
      </c>
    </row>
    <row r="9" spans="1:18" x14ac:dyDescent="0.25">
      <c r="A9" s="84">
        <v>8</v>
      </c>
      <c r="B9" s="84" t="s">
        <v>8</v>
      </c>
      <c r="C9" s="91" t="e">
        <f>('16.1н'!#REF!+'16.2н'!#REF!+'16.3н'!#REF!)/3</f>
        <v>#REF!</v>
      </c>
      <c r="D9" s="91" t="e">
        <f>('16.1н'!#REF!+'16.2н'!#REF!+'16.3н'!#REF!)/3</f>
        <v>#REF!</v>
      </c>
      <c r="E9" s="91">
        <f>('16.1н'!E9+'16.2н'!E9+'16.3н'!E9)/3</f>
        <v>0</v>
      </c>
      <c r="F9" s="91">
        <f>('16.1н'!F9+'16.2н'!F9+'16.3н'!F9)/3</f>
        <v>0</v>
      </c>
      <c r="G9" s="91">
        <f>('16.1н'!G9+'16.2н'!G9+'16.3н'!G9)/3</f>
        <v>0</v>
      </c>
      <c r="H9" s="91">
        <f>('16.1н'!H9+'16.2н'!H9+'16.3н'!H9)/3</f>
        <v>0</v>
      </c>
      <c r="I9" s="91">
        <f>('16.1н'!I9+'16.2н'!I9+'16.3н'!I9)/3</f>
        <v>0</v>
      </c>
      <c r="J9" s="91">
        <f>('16.1н'!J9+'16.2н'!J9+'16.3н'!J9)/3</f>
        <v>0</v>
      </c>
      <c r="K9" s="91">
        <f>('16.1н'!K9+'16.2н'!K9+'16.3н'!K9)/3</f>
        <v>0</v>
      </c>
      <c r="L9" s="91">
        <f>('16.1н'!L9+'16.2н'!L9+'16.3н'!L9)/3</f>
        <v>0</v>
      </c>
      <c r="M9" s="91">
        <f>('16.1н'!M9+'16.2н'!M9+'16.3н'!M9)/3</f>
        <v>0</v>
      </c>
      <c r="N9" s="91">
        <f>('16.1н'!N9+'16.2н'!N9+'16.3н'!N9)/3</f>
        <v>0</v>
      </c>
      <c r="O9" s="91">
        <f>('16.1н'!O9+'16.2н'!O9+'16.3н'!O9)/3</f>
        <v>0</v>
      </c>
      <c r="P9" s="91">
        <f>('16.1н'!P9+'16.2н'!P9+'16.3н'!P9)/3</f>
        <v>0</v>
      </c>
      <c r="Q9" s="91">
        <f>('16.1н'!Q9+'16.2н'!Q9+'16.3н'!Q9)/3</f>
        <v>0</v>
      </c>
      <c r="R9" s="91">
        <f>('16.1н'!B9+'16.2н'!B9+'16.3н'!B9)/3</f>
        <v>0.45081417370310239</v>
      </c>
    </row>
    <row r="10" spans="1:18" x14ac:dyDescent="0.25">
      <c r="A10" s="84">
        <v>9</v>
      </c>
      <c r="B10" s="84" t="s">
        <v>9</v>
      </c>
      <c r="C10" s="91" t="e">
        <f>('16.1н'!#REF!+'16.2н'!#REF!+'16.3н'!#REF!)/3</f>
        <v>#REF!</v>
      </c>
      <c r="D10" s="91" t="e">
        <f>('16.1н'!#REF!+'16.2н'!#REF!+'16.3н'!#REF!)/3</f>
        <v>#REF!</v>
      </c>
      <c r="E10" s="91">
        <f>('16.1н'!E10+'16.2н'!E10+'16.3н'!E10)/3</f>
        <v>0</v>
      </c>
      <c r="F10" s="91">
        <f>('16.1н'!F10+'16.2н'!F10+'16.3н'!F10)/3</f>
        <v>0</v>
      </c>
      <c r="G10" s="91">
        <f>('16.1н'!G10+'16.2н'!G10+'16.3н'!G10)/3</f>
        <v>0</v>
      </c>
      <c r="H10" s="91">
        <f>('16.1н'!H10+'16.2н'!H10+'16.3н'!H10)/3</f>
        <v>0</v>
      </c>
      <c r="I10" s="91">
        <f>('16.1н'!I10+'16.2н'!I10+'16.3н'!I10)/3</f>
        <v>0</v>
      </c>
      <c r="J10" s="91">
        <f>('16.1н'!J10+'16.2н'!J10+'16.3н'!J10)/3</f>
        <v>0</v>
      </c>
      <c r="K10" s="91">
        <f>('16.1н'!K10+'16.2н'!K10+'16.3н'!K10)/3</f>
        <v>0</v>
      </c>
      <c r="L10" s="91">
        <f>('16.1н'!L10+'16.2н'!L10+'16.3н'!L10)/3</f>
        <v>0</v>
      </c>
      <c r="M10" s="91">
        <f>('16.1н'!M10+'16.2н'!M10+'16.3н'!M10)/3</f>
        <v>0</v>
      </c>
      <c r="N10" s="91">
        <f>('16.1н'!N10+'16.2н'!N10+'16.3н'!N10)/3</f>
        <v>0</v>
      </c>
      <c r="O10" s="91">
        <f>('16.1н'!O10+'16.2н'!O10+'16.3н'!O10)/3</f>
        <v>0</v>
      </c>
      <c r="P10" s="91">
        <f>('16.1н'!P10+'16.2н'!P10+'16.3н'!P10)/3</f>
        <v>0</v>
      </c>
      <c r="Q10" s="91">
        <f>('16.1н'!Q10+'16.2н'!Q10+'16.3н'!Q10)/3</f>
        <v>0</v>
      </c>
      <c r="R10" s="91">
        <f>('16.1н'!B10+'16.2н'!B10+'16.3н'!B10)/3</f>
        <v>0.57004351190566382</v>
      </c>
    </row>
    <row r="11" spans="1:18" x14ac:dyDescent="0.25">
      <c r="A11" s="84">
        <v>10</v>
      </c>
      <c r="B11" s="84" t="s">
        <v>10</v>
      </c>
      <c r="C11" s="91" t="e">
        <f>('16.1н'!#REF!+'16.2н'!#REF!+'16.3н'!#REF!)/3</f>
        <v>#REF!</v>
      </c>
      <c r="D11" s="91" t="e">
        <f>('16.1н'!#REF!+'16.2н'!#REF!+'16.3н'!#REF!)/3</f>
        <v>#REF!</v>
      </c>
      <c r="E11" s="91">
        <f>('16.1н'!E11+'16.2н'!E11+'16.3н'!E11)/3</f>
        <v>0</v>
      </c>
      <c r="F11" s="91">
        <f>('16.1н'!F11+'16.2н'!F11+'16.3н'!F11)/3</f>
        <v>0</v>
      </c>
      <c r="G11" s="91">
        <f>('16.1н'!G11+'16.2н'!G11+'16.3н'!G11)/3</f>
        <v>0</v>
      </c>
      <c r="H11" s="91">
        <f>('16.1н'!H11+'16.2н'!H11+'16.3н'!H11)/3</f>
        <v>0</v>
      </c>
      <c r="I11" s="91">
        <f>('16.1н'!I11+'16.2н'!I11+'16.3н'!I11)/3</f>
        <v>0</v>
      </c>
      <c r="J11" s="91">
        <f>('16.1н'!J11+'16.2н'!J11+'16.3н'!J11)/3</f>
        <v>0</v>
      </c>
      <c r="K11" s="91">
        <f>('16.1н'!K11+'16.2н'!K11+'16.3н'!K11)/3</f>
        <v>0</v>
      </c>
      <c r="L11" s="91">
        <f>('16.1н'!L11+'16.2н'!L11+'16.3н'!L11)/3</f>
        <v>0</v>
      </c>
      <c r="M11" s="91">
        <f>('16.1н'!M11+'16.2н'!M11+'16.3н'!M11)/3</f>
        <v>0</v>
      </c>
      <c r="N11" s="91">
        <f>('16.1н'!N11+'16.2н'!N11+'16.3н'!N11)/3</f>
        <v>0</v>
      </c>
      <c r="O11" s="91">
        <f>('16.1н'!O11+'16.2н'!O11+'16.3н'!O11)/3</f>
        <v>0</v>
      </c>
      <c r="P11" s="91">
        <f>('16.1н'!P11+'16.2н'!P11+'16.3н'!P11)/3</f>
        <v>0</v>
      </c>
      <c r="Q11" s="91">
        <f>('16.1н'!Q11+'16.2н'!Q11+'16.3н'!Q11)/3</f>
        <v>0</v>
      </c>
      <c r="R11" s="91">
        <f>('16.1н'!B11+'16.2н'!B11+'16.3н'!B11)/3</f>
        <v>0.58521927632933624</v>
      </c>
    </row>
    <row r="12" spans="1:18" x14ac:dyDescent="0.25">
      <c r="A12" s="84">
        <v>11</v>
      </c>
      <c r="B12" s="84" t="s">
        <v>11</v>
      </c>
      <c r="C12" s="91" t="e">
        <f>('16.1н'!#REF!+'16.2н'!#REF!+'16.3н'!#REF!)/3</f>
        <v>#REF!</v>
      </c>
      <c r="D12" s="91" t="e">
        <f>('16.1н'!#REF!+'16.2н'!#REF!+'16.3н'!#REF!)/3</f>
        <v>#REF!</v>
      </c>
      <c r="E12" s="91">
        <f>('16.1н'!E12+'16.2н'!E12+'16.3н'!E12)/3</f>
        <v>0</v>
      </c>
      <c r="F12" s="91">
        <f>('16.1н'!F12+'16.2н'!F12+'16.3н'!F12)/3</f>
        <v>0</v>
      </c>
      <c r="G12" s="91">
        <f>('16.1н'!G12+'16.2н'!G12+'16.3н'!G12)/3</f>
        <v>0</v>
      </c>
      <c r="H12" s="91">
        <f>('16.1н'!H12+'16.2н'!H12+'16.3н'!H12)/3</f>
        <v>0</v>
      </c>
      <c r="I12" s="91">
        <f>('16.1н'!I12+'16.2н'!I12+'16.3н'!I12)/3</f>
        <v>0</v>
      </c>
      <c r="J12" s="91">
        <f>('16.1н'!J12+'16.2н'!J12+'16.3н'!J12)/3</f>
        <v>0</v>
      </c>
      <c r="K12" s="91">
        <f>('16.1н'!K12+'16.2н'!K12+'16.3н'!K12)/3</f>
        <v>0</v>
      </c>
      <c r="L12" s="91">
        <f>('16.1н'!L12+'16.2н'!L12+'16.3н'!L12)/3</f>
        <v>0</v>
      </c>
      <c r="M12" s="91">
        <f>('16.1н'!M12+'16.2н'!M12+'16.3н'!M12)/3</f>
        <v>0</v>
      </c>
      <c r="N12" s="91">
        <f>('16.1н'!N12+'16.2н'!N12+'16.3н'!N12)/3</f>
        <v>0</v>
      </c>
      <c r="O12" s="91">
        <f>('16.1н'!O12+'16.2н'!O12+'16.3н'!O12)/3</f>
        <v>0</v>
      </c>
      <c r="P12" s="91">
        <f>('16.1н'!P12+'16.2н'!P12+'16.3н'!P12)/3</f>
        <v>0</v>
      </c>
      <c r="Q12" s="91">
        <f>('16.1н'!Q12+'16.2н'!Q12+'16.3н'!Q12)/3</f>
        <v>0</v>
      </c>
      <c r="R12" s="91">
        <f>('16.1н'!B12+'16.2н'!B12+'16.3н'!B12)/3</f>
        <v>0.4982383312147034</v>
      </c>
    </row>
    <row r="13" spans="1:18" x14ac:dyDescent="0.25">
      <c r="A13" s="84">
        <v>12</v>
      </c>
      <c r="B13" s="84" t="s">
        <v>12</v>
      </c>
      <c r="C13" s="91" t="e">
        <f>('16.1н'!#REF!+'16.2н'!#REF!+'16.3н'!#REF!)/3</f>
        <v>#REF!</v>
      </c>
      <c r="D13" s="91" t="e">
        <f>('16.1н'!#REF!+'16.2н'!#REF!+'16.3н'!#REF!)/3</f>
        <v>#REF!</v>
      </c>
      <c r="E13" s="91">
        <f>('16.1н'!E13+'16.2н'!E13+'16.3н'!E13)/3</f>
        <v>0</v>
      </c>
      <c r="F13" s="91">
        <f>('16.1н'!F13+'16.2н'!F13+'16.3н'!F13)/3</f>
        <v>0</v>
      </c>
      <c r="G13" s="91">
        <f>('16.1н'!G13+'16.2н'!G13+'16.3н'!G13)/3</f>
        <v>0</v>
      </c>
      <c r="H13" s="91">
        <f>('16.1н'!H13+'16.2н'!H13+'16.3н'!H13)/3</f>
        <v>0</v>
      </c>
      <c r="I13" s="91">
        <f>('16.1н'!I13+'16.2н'!I13+'16.3н'!I13)/3</f>
        <v>0</v>
      </c>
      <c r="J13" s="91">
        <f>('16.1н'!J13+'16.2н'!J13+'16.3н'!J13)/3</f>
        <v>0</v>
      </c>
      <c r="K13" s="91">
        <f>('16.1н'!K13+'16.2н'!K13+'16.3н'!K13)/3</f>
        <v>0</v>
      </c>
      <c r="L13" s="91">
        <f>('16.1н'!L13+'16.2н'!L13+'16.3н'!L13)/3</f>
        <v>0</v>
      </c>
      <c r="M13" s="91">
        <f>('16.1н'!M13+'16.2н'!M13+'16.3н'!M13)/3</f>
        <v>0</v>
      </c>
      <c r="N13" s="91">
        <f>('16.1н'!N13+'16.2н'!N13+'16.3н'!N13)/3</f>
        <v>0</v>
      </c>
      <c r="O13" s="91">
        <f>('16.1н'!O13+'16.2н'!O13+'16.3н'!O13)/3</f>
        <v>0</v>
      </c>
      <c r="P13" s="91">
        <f>('16.1н'!P13+'16.2н'!P13+'16.3н'!P13)/3</f>
        <v>0</v>
      </c>
      <c r="Q13" s="91">
        <f>('16.1н'!Q13+'16.2н'!Q13+'16.3н'!Q13)/3</f>
        <v>0</v>
      </c>
      <c r="R13" s="91">
        <f>('16.1н'!B13+'16.2н'!B13+'16.3н'!B13)/3</f>
        <v>0.53039533613711054</v>
      </c>
    </row>
    <row r="14" spans="1:18" x14ac:dyDescent="0.25">
      <c r="A14" s="84">
        <v>13</v>
      </c>
      <c r="B14" s="84" t="s">
        <v>13</v>
      </c>
      <c r="C14" s="91" t="e">
        <f>('16.1н'!#REF!+'16.2н'!#REF!+'16.3н'!#REF!)/3</f>
        <v>#REF!</v>
      </c>
      <c r="D14" s="91" t="e">
        <f>('16.1н'!#REF!+'16.2н'!#REF!+'16.3н'!#REF!)/3</f>
        <v>#REF!</v>
      </c>
      <c r="E14" s="91">
        <f>('16.1н'!E14+'16.2н'!E14+'16.3н'!E14)/3</f>
        <v>0</v>
      </c>
      <c r="F14" s="91">
        <f>('16.1н'!F14+'16.2н'!F14+'16.3н'!F14)/3</f>
        <v>0</v>
      </c>
      <c r="G14" s="91">
        <f>('16.1н'!G14+'16.2н'!G14+'16.3н'!G14)/3</f>
        <v>0</v>
      </c>
      <c r="H14" s="91">
        <f>('16.1н'!H14+'16.2н'!H14+'16.3н'!H14)/3</f>
        <v>0</v>
      </c>
      <c r="I14" s="91">
        <f>('16.1н'!I14+'16.2н'!I14+'16.3н'!I14)/3</f>
        <v>0</v>
      </c>
      <c r="J14" s="91">
        <f>('16.1н'!J14+'16.2н'!J14+'16.3н'!J14)/3</f>
        <v>0</v>
      </c>
      <c r="K14" s="91">
        <f>('16.1н'!K14+'16.2н'!K14+'16.3н'!K14)/3</f>
        <v>0</v>
      </c>
      <c r="L14" s="91">
        <f>('16.1н'!L14+'16.2н'!L14+'16.3н'!L14)/3</f>
        <v>0</v>
      </c>
      <c r="M14" s="91">
        <f>('16.1н'!M14+'16.2н'!M14+'16.3н'!M14)/3</f>
        <v>0</v>
      </c>
      <c r="N14" s="91">
        <f>('16.1н'!N14+'16.2н'!N14+'16.3н'!N14)/3</f>
        <v>0</v>
      </c>
      <c r="O14" s="91">
        <f>('16.1н'!O14+'16.2н'!O14+'16.3н'!O14)/3</f>
        <v>0</v>
      </c>
      <c r="P14" s="91">
        <f>('16.1н'!P14+'16.2н'!P14+'16.3н'!P14)/3</f>
        <v>0</v>
      </c>
      <c r="Q14" s="91">
        <f>('16.1н'!Q14+'16.2н'!Q14+'16.3н'!Q14)/3</f>
        <v>0</v>
      </c>
      <c r="R14" s="91">
        <f>('16.1н'!B14+'16.2н'!B14+'16.3н'!B14)/3</f>
        <v>0.49052530998863109</v>
      </c>
    </row>
    <row r="15" spans="1:18" x14ac:dyDescent="0.25">
      <c r="A15" s="84">
        <v>14</v>
      </c>
      <c r="B15" s="84" t="s">
        <v>14</v>
      </c>
      <c r="C15" s="91" t="e">
        <f>('16.1н'!#REF!+'16.2н'!#REF!+'16.3н'!#REF!)/3</f>
        <v>#REF!</v>
      </c>
      <c r="D15" s="91" t="e">
        <f>('16.1н'!#REF!+'16.2н'!#REF!+'16.3н'!#REF!)/3</f>
        <v>#REF!</v>
      </c>
      <c r="E15" s="91">
        <f>('16.1н'!E15+'16.2н'!E15+'16.3н'!E15)/3</f>
        <v>0</v>
      </c>
      <c r="F15" s="91">
        <f>('16.1н'!F15+'16.2н'!F15+'16.3н'!F15)/3</f>
        <v>0</v>
      </c>
      <c r="G15" s="91">
        <f>('16.1н'!G15+'16.2н'!G15+'16.3н'!G15)/3</f>
        <v>0</v>
      </c>
      <c r="H15" s="91">
        <f>('16.1н'!H15+'16.2н'!H15+'16.3н'!H15)/3</f>
        <v>0</v>
      </c>
      <c r="I15" s="91">
        <f>('16.1н'!I15+'16.2н'!I15+'16.3н'!I15)/3</f>
        <v>0</v>
      </c>
      <c r="J15" s="91">
        <f>('16.1н'!J15+'16.2н'!J15+'16.3н'!J15)/3</f>
        <v>0</v>
      </c>
      <c r="K15" s="91">
        <f>('16.1н'!K15+'16.2н'!K15+'16.3н'!K15)/3</f>
        <v>0</v>
      </c>
      <c r="L15" s="91">
        <f>('16.1н'!L15+'16.2н'!L15+'16.3н'!L15)/3</f>
        <v>0</v>
      </c>
      <c r="M15" s="91">
        <f>('16.1н'!M15+'16.2н'!M15+'16.3н'!M15)/3</f>
        <v>0</v>
      </c>
      <c r="N15" s="91">
        <f>('16.1н'!N15+'16.2н'!N15+'16.3н'!N15)/3</f>
        <v>0</v>
      </c>
      <c r="O15" s="91">
        <f>('16.1н'!O15+'16.2н'!O15+'16.3н'!O15)/3</f>
        <v>0</v>
      </c>
      <c r="P15" s="91">
        <f>('16.1н'!P15+'16.2н'!P15+'16.3н'!P15)/3</f>
        <v>0</v>
      </c>
      <c r="Q15" s="91">
        <f>('16.1н'!Q15+'16.2н'!Q15+'16.3н'!Q15)/3</f>
        <v>0</v>
      </c>
      <c r="R15" s="91">
        <f>('16.1н'!B15+'16.2н'!B15+'16.3н'!B15)/3</f>
        <v>0.52804308091383945</v>
      </c>
    </row>
    <row r="16" spans="1:18" x14ac:dyDescent="0.25">
      <c r="A16" s="84">
        <v>15</v>
      </c>
      <c r="B16" s="84" t="s">
        <v>15</v>
      </c>
      <c r="C16" s="91" t="e">
        <f>('16.1н'!#REF!+'16.2н'!#REF!+'16.3н'!#REF!)/3</f>
        <v>#REF!</v>
      </c>
      <c r="D16" s="91" t="e">
        <f>('16.1н'!#REF!+'16.2н'!#REF!+'16.3н'!#REF!)/3</f>
        <v>#REF!</v>
      </c>
      <c r="E16" s="91">
        <f>('16.1н'!E16+'16.2н'!E16+'16.3н'!E16)/3</f>
        <v>0</v>
      </c>
      <c r="F16" s="91">
        <f>('16.1н'!F16+'16.2н'!F16+'16.3н'!F16)/3</f>
        <v>0</v>
      </c>
      <c r="G16" s="91">
        <f>('16.1н'!G16+'16.2н'!G16+'16.3н'!G16)/3</f>
        <v>0</v>
      </c>
      <c r="H16" s="91">
        <f>('16.1н'!H16+'16.2н'!H16+'16.3н'!H16)/3</f>
        <v>0</v>
      </c>
      <c r="I16" s="91">
        <f>('16.1н'!I16+'16.2н'!I16+'16.3н'!I16)/3</f>
        <v>0</v>
      </c>
      <c r="J16" s="91">
        <f>('16.1н'!J16+'16.2н'!J16+'16.3н'!J16)/3</f>
        <v>0</v>
      </c>
      <c r="K16" s="91">
        <f>('16.1н'!K16+'16.2н'!K16+'16.3н'!K16)/3</f>
        <v>0</v>
      </c>
      <c r="L16" s="91">
        <f>('16.1н'!L16+'16.2н'!L16+'16.3н'!L16)/3</f>
        <v>0</v>
      </c>
      <c r="M16" s="91">
        <f>('16.1н'!M16+'16.2н'!M16+'16.3н'!M16)/3</f>
        <v>0</v>
      </c>
      <c r="N16" s="91">
        <f>('16.1н'!N16+'16.2н'!N16+'16.3н'!N16)/3</f>
        <v>0</v>
      </c>
      <c r="O16" s="91">
        <f>('16.1н'!O16+'16.2н'!O16+'16.3н'!O16)/3</f>
        <v>0</v>
      </c>
      <c r="P16" s="91">
        <f>('16.1н'!P16+'16.2н'!P16+'16.3н'!P16)/3</f>
        <v>0</v>
      </c>
      <c r="Q16" s="91">
        <f>('16.1н'!Q16+'16.2н'!Q16+'16.3н'!Q16)/3</f>
        <v>0</v>
      </c>
      <c r="R16" s="91">
        <f>('16.1н'!B16+'16.2н'!B16+'16.3н'!B16)/3</f>
        <v>0.52017403677807783</v>
      </c>
    </row>
    <row r="17" spans="1:18" x14ac:dyDescent="0.25">
      <c r="A17" s="84">
        <v>16</v>
      </c>
      <c r="B17" s="84" t="s">
        <v>16</v>
      </c>
      <c r="C17" s="91" t="e">
        <f>('16.1н'!#REF!+'16.2н'!#REF!+'16.3н'!#REF!)/3</f>
        <v>#REF!</v>
      </c>
      <c r="D17" s="91" t="e">
        <f>('16.1н'!#REF!+'16.2н'!#REF!+'16.3н'!#REF!)/3</f>
        <v>#REF!</v>
      </c>
      <c r="E17" s="91">
        <f>('16.1н'!E17+'16.2н'!E17+'16.3н'!E17)/3</f>
        <v>0</v>
      </c>
      <c r="F17" s="91">
        <f>('16.1н'!F17+'16.2н'!F17+'16.3н'!F17)/3</f>
        <v>0</v>
      </c>
      <c r="G17" s="91">
        <f>('16.1н'!G17+'16.2н'!G17+'16.3н'!G17)/3</f>
        <v>0</v>
      </c>
      <c r="H17" s="91">
        <f>('16.1н'!H17+'16.2н'!H17+'16.3н'!H17)/3</f>
        <v>0</v>
      </c>
      <c r="I17" s="91">
        <f>('16.1н'!I17+'16.2н'!I17+'16.3н'!I17)/3</f>
        <v>0</v>
      </c>
      <c r="J17" s="91">
        <f>('16.1н'!J17+'16.2н'!J17+'16.3н'!J17)/3</f>
        <v>0</v>
      </c>
      <c r="K17" s="91">
        <f>('16.1н'!K17+'16.2н'!K17+'16.3н'!K17)/3</f>
        <v>0</v>
      </c>
      <c r="L17" s="91">
        <f>('16.1н'!L17+'16.2н'!L17+'16.3н'!L17)/3</f>
        <v>0</v>
      </c>
      <c r="M17" s="91">
        <f>('16.1н'!M17+'16.2н'!M17+'16.3н'!M17)/3</f>
        <v>0</v>
      </c>
      <c r="N17" s="91">
        <f>('16.1н'!N17+'16.2н'!N17+'16.3н'!N17)/3</f>
        <v>0</v>
      </c>
      <c r="O17" s="91">
        <f>('16.1н'!O17+'16.2н'!O17+'16.3н'!O17)/3</f>
        <v>0</v>
      </c>
      <c r="P17" s="91">
        <f>('16.1н'!P17+'16.2н'!P17+'16.3н'!P17)/3</f>
        <v>0</v>
      </c>
      <c r="Q17" s="91">
        <f>('16.1н'!Q17+'16.2н'!Q17+'16.3н'!Q17)/3</f>
        <v>0</v>
      </c>
      <c r="R17" s="91">
        <f>('16.1н'!B17+'16.2н'!B17+'16.3н'!B17)/3</f>
        <v>0.4942976367367351</v>
      </c>
    </row>
    <row r="18" spans="1:18" x14ac:dyDescent="0.25">
      <c r="A18" s="84">
        <v>17</v>
      </c>
      <c r="B18" s="84" t="s">
        <v>17</v>
      </c>
      <c r="C18" s="91" t="e">
        <f>('16.1н'!#REF!+'16.2н'!#REF!+'16.3н'!#REF!)/3</f>
        <v>#REF!</v>
      </c>
      <c r="D18" s="91" t="e">
        <f>('16.1н'!#REF!+'16.2н'!#REF!+'16.3н'!#REF!)/3</f>
        <v>#REF!</v>
      </c>
      <c r="E18" s="91">
        <f>('16.1н'!E18+'16.2н'!E18+'16.3н'!E18)/3</f>
        <v>0</v>
      </c>
      <c r="F18" s="91">
        <f>('16.1н'!F18+'16.2н'!F18+'16.3н'!F18)/3</f>
        <v>0</v>
      </c>
      <c r="G18" s="91">
        <f>('16.1н'!G18+'16.2н'!G18+'16.3н'!G18)/3</f>
        <v>0</v>
      </c>
      <c r="H18" s="91">
        <f>('16.1н'!H18+'16.2н'!H18+'16.3н'!H18)/3</f>
        <v>0</v>
      </c>
      <c r="I18" s="91">
        <f>('16.1н'!I18+'16.2н'!I18+'16.3н'!I18)/3</f>
        <v>0</v>
      </c>
      <c r="J18" s="91">
        <f>('16.1н'!J18+'16.2н'!J18+'16.3н'!J18)/3</f>
        <v>0</v>
      </c>
      <c r="K18" s="91">
        <f>('16.1н'!K18+'16.2н'!K18+'16.3н'!K18)/3</f>
        <v>0</v>
      </c>
      <c r="L18" s="91">
        <f>('16.1н'!L18+'16.2н'!L18+'16.3н'!L18)/3</f>
        <v>0</v>
      </c>
      <c r="M18" s="91">
        <f>('16.1н'!M18+'16.2н'!M18+'16.3н'!M18)/3</f>
        <v>0</v>
      </c>
      <c r="N18" s="91">
        <f>('16.1н'!N18+'16.2н'!N18+'16.3н'!N18)/3</f>
        <v>0</v>
      </c>
      <c r="O18" s="91">
        <f>('16.1н'!O18+'16.2н'!O18+'16.3н'!O18)/3</f>
        <v>0</v>
      </c>
      <c r="P18" s="91">
        <f>('16.1н'!P18+'16.2н'!P18+'16.3н'!P18)/3</f>
        <v>0</v>
      </c>
      <c r="Q18" s="91">
        <f>('16.1н'!Q18+'16.2н'!Q18+'16.3н'!Q18)/3</f>
        <v>0</v>
      </c>
      <c r="R18" s="91">
        <f>('16.1н'!B18+'16.2н'!B18+'16.3н'!B18)/3</f>
        <v>0.53335831836673808</v>
      </c>
    </row>
    <row r="19" spans="1:18" x14ac:dyDescent="0.25">
      <c r="A19" s="84">
        <v>18</v>
      </c>
      <c r="B19" s="84" t="s">
        <v>18</v>
      </c>
      <c r="C19" s="91" t="e">
        <f>('16.1н'!#REF!+'16.2н'!#REF!+'16.3н'!#REF!)/3</f>
        <v>#REF!</v>
      </c>
      <c r="D19" s="91" t="e">
        <f>('16.1н'!#REF!+'16.2н'!#REF!+'16.3н'!#REF!)/3</f>
        <v>#REF!</v>
      </c>
      <c r="E19" s="91">
        <f>('16.1н'!E19+'16.2н'!E19+'16.3н'!E19)/3</f>
        <v>0</v>
      </c>
      <c r="F19" s="91">
        <f>('16.1н'!F19+'16.2н'!F19+'16.3н'!F19)/3</f>
        <v>0</v>
      </c>
      <c r="G19" s="91">
        <f>('16.1н'!G19+'16.2н'!G19+'16.3н'!G19)/3</f>
        <v>0</v>
      </c>
      <c r="H19" s="91">
        <f>('16.1н'!H19+'16.2н'!H19+'16.3н'!H19)/3</f>
        <v>0</v>
      </c>
      <c r="I19" s="91">
        <f>('16.1н'!I19+'16.2н'!I19+'16.3н'!I19)/3</f>
        <v>0</v>
      </c>
      <c r="J19" s="91">
        <f>('16.1н'!J19+'16.2н'!J19+'16.3н'!J19)/3</f>
        <v>0</v>
      </c>
      <c r="K19" s="91">
        <f>('16.1н'!K19+'16.2н'!K19+'16.3н'!K19)/3</f>
        <v>0</v>
      </c>
      <c r="L19" s="91">
        <f>('16.1н'!L19+'16.2н'!L19+'16.3н'!L19)/3</f>
        <v>0</v>
      </c>
      <c r="M19" s="91">
        <f>('16.1н'!M19+'16.2н'!M19+'16.3н'!M19)/3</f>
        <v>0</v>
      </c>
      <c r="N19" s="91">
        <f>('16.1н'!N19+'16.2н'!N19+'16.3н'!N19)/3</f>
        <v>0</v>
      </c>
      <c r="O19" s="91">
        <f>('16.1н'!O19+'16.2н'!O19+'16.3н'!O19)/3</f>
        <v>0</v>
      </c>
      <c r="P19" s="91">
        <f>('16.1н'!P19+'16.2н'!P19+'16.3н'!P19)/3</f>
        <v>0</v>
      </c>
      <c r="Q19" s="91">
        <f>('16.1н'!Q19+'16.2н'!Q19+'16.3н'!Q19)/3</f>
        <v>0</v>
      </c>
      <c r="R19" s="91">
        <f>('16.1н'!B19+'16.2н'!B19+'16.3н'!B19)/3</f>
        <v>0.42965089014569974</v>
      </c>
    </row>
    <row r="20" spans="1:18" x14ac:dyDescent="0.25">
      <c r="A20" s="84">
        <v>19</v>
      </c>
      <c r="B20" s="84" t="s">
        <v>19</v>
      </c>
      <c r="C20" s="91" t="e">
        <f>('16.1н'!#REF!+'16.2н'!#REF!+'16.3н'!#REF!)/3</f>
        <v>#REF!</v>
      </c>
      <c r="D20" s="91" t="e">
        <f>('16.1н'!#REF!+'16.2н'!#REF!+'16.3н'!#REF!)/3</f>
        <v>#REF!</v>
      </c>
      <c r="E20" s="91">
        <f>('16.1н'!E20+'16.2н'!E20+'16.3н'!E20)/3</f>
        <v>0</v>
      </c>
      <c r="F20" s="91">
        <f>('16.1н'!F20+'16.2н'!F20+'16.3н'!F20)/3</f>
        <v>0</v>
      </c>
      <c r="G20" s="91">
        <f>('16.1н'!G20+'16.2н'!G20+'16.3н'!G20)/3</f>
        <v>0</v>
      </c>
      <c r="H20" s="91">
        <f>('16.1н'!H20+'16.2н'!H20+'16.3н'!H20)/3</f>
        <v>0</v>
      </c>
      <c r="I20" s="91">
        <f>('16.1н'!I20+'16.2н'!I20+'16.3н'!I20)/3</f>
        <v>0</v>
      </c>
      <c r="J20" s="91">
        <f>('16.1н'!J20+'16.2н'!J20+'16.3н'!J20)/3</f>
        <v>0</v>
      </c>
      <c r="K20" s="91">
        <f>('16.1н'!K20+'16.2н'!K20+'16.3н'!K20)/3</f>
        <v>0</v>
      </c>
      <c r="L20" s="91">
        <f>('16.1н'!L20+'16.2н'!L20+'16.3н'!L20)/3</f>
        <v>0</v>
      </c>
      <c r="M20" s="91">
        <f>('16.1н'!M20+'16.2н'!M20+'16.3н'!M20)/3</f>
        <v>0</v>
      </c>
      <c r="N20" s="91">
        <f>('16.1н'!N20+'16.2н'!N20+'16.3н'!N20)/3</f>
        <v>0</v>
      </c>
      <c r="O20" s="91">
        <f>('16.1н'!O20+'16.2н'!O20+'16.3н'!O20)/3</f>
        <v>0</v>
      </c>
      <c r="P20" s="91">
        <f>('16.1н'!P20+'16.2н'!P20+'16.3н'!P20)/3</f>
        <v>0</v>
      </c>
      <c r="Q20" s="91">
        <f>('16.1н'!Q20+'16.2н'!Q20+'16.3н'!Q20)/3</f>
        <v>0</v>
      </c>
      <c r="R20" s="91">
        <f>('16.1н'!B20+'16.2н'!B20+'16.3н'!B20)/3</f>
        <v>0.47625206019506178</v>
      </c>
    </row>
    <row r="21" spans="1:18" x14ac:dyDescent="0.25">
      <c r="A21" s="84">
        <v>20</v>
      </c>
      <c r="B21" s="84" t="s">
        <v>20</v>
      </c>
      <c r="C21" s="91" t="e">
        <f>('16.1н'!#REF!+'16.2н'!#REF!+'16.3н'!#REF!)/3</f>
        <v>#REF!</v>
      </c>
      <c r="D21" s="91" t="e">
        <f>('16.1н'!#REF!+'16.2н'!#REF!+'16.3н'!#REF!)/3</f>
        <v>#REF!</v>
      </c>
      <c r="E21" s="91">
        <f>('16.1н'!E21+'16.2н'!E21+'16.3н'!E21)/3</f>
        <v>0</v>
      </c>
      <c r="F21" s="91">
        <f>('16.1н'!F21+'16.2н'!F21+'16.3н'!F21)/3</f>
        <v>0</v>
      </c>
      <c r="G21" s="91">
        <f>('16.1н'!G21+'16.2н'!G21+'16.3н'!G21)/3</f>
        <v>0</v>
      </c>
      <c r="H21" s="91">
        <f>('16.1н'!H21+'16.2н'!H21+'16.3н'!H21)/3</f>
        <v>0</v>
      </c>
      <c r="I21" s="91">
        <f>('16.1н'!I21+'16.2н'!I21+'16.3н'!I21)/3</f>
        <v>0</v>
      </c>
      <c r="J21" s="91">
        <f>('16.1н'!J21+'16.2н'!J21+'16.3н'!J21)/3</f>
        <v>0</v>
      </c>
      <c r="K21" s="91">
        <f>('16.1н'!K21+'16.2н'!K21+'16.3н'!K21)/3</f>
        <v>0</v>
      </c>
      <c r="L21" s="91">
        <f>('16.1н'!L21+'16.2н'!L21+'16.3н'!L21)/3</f>
        <v>0</v>
      </c>
      <c r="M21" s="91">
        <f>('16.1н'!M21+'16.2н'!M21+'16.3н'!M21)/3</f>
        <v>0</v>
      </c>
      <c r="N21" s="91">
        <f>('16.1н'!N21+'16.2н'!N21+'16.3н'!N21)/3</f>
        <v>0</v>
      </c>
      <c r="O21" s="91">
        <f>('16.1н'!O21+'16.2н'!O21+'16.3н'!O21)/3</f>
        <v>0</v>
      </c>
      <c r="P21" s="91">
        <f>('16.1н'!P21+'16.2н'!P21+'16.3н'!P21)/3</f>
        <v>0</v>
      </c>
      <c r="Q21" s="91">
        <f>('16.1н'!Q21+'16.2н'!Q21+'16.3н'!Q21)/3</f>
        <v>0</v>
      </c>
      <c r="R21" s="91">
        <f>('16.1н'!B21+'16.2н'!B21+'16.3н'!B21)/3</f>
        <v>0.42330772939918643</v>
      </c>
    </row>
    <row r="22" spans="1:18" x14ac:dyDescent="0.25">
      <c r="A22" s="84">
        <v>21</v>
      </c>
      <c r="B22" s="84" t="s">
        <v>21</v>
      </c>
      <c r="C22" s="91" t="e">
        <f>('16.1н'!#REF!+'16.2н'!#REF!+'16.3н'!#REF!)/3</f>
        <v>#REF!</v>
      </c>
      <c r="D22" s="91" t="e">
        <f>('16.1н'!#REF!+'16.2н'!#REF!+'16.3н'!#REF!)/3</f>
        <v>#REF!</v>
      </c>
      <c r="E22" s="91">
        <f>('16.1н'!E22+'16.2н'!E22+'16.3н'!E22)/3</f>
        <v>0</v>
      </c>
      <c r="F22" s="91">
        <f>('16.1н'!F22+'16.2н'!F22+'16.3н'!F22)/3</f>
        <v>0</v>
      </c>
      <c r="G22" s="91">
        <f>('16.1н'!G22+'16.2н'!G22+'16.3н'!G22)/3</f>
        <v>0</v>
      </c>
      <c r="H22" s="91">
        <f>('16.1н'!H22+'16.2н'!H22+'16.3н'!H22)/3</f>
        <v>0</v>
      </c>
      <c r="I22" s="91">
        <f>('16.1н'!I22+'16.2н'!I22+'16.3н'!I22)/3</f>
        <v>0</v>
      </c>
      <c r="J22" s="91">
        <f>('16.1н'!J22+'16.2н'!J22+'16.3н'!J22)/3</f>
        <v>0</v>
      </c>
      <c r="K22" s="91">
        <f>('16.1н'!K22+'16.2н'!K22+'16.3н'!K22)/3</f>
        <v>0</v>
      </c>
      <c r="L22" s="91">
        <f>('16.1н'!L22+'16.2н'!L22+'16.3н'!L22)/3</f>
        <v>0</v>
      </c>
      <c r="M22" s="91">
        <f>('16.1н'!M22+'16.2н'!M22+'16.3н'!M22)/3</f>
        <v>0</v>
      </c>
      <c r="N22" s="91">
        <f>('16.1н'!N22+'16.2н'!N22+'16.3н'!N22)/3</f>
        <v>0</v>
      </c>
      <c r="O22" s="91">
        <f>('16.1н'!O22+'16.2н'!O22+'16.3н'!O22)/3</f>
        <v>0</v>
      </c>
      <c r="P22" s="91">
        <f>('16.1н'!P22+'16.2н'!P22+'16.3н'!P22)/3</f>
        <v>0</v>
      </c>
      <c r="Q22" s="91">
        <f>('16.1н'!Q22+'16.2н'!Q22+'16.3н'!Q22)/3</f>
        <v>0</v>
      </c>
      <c r="R22" s="91">
        <f>('16.1н'!B22+'16.2н'!B22+'16.3н'!B22)/3</f>
        <v>0.41212030878688438</v>
      </c>
    </row>
    <row r="23" spans="1:18" x14ac:dyDescent="0.25">
      <c r="A23" s="84">
        <v>22</v>
      </c>
      <c r="B23" s="84" t="s">
        <v>22</v>
      </c>
      <c r="C23" s="91" t="e">
        <f>('16.1н'!#REF!+'16.2н'!#REF!+'16.3н'!#REF!)/3</f>
        <v>#REF!</v>
      </c>
      <c r="D23" s="91" t="e">
        <f>('16.1н'!#REF!+'16.2н'!#REF!+'16.3н'!#REF!)/3</f>
        <v>#REF!</v>
      </c>
      <c r="E23" s="91">
        <f>('16.1н'!E23+'16.2н'!E23+'16.3н'!E23)/3</f>
        <v>0</v>
      </c>
      <c r="F23" s="91">
        <f>('16.1н'!F23+'16.2н'!F23+'16.3н'!F23)/3</f>
        <v>0</v>
      </c>
      <c r="G23" s="91">
        <f>('16.1н'!G23+'16.2н'!G23+'16.3н'!G23)/3</f>
        <v>0</v>
      </c>
      <c r="H23" s="91">
        <f>('16.1н'!H23+'16.2н'!H23+'16.3н'!H23)/3</f>
        <v>0</v>
      </c>
      <c r="I23" s="91">
        <f>('16.1н'!I23+'16.2н'!I23+'16.3н'!I23)/3</f>
        <v>0</v>
      </c>
      <c r="J23" s="91">
        <f>('16.1н'!J23+'16.2н'!J23+'16.3н'!J23)/3</f>
        <v>0</v>
      </c>
      <c r="K23" s="91">
        <f>('16.1н'!K23+'16.2н'!K23+'16.3н'!K23)/3</f>
        <v>0</v>
      </c>
      <c r="L23" s="91">
        <f>('16.1н'!L23+'16.2н'!L23+'16.3н'!L23)/3</f>
        <v>0</v>
      </c>
      <c r="M23" s="91">
        <f>('16.1н'!M23+'16.2н'!M23+'16.3н'!M23)/3</f>
        <v>0</v>
      </c>
      <c r="N23" s="91">
        <f>('16.1н'!N23+'16.2н'!N23+'16.3н'!N23)/3</f>
        <v>0</v>
      </c>
      <c r="O23" s="91">
        <f>('16.1н'!O23+'16.2н'!O23+'16.3н'!O23)/3</f>
        <v>0</v>
      </c>
      <c r="P23" s="91">
        <f>('16.1н'!P23+'16.2н'!P23+'16.3н'!P23)/3</f>
        <v>0</v>
      </c>
      <c r="Q23" s="91">
        <f>('16.1н'!Q23+'16.2н'!Q23+'16.3н'!Q23)/3</f>
        <v>0</v>
      </c>
      <c r="R23" s="91">
        <f>('16.1н'!B23+'16.2н'!B23+'16.3н'!B23)/3</f>
        <v>0.47458899104632346</v>
      </c>
    </row>
    <row r="24" spans="1:18" x14ac:dyDescent="0.25">
      <c r="A24" s="84">
        <v>23</v>
      </c>
      <c r="B24" s="84" t="s">
        <v>23</v>
      </c>
      <c r="C24" s="91" t="e">
        <f>('16.1н'!#REF!+'16.2н'!#REF!+'16.3н'!#REF!)/3</f>
        <v>#REF!</v>
      </c>
      <c r="D24" s="91" t="e">
        <f>('16.1н'!#REF!+'16.2н'!#REF!+'16.3н'!#REF!)/3</f>
        <v>#REF!</v>
      </c>
      <c r="E24" s="91">
        <f>('16.1н'!E24+'16.2н'!E24+'16.3н'!E24)/3</f>
        <v>0</v>
      </c>
      <c r="F24" s="91">
        <f>('16.1н'!F24+'16.2н'!F24+'16.3н'!F24)/3</f>
        <v>0</v>
      </c>
      <c r="G24" s="91">
        <f>('16.1н'!G24+'16.2н'!G24+'16.3н'!G24)/3</f>
        <v>0</v>
      </c>
      <c r="H24" s="91">
        <f>('16.1н'!H24+'16.2н'!H24+'16.3н'!H24)/3</f>
        <v>0</v>
      </c>
      <c r="I24" s="91">
        <f>('16.1н'!I24+'16.2н'!I24+'16.3н'!I24)/3</f>
        <v>0</v>
      </c>
      <c r="J24" s="91">
        <f>('16.1н'!J24+'16.2н'!J24+'16.3н'!J24)/3</f>
        <v>0</v>
      </c>
      <c r="K24" s="91">
        <f>('16.1н'!K24+'16.2н'!K24+'16.3н'!K24)/3</f>
        <v>0</v>
      </c>
      <c r="L24" s="91">
        <f>('16.1н'!L24+'16.2н'!L24+'16.3н'!L24)/3</f>
        <v>0</v>
      </c>
      <c r="M24" s="91">
        <f>('16.1н'!M24+'16.2н'!M24+'16.3н'!M24)/3</f>
        <v>0</v>
      </c>
      <c r="N24" s="91">
        <f>('16.1н'!N24+'16.2н'!N24+'16.3н'!N24)/3</f>
        <v>0</v>
      </c>
      <c r="O24" s="91">
        <f>('16.1н'!O24+'16.2н'!O24+'16.3н'!O24)/3</f>
        <v>0</v>
      </c>
      <c r="P24" s="91">
        <f>('16.1н'!P24+'16.2н'!P24+'16.3н'!P24)/3</f>
        <v>0</v>
      </c>
      <c r="Q24" s="91">
        <f>('16.1н'!Q24+'16.2н'!Q24+'16.3н'!Q24)/3</f>
        <v>0</v>
      </c>
      <c r="R24" s="91">
        <f>('16.1н'!B24+'16.2н'!B24+'16.3н'!B24)/3</f>
        <v>0.54893632394798042</v>
      </c>
    </row>
    <row r="25" spans="1:18" x14ac:dyDescent="0.25">
      <c r="A25" s="84">
        <v>24</v>
      </c>
      <c r="B25" s="84" t="s">
        <v>24</v>
      </c>
      <c r="C25" s="91" t="e">
        <f>('16.1н'!#REF!+'16.2н'!#REF!+'16.3н'!#REF!)/3</f>
        <v>#REF!</v>
      </c>
      <c r="D25" s="91" t="e">
        <f>('16.1н'!#REF!+'16.2н'!#REF!+'16.3н'!#REF!)/3</f>
        <v>#REF!</v>
      </c>
      <c r="E25" s="91">
        <f>('16.1н'!E25+'16.2н'!E25+'16.3н'!E25)/3</f>
        <v>0</v>
      </c>
      <c r="F25" s="91">
        <f>('16.1н'!F25+'16.2н'!F25+'16.3н'!F25)/3</f>
        <v>0</v>
      </c>
      <c r="G25" s="91">
        <f>('16.1н'!G25+'16.2н'!G25+'16.3н'!G25)/3</f>
        <v>0</v>
      </c>
      <c r="H25" s="91">
        <f>('16.1н'!H25+'16.2н'!H25+'16.3н'!H25)/3</f>
        <v>0</v>
      </c>
      <c r="I25" s="91">
        <f>('16.1н'!I25+'16.2н'!I25+'16.3н'!I25)/3</f>
        <v>0</v>
      </c>
      <c r="J25" s="91">
        <f>('16.1н'!J25+'16.2н'!J25+'16.3н'!J25)/3</f>
        <v>0</v>
      </c>
      <c r="K25" s="91">
        <f>('16.1н'!K25+'16.2н'!K25+'16.3н'!K25)/3</f>
        <v>0</v>
      </c>
      <c r="L25" s="91">
        <f>('16.1н'!L25+'16.2н'!L25+'16.3н'!L25)/3</f>
        <v>0</v>
      </c>
      <c r="M25" s="91">
        <f>('16.1н'!M25+'16.2н'!M25+'16.3н'!M25)/3</f>
        <v>0</v>
      </c>
      <c r="N25" s="91">
        <f>('16.1н'!N25+'16.2н'!N25+'16.3н'!N25)/3</f>
        <v>0</v>
      </c>
      <c r="O25" s="91">
        <f>('16.1н'!O25+'16.2н'!O25+'16.3н'!O25)/3</f>
        <v>0</v>
      </c>
      <c r="P25" s="91">
        <f>('16.1н'!P25+'16.2н'!P25+'16.3н'!P25)/3</f>
        <v>0</v>
      </c>
      <c r="Q25" s="91">
        <f>('16.1н'!Q25+'16.2н'!Q25+'16.3н'!Q25)/3</f>
        <v>0</v>
      </c>
      <c r="R25" s="91">
        <f>('16.1н'!B25+'16.2н'!B25+'16.3н'!B25)/3</f>
        <v>0.59440927897851004</v>
      </c>
    </row>
    <row r="26" spans="1:18" x14ac:dyDescent="0.25">
      <c r="A26" s="84">
        <v>25</v>
      </c>
      <c r="B26" s="84" t="s">
        <v>25</v>
      </c>
      <c r="C26" s="91" t="e">
        <f>('16.1н'!#REF!+'16.2н'!#REF!+'16.3н'!#REF!)/3</f>
        <v>#REF!</v>
      </c>
      <c r="D26" s="91" t="e">
        <f>('16.1н'!#REF!+'16.2н'!#REF!+'16.3н'!#REF!)/3</f>
        <v>#REF!</v>
      </c>
      <c r="E26" s="91">
        <f>('16.1н'!E26+'16.2н'!E26+'16.3н'!E26)/3</f>
        <v>0</v>
      </c>
      <c r="F26" s="91">
        <f>('16.1н'!F26+'16.2н'!F26+'16.3н'!F26)/3</f>
        <v>0</v>
      </c>
      <c r="G26" s="91">
        <f>('16.1н'!G26+'16.2н'!G26+'16.3н'!G26)/3</f>
        <v>0</v>
      </c>
      <c r="H26" s="91">
        <f>('16.1н'!H26+'16.2н'!H26+'16.3н'!H26)/3</f>
        <v>0</v>
      </c>
      <c r="I26" s="91">
        <f>('16.1н'!I26+'16.2н'!I26+'16.3н'!I26)/3</f>
        <v>0</v>
      </c>
      <c r="J26" s="91">
        <f>('16.1н'!J26+'16.2н'!J26+'16.3н'!J26)/3</f>
        <v>0</v>
      </c>
      <c r="K26" s="91">
        <f>('16.1н'!K26+'16.2н'!K26+'16.3н'!K26)/3</f>
        <v>0</v>
      </c>
      <c r="L26" s="91">
        <f>('16.1н'!L26+'16.2н'!L26+'16.3н'!L26)/3</f>
        <v>0</v>
      </c>
      <c r="M26" s="91">
        <f>('16.1н'!M26+'16.2н'!M26+'16.3н'!M26)/3</f>
        <v>0</v>
      </c>
      <c r="N26" s="91">
        <f>('16.1н'!N26+'16.2н'!N26+'16.3н'!N26)/3</f>
        <v>0</v>
      </c>
      <c r="O26" s="91">
        <f>('16.1н'!O26+'16.2н'!O26+'16.3н'!O26)/3</f>
        <v>0</v>
      </c>
      <c r="P26" s="91">
        <f>('16.1н'!P26+'16.2н'!P26+'16.3н'!P26)/3</f>
        <v>0</v>
      </c>
      <c r="Q26" s="91">
        <f>('16.1н'!Q26+'16.2н'!Q26+'16.3н'!Q26)/3</f>
        <v>0</v>
      </c>
      <c r="R26" s="91">
        <f>('16.1н'!B26+'16.2н'!B26+'16.3н'!B26)/3</f>
        <v>0.34828582781103457</v>
      </c>
    </row>
    <row r="27" spans="1:18" x14ac:dyDescent="0.25">
      <c r="A27" s="84">
        <v>26</v>
      </c>
      <c r="B27" s="84" t="s">
        <v>26</v>
      </c>
      <c r="C27" s="91" t="e">
        <f>('16.1н'!#REF!+'16.2н'!#REF!+'16.3н'!#REF!)/3</f>
        <v>#REF!</v>
      </c>
      <c r="D27" s="91" t="e">
        <f>('16.1н'!#REF!+'16.2н'!#REF!+'16.3н'!#REF!)/3</f>
        <v>#REF!</v>
      </c>
      <c r="E27" s="91">
        <f>('16.1н'!E27+'16.2н'!E27+'16.3н'!E27)/3</f>
        <v>0</v>
      </c>
      <c r="F27" s="91">
        <f>('16.1н'!F27+'16.2н'!F27+'16.3н'!F27)/3</f>
        <v>0</v>
      </c>
      <c r="G27" s="91">
        <f>('16.1н'!G27+'16.2н'!G27+'16.3н'!G27)/3</f>
        <v>0</v>
      </c>
      <c r="H27" s="91">
        <f>('16.1н'!H27+'16.2н'!H27+'16.3н'!H27)/3</f>
        <v>0</v>
      </c>
      <c r="I27" s="91">
        <f>('16.1н'!I27+'16.2н'!I27+'16.3н'!I27)/3</f>
        <v>0</v>
      </c>
      <c r="J27" s="91">
        <f>('16.1н'!J27+'16.2н'!J27+'16.3н'!J27)/3</f>
        <v>0</v>
      </c>
      <c r="K27" s="91">
        <f>('16.1н'!K27+'16.2н'!K27+'16.3н'!K27)/3</f>
        <v>0</v>
      </c>
      <c r="L27" s="91">
        <f>('16.1н'!L27+'16.2н'!L27+'16.3н'!L27)/3</f>
        <v>0</v>
      </c>
      <c r="M27" s="91">
        <f>('16.1н'!M27+'16.2н'!M27+'16.3н'!M27)/3</f>
        <v>0</v>
      </c>
      <c r="N27" s="91">
        <f>('16.1н'!N27+'16.2н'!N27+'16.3н'!N27)/3</f>
        <v>0</v>
      </c>
      <c r="O27" s="91">
        <f>('16.1н'!O27+'16.2н'!O27+'16.3н'!O27)/3</f>
        <v>0</v>
      </c>
      <c r="P27" s="91">
        <f>('16.1н'!P27+'16.2н'!P27+'16.3н'!P27)/3</f>
        <v>0</v>
      </c>
      <c r="Q27" s="91">
        <f>('16.1н'!Q27+'16.2н'!Q27+'16.3н'!Q27)/3</f>
        <v>0</v>
      </c>
      <c r="R27" s="91">
        <f>('16.1н'!B27+'16.2н'!B27+'16.3н'!B27)/3</f>
        <v>0.51390143402197053</v>
      </c>
    </row>
    <row r="28" spans="1:18" x14ac:dyDescent="0.25">
      <c r="A28" s="84">
        <v>27</v>
      </c>
      <c r="B28" s="84" t="s">
        <v>27</v>
      </c>
      <c r="C28" s="91" t="e">
        <f>('16.1н'!#REF!+'16.2н'!#REF!+'16.3н'!#REF!)/3</f>
        <v>#REF!</v>
      </c>
      <c r="D28" s="91" t="e">
        <f>('16.1н'!#REF!+'16.2н'!#REF!+'16.3н'!#REF!)/3</f>
        <v>#REF!</v>
      </c>
      <c r="E28" s="91">
        <f>('16.1н'!E28+'16.2н'!E28+'16.3н'!E28)/3</f>
        <v>0</v>
      </c>
      <c r="F28" s="91">
        <f>('16.1н'!F28+'16.2н'!F28+'16.3н'!F28)/3</f>
        <v>0</v>
      </c>
      <c r="G28" s="91">
        <f>('16.1н'!G28+'16.2н'!G28+'16.3н'!G28)/3</f>
        <v>0</v>
      </c>
      <c r="H28" s="91">
        <f>('16.1н'!H28+'16.2н'!H28+'16.3н'!H28)/3</f>
        <v>0</v>
      </c>
      <c r="I28" s="91">
        <f>('16.1н'!I28+'16.2н'!I28+'16.3н'!I28)/3</f>
        <v>0</v>
      </c>
      <c r="J28" s="91">
        <f>('16.1н'!J28+'16.2н'!J28+'16.3н'!J28)/3</f>
        <v>0</v>
      </c>
      <c r="K28" s="91">
        <f>('16.1н'!K28+'16.2н'!K28+'16.3н'!K28)/3</f>
        <v>0</v>
      </c>
      <c r="L28" s="91">
        <f>('16.1н'!L28+'16.2н'!L28+'16.3н'!L28)/3</f>
        <v>0</v>
      </c>
      <c r="M28" s="91">
        <f>('16.1н'!M28+'16.2н'!M28+'16.3н'!M28)/3</f>
        <v>0</v>
      </c>
      <c r="N28" s="91">
        <f>('16.1н'!N28+'16.2н'!N28+'16.3н'!N28)/3</f>
        <v>0</v>
      </c>
      <c r="O28" s="91">
        <f>('16.1н'!O28+'16.2н'!O28+'16.3н'!O28)/3</f>
        <v>0</v>
      </c>
      <c r="P28" s="91">
        <f>('16.1н'!P28+'16.2н'!P28+'16.3н'!P28)/3</f>
        <v>0</v>
      </c>
      <c r="Q28" s="91">
        <f>('16.1н'!Q28+'16.2н'!Q28+'16.3н'!Q28)/3</f>
        <v>0</v>
      </c>
      <c r="R28" s="91">
        <f>('16.1н'!B28+'16.2н'!B28+'16.3н'!B28)/3</f>
        <v>0.48790881450450962</v>
      </c>
    </row>
    <row r="29" spans="1:18" x14ac:dyDescent="0.25">
      <c r="A29" s="84">
        <v>28</v>
      </c>
      <c r="B29" s="84" t="s">
        <v>28</v>
      </c>
      <c r="C29" s="91" t="e">
        <f>('16.1н'!#REF!+'16.2н'!#REF!+'16.3н'!#REF!)/3</f>
        <v>#REF!</v>
      </c>
      <c r="D29" s="91" t="e">
        <f>('16.1н'!#REF!+'16.2н'!#REF!+'16.3н'!#REF!)/3</f>
        <v>#REF!</v>
      </c>
      <c r="E29" s="91">
        <f>('16.1н'!E29+'16.2н'!E29+'16.3н'!E29)/3</f>
        <v>0</v>
      </c>
      <c r="F29" s="91">
        <f>('16.1н'!F29+'16.2н'!F29+'16.3н'!F29)/3</f>
        <v>0</v>
      </c>
      <c r="G29" s="91">
        <f>('16.1н'!G29+'16.2н'!G29+'16.3н'!G29)/3</f>
        <v>0</v>
      </c>
      <c r="H29" s="91">
        <f>('16.1н'!H29+'16.2н'!H29+'16.3н'!H29)/3</f>
        <v>0</v>
      </c>
      <c r="I29" s="91">
        <f>('16.1н'!I29+'16.2н'!I29+'16.3н'!I29)/3</f>
        <v>0</v>
      </c>
      <c r="J29" s="91">
        <f>('16.1н'!J29+'16.2н'!J29+'16.3н'!J29)/3</f>
        <v>0</v>
      </c>
      <c r="K29" s="91">
        <f>('16.1н'!K29+'16.2н'!K29+'16.3н'!K29)/3</f>
        <v>0</v>
      </c>
      <c r="L29" s="91">
        <f>('16.1н'!L29+'16.2н'!L29+'16.3н'!L29)/3</f>
        <v>0</v>
      </c>
      <c r="M29" s="91">
        <f>('16.1н'!M29+'16.2н'!M29+'16.3н'!M29)/3</f>
        <v>0</v>
      </c>
      <c r="N29" s="91">
        <f>('16.1н'!N29+'16.2н'!N29+'16.3н'!N29)/3</f>
        <v>0</v>
      </c>
      <c r="O29" s="91">
        <f>('16.1н'!O29+'16.2н'!O29+'16.3н'!O29)/3</f>
        <v>0</v>
      </c>
      <c r="P29" s="91">
        <f>('16.1н'!P29+'16.2н'!P29+'16.3н'!P29)/3</f>
        <v>0</v>
      </c>
      <c r="Q29" s="91">
        <f>('16.1н'!Q29+'16.2н'!Q29+'16.3н'!Q29)/3</f>
        <v>0</v>
      </c>
      <c r="R29" s="91">
        <f>('16.1н'!B29+'16.2н'!B29+'16.3н'!B29)/3</f>
        <v>0.49539018233038562</v>
      </c>
    </row>
    <row r="30" spans="1:18" x14ac:dyDescent="0.25">
      <c r="A30" s="84">
        <v>29</v>
      </c>
      <c r="B30" s="84" t="s">
        <v>29</v>
      </c>
      <c r="C30" s="91" t="e">
        <f>('16.1н'!#REF!+'16.2н'!#REF!+'16.3н'!#REF!)/3</f>
        <v>#REF!</v>
      </c>
      <c r="D30" s="91" t="e">
        <f>('16.1н'!#REF!+'16.2н'!#REF!+'16.3н'!#REF!)/3</f>
        <v>#REF!</v>
      </c>
      <c r="E30" s="91">
        <f>('16.1н'!E30+'16.2н'!E30+'16.3н'!E30)/3</f>
        <v>0</v>
      </c>
      <c r="F30" s="91">
        <f>('16.1н'!F30+'16.2н'!F30+'16.3н'!F30)/3</f>
        <v>0</v>
      </c>
      <c r="G30" s="91">
        <f>('16.1н'!G30+'16.2н'!G30+'16.3н'!G30)/3</f>
        <v>0</v>
      </c>
      <c r="H30" s="91">
        <f>('16.1н'!H30+'16.2н'!H30+'16.3н'!H30)/3</f>
        <v>0</v>
      </c>
      <c r="I30" s="91">
        <f>('16.1н'!I30+'16.2н'!I30+'16.3н'!I30)/3</f>
        <v>0</v>
      </c>
      <c r="J30" s="91">
        <f>('16.1н'!J30+'16.2н'!J30+'16.3н'!J30)/3</f>
        <v>0</v>
      </c>
      <c r="K30" s="91">
        <f>('16.1н'!K30+'16.2н'!K30+'16.3н'!K30)/3</f>
        <v>0</v>
      </c>
      <c r="L30" s="91">
        <f>('16.1н'!L30+'16.2н'!L30+'16.3н'!L30)/3</f>
        <v>0</v>
      </c>
      <c r="M30" s="91">
        <f>('16.1н'!M30+'16.2н'!M30+'16.3н'!M30)/3</f>
        <v>0</v>
      </c>
      <c r="N30" s="91">
        <f>('16.1н'!N30+'16.2н'!N30+'16.3н'!N30)/3</f>
        <v>0</v>
      </c>
      <c r="O30" s="91">
        <f>('16.1н'!O30+'16.2н'!O30+'16.3н'!O30)/3</f>
        <v>0</v>
      </c>
      <c r="P30" s="91">
        <f>('16.1н'!P30+'16.2н'!P30+'16.3н'!P30)/3</f>
        <v>0</v>
      </c>
      <c r="Q30" s="91">
        <f>('16.1н'!Q30+'16.2н'!Q30+'16.3н'!Q30)/3</f>
        <v>0</v>
      </c>
      <c r="R30" s="91">
        <f>('16.1н'!B30+'16.2н'!B30+'16.3н'!B30)/3</f>
        <v>0.49236158283181974</v>
      </c>
    </row>
    <row r="31" spans="1:18" x14ac:dyDescent="0.25">
      <c r="A31" s="84">
        <v>30</v>
      </c>
      <c r="B31" s="84" t="s">
        <v>30</v>
      </c>
      <c r="C31" s="91" t="e">
        <f>('16.1н'!#REF!+'16.2н'!#REF!+'16.3н'!#REF!)/3</f>
        <v>#REF!</v>
      </c>
      <c r="D31" s="91" t="e">
        <f>('16.1н'!#REF!+'16.2н'!#REF!+'16.3н'!#REF!)/3</f>
        <v>#REF!</v>
      </c>
      <c r="E31" s="91">
        <f>('16.1н'!E31+'16.2н'!E31+'16.3н'!E31)/3</f>
        <v>0</v>
      </c>
      <c r="F31" s="91">
        <f>('16.1н'!F31+'16.2н'!F31+'16.3н'!F31)/3</f>
        <v>0</v>
      </c>
      <c r="G31" s="91">
        <f>('16.1н'!G31+'16.2н'!G31+'16.3н'!G31)/3</f>
        <v>0</v>
      </c>
      <c r="H31" s="91">
        <f>('16.1н'!H31+'16.2н'!H31+'16.3н'!H31)/3</f>
        <v>0</v>
      </c>
      <c r="I31" s="91">
        <f>('16.1н'!I31+'16.2н'!I31+'16.3н'!I31)/3</f>
        <v>0</v>
      </c>
      <c r="J31" s="91">
        <f>('16.1н'!J31+'16.2н'!J31+'16.3н'!J31)/3</f>
        <v>0</v>
      </c>
      <c r="K31" s="91">
        <f>('16.1н'!K31+'16.2н'!K31+'16.3н'!K31)/3</f>
        <v>0</v>
      </c>
      <c r="L31" s="91">
        <f>('16.1н'!L31+'16.2н'!L31+'16.3н'!L31)/3</f>
        <v>0</v>
      </c>
      <c r="M31" s="91">
        <f>('16.1н'!M31+'16.2н'!M31+'16.3н'!M31)/3</f>
        <v>0</v>
      </c>
      <c r="N31" s="91">
        <f>('16.1н'!N31+'16.2н'!N31+'16.3н'!N31)/3</f>
        <v>0</v>
      </c>
      <c r="O31" s="91">
        <f>('16.1н'!O31+'16.2н'!O31+'16.3н'!O31)/3</f>
        <v>0</v>
      </c>
      <c r="P31" s="91">
        <f>('16.1н'!P31+'16.2н'!P31+'16.3н'!P31)/3</f>
        <v>0</v>
      </c>
      <c r="Q31" s="91">
        <f>('16.1н'!Q31+'16.2н'!Q31+'16.3н'!Q31)/3</f>
        <v>0</v>
      </c>
      <c r="R31" s="91">
        <f>('16.1н'!B31+'16.2н'!B31+'16.3н'!B31)/3</f>
        <v>0.35116554836291641</v>
      </c>
    </row>
    <row r="32" spans="1:18" x14ac:dyDescent="0.25">
      <c r="A32" s="84">
        <v>31</v>
      </c>
      <c r="B32" s="84" t="s">
        <v>31</v>
      </c>
      <c r="C32" s="91"/>
      <c r="D32" s="91"/>
      <c r="E32" s="91"/>
      <c r="F32" s="91"/>
      <c r="G32" s="91"/>
      <c r="H32" s="91"/>
      <c r="I32" s="91"/>
      <c r="J32" s="91"/>
      <c r="K32" s="91"/>
      <c r="L32" s="91">
        <f>('16.1н'!L32+'16.2н'!L32+'16.3н'!L32)/3</f>
        <v>0</v>
      </c>
      <c r="M32" s="91">
        <f>('16.1н'!M32+'16.2н'!M32+'16.3н'!M32)/3</f>
        <v>0</v>
      </c>
      <c r="N32" s="91">
        <f>('16.1н'!N32+'16.2н'!N32+'16.3н'!N32)/3</f>
        <v>0</v>
      </c>
      <c r="O32" s="91">
        <f>('16.1н'!O32+'16.2н'!O32+'16.3н'!O32)/3</f>
        <v>0</v>
      </c>
      <c r="P32" s="91">
        <f>('16.1н'!P32+'16.2н'!P32+'16.3н'!P32)/3</f>
        <v>0</v>
      </c>
      <c r="Q32" s="91">
        <f>('16.1н'!Q32+'16.2н'!Q32+'16.3н'!Q32)/3</f>
        <v>0</v>
      </c>
      <c r="R32" s="91">
        <f>('16.1н'!B32+'16.2н'!B32+'16.3н'!B32)/3</f>
        <v>0.41300173888542896</v>
      </c>
    </row>
    <row r="33" spans="1:18" x14ac:dyDescent="0.25">
      <c r="A33" s="84">
        <v>32</v>
      </c>
      <c r="B33" s="84" t="s">
        <v>32</v>
      </c>
      <c r="C33" s="91" t="e">
        <f>('16.1н'!#REF!+'16.2н'!#REF!+'16.3н'!#REF!)/3</f>
        <v>#REF!</v>
      </c>
      <c r="D33" s="91" t="e">
        <f>('16.1н'!#REF!+'16.2н'!#REF!+'16.3н'!#REF!)/3</f>
        <v>#REF!</v>
      </c>
      <c r="E33" s="91">
        <f>('16.1н'!E33+'16.2н'!E33+'16.3н'!E33)/3</f>
        <v>0</v>
      </c>
      <c r="F33" s="91">
        <f>('16.1н'!F33+'16.2н'!F33+'16.3н'!F33)/3</f>
        <v>0</v>
      </c>
      <c r="G33" s="91">
        <f>('16.1н'!G33+'16.2н'!G33+'16.3н'!G33)/3</f>
        <v>0</v>
      </c>
      <c r="H33" s="91">
        <f>('16.1н'!H33+'16.2н'!H33+'16.3н'!H33)/3</f>
        <v>0</v>
      </c>
      <c r="I33" s="91">
        <f>('16.1н'!I33+'16.2н'!I33+'16.3н'!I33)/3</f>
        <v>0</v>
      </c>
      <c r="J33" s="91">
        <f>('16.1н'!J33+'16.2н'!J33+'16.3н'!J33)/3</f>
        <v>0</v>
      </c>
      <c r="K33" s="91">
        <f>('16.1н'!K33+'16.2н'!K33+'16.3н'!K33)/3</f>
        <v>0</v>
      </c>
      <c r="L33" s="91">
        <f>('16.1н'!L33+'16.2н'!L33+'16.3н'!L33)/3</f>
        <v>0</v>
      </c>
      <c r="M33" s="91">
        <f>('16.1н'!M33+'16.2н'!M33+'16.3н'!M33)/3</f>
        <v>0</v>
      </c>
      <c r="N33" s="91">
        <f>('16.1н'!N33+'16.2н'!N33+'16.3н'!N33)/3</f>
        <v>0</v>
      </c>
      <c r="O33" s="91">
        <f>('16.1н'!O33+'16.2н'!O33+'16.3н'!O33)/3</f>
        <v>0</v>
      </c>
      <c r="P33" s="91">
        <f>('16.1н'!P33+'16.2н'!P33+'16.3н'!P33)/3</f>
        <v>0</v>
      </c>
      <c r="Q33" s="91">
        <f>('16.1н'!Q33+'16.2н'!Q33+'16.3н'!Q33)/3</f>
        <v>0</v>
      </c>
      <c r="R33" s="91">
        <f>('16.1н'!B33+'16.2н'!B33+'16.3н'!B33)/3</f>
        <v>0.52932418426078154</v>
      </c>
    </row>
    <row r="34" spans="1:18" x14ac:dyDescent="0.25">
      <c r="A34" s="84">
        <v>33</v>
      </c>
      <c r="B34" s="84" t="s">
        <v>33</v>
      </c>
      <c r="C34" s="91" t="e">
        <f>('16.1н'!#REF!+'16.2н'!#REF!+'16.3н'!#REF!)/3</f>
        <v>#REF!</v>
      </c>
      <c r="D34" s="91" t="e">
        <f>('16.1н'!#REF!+'16.2н'!#REF!+'16.3н'!#REF!)/3</f>
        <v>#REF!</v>
      </c>
      <c r="E34" s="91">
        <f>('16.1н'!E34+'16.2н'!E34+'16.3н'!E34)/3</f>
        <v>0</v>
      </c>
      <c r="F34" s="91">
        <f>('16.1н'!F34+'16.2н'!F34+'16.3н'!F34)/3</f>
        <v>0</v>
      </c>
      <c r="G34" s="91">
        <f>('16.1н'!G34+'16.2н'!G34+'16.3н'!G34)/3</f>
        <v>0</v>
      </c>
      <c r="H34" s="91">
        <f>('16.1н'!H34+'16.2н'!H34+'16.3н'!H34)/3</f>
        <v>0</v>
      </c>
      <c r="I34" s="91">
        <f>('16.1н'!I34+'16.2н'!I34+'16.3н'!I34)/3</f>
        <v>0</v>
      </c>
      <c r="J34" s="91">
        <f>('16.1н'!J34+'16.2н'!J34+'16.3н'!J34)/3</f>
        <v>0</v>
      </c>
      <c r="K34" s="91">
        <f>('16.1н'!K34+'16.2н'!K34+'16.3н'!K34)/3</f>
        <v>0</v>
      </c>
      <c r="L34" s="91">
        <f>('16.1н'!L34+'16.2н'!L34+'16.3н'!L34)/3</f>
        <v>0</v>
      </c>
      <c r="M34" s="91">
        <f>('16.1н'!M34+'16.2н'!M34+'16.3н'!M34)/3</f>
        <v>0</v>
      </c>
      <c r="N34" s="91">
        <f>('16.1н'!N34+'16.2н'!N34+'16.3н'!N34)/3</f>
        <v>0</v>
      </c>
      <c r="O34" s="91">
        <f>('16.1н'!O34+'16.2н'!O34+'16.3н'!O34)/3</f>
        <v>0</v>
      </c>
      <c r="P34" s="91">
        <f>('16.1н'!P34+'16.2н'!P34+'16.3н'!P34)/3</f>
        <v>0</v>
      </c>
      <c r="Q34" s="91">
        <f>('16.1н'!Q34+'16.2н'!Q34+'16.3н'!Q34)/3</f>
        <v>0</v>
      </c>
      <c r="R34" s="91">
        <f>('16.1н'!B34+'16.2н'!B34+'16.3н'!B34)/3</f>
        <v>0.38592372854762358</v>
      </c>
    </row>
    <row r="35" spans="1:18" x14ac:dyDescent="0.25">
      <c r="A35" s="84">
        <v>34</v>
      </c>
      <c r="B35" s="84" t="s">
        <v>34</v>
      </c>
      <c r="C35" s="91" t="e">
        <f>('16.1н'!#REF!+'16.2н'!#REF!+'16.3н'!#REF!)/3</f>
        <v>#REF!</v>
      </c>
      <c r="D35" s="91" t="e">
        <f>('16.1н'!#REF!+'16.2н'!#REF!+'16.3н'!#REF!)/3</f>
        <v>#REF!</v>
      </c>
      <c r="E35" s="91">
        <f>('16.1н'!E35+'16.2н'!E35+'16.3н'!E35)/3</f>
        <v>0</v>
      </c>
      <c r="F35" s="91">
        <f>('16.1н'!F35+'16.2н'!F35+'16.3н'!F35)/3</f>
        <v>0</v>
      </c>
      <c r="G35" s="91">
        <f>('16.1н'!G35+'16.2н'!G35+'16.3н'!G35)/3</f>
        <v>0</v>
      </c>
      <c r="H35" s="91">
        <f>('16.1н'!H35+'16.2н'!H35+'16.3н'!H35)/3</f>
        <v>0</v>
      </c>
      <c r="I35" s="91">
        <f>('16.1н'!I35+'16.2н'!I35+'16.3н'!I35)/3</f>
        <v>0</v>
      </c>
      <c r="J35" s="91">
        <f>('16.1н'!J35+'16.2н'!J35+'16.3н'!J35)/3</f>
        <v>0</v>
      </c>
      <c r="K35" s="91">
        <f>('16.1н'!K35+'16.2н'!K35+'16.3н'!K35)/3</f>
        <v>0</v>
      </c>
      <c r="L35" s="91">
        <f>('16.1н'!L35+'16.2н'!L35+'16.3н'!L35)/3</f>
        <v>0</v>
      </c>
      <c r="M35" s="91">
        <f>('16.1н'!M35+'16.2н'!M35+'16.3н'!M35)/3</f>
        <v>0</v>
      </c>
      <c r="N35" s="91">
        <f>('16.1н'!N35+'16.2н'!N35+'16.3н'!N35)/3</f>
        <v>0</v>
      </c>
      <c r="O35" s="91">
        <f>('16.1н'!O35+'16.2н'!O35+'16.3н'!O35)/3</f>
        <v>0</v>
      </c>
      <c r="P35" s="91">
        <f>('16.1н'!P35+'16.2н'!P35+'16.3н'!P35)/3</f>
        <v>0</v>
      </c>
      <c r="Q35" s="91">
        <f>('16.1н'!Q35+'16.2н'!Q35+'16.3н'!Q35)/3</f>
        <v>0</v>
      </c>
      <c r="R35" s="91">
        <f>('16.1н'!B35+'16.2н'!B35+'16.3н'!B35)/3</f>
        <v>0.39912967290993512</v>
      </c>
    </row>
    <row r="36" spans="1:18" x14ac:dyDescent="0.25">
      <c r="A36" s="84">
        <v>35</v>
      </c>
      <c r="B36" s="84" t="s">
        <v>35</v>
      </c>
      <c r="C36" s="91" t="e">
        <f>('16.1н'!#REF!+'16.2н'!#REF!+'16.3н'!#REF!)/3</f>
        <v>#REF!</v>
      </c>
      <c r="D36" s="91" t="e">
        <f>('16.1н'!#REF!+'16.2н'!#REF!+'16.3н'!#REF!)/3</f>
        <v>#REF!</v>
      </c>
      <c r="E36" s="91">
        <f>('16.1н'!E36+'16.2н'!E36+'16.3н'!E36)/3</f>
        <v>0</v>
      </c>
      <c r="F36" s="91">
        <f>('16.1н'!F36+'16.2н'!F36+'16.3н'!F36)/3</f>
        <v>0</v>
      </c>
      <c r="G36" s="91">
        <f>('16.1н'!G36+'16.2н'!G36+'16.3н'!G36)/3</f>
        <v>0</v>
      </c>
      <c r="H36" s="91">
        <f>('16.1н'!H36+'16.2н'!H36+'16.3н'!H36)/3</f>
        <v>0</v>
      </c>
      <c r="I36" s="91">
        <f>('16.1н'!I36+'16.2н'!I36+'16.3н'!I36)/3</f>
        <v>0</v>
      </c>
      <c r="J36" s="91">
        <f>('16.1н'!J36+'16.2н'!J36+'16.3н'!J36)/3</f>
        <v>0</v>
      </c>
      <c r="K36" s="91">
        <f>('16.1н'!K36+'16.2н'!K36+'16.3н'!K36)/3</f>
        <v>0</v>
      </c>
      <c r="L36" s="91">
        <f>('16.1н'!L36+'16.2н'!L36+'16.3н'!L36)/3</f>
        <v>0</v>
      </c>
      <c r="M36" s="91">
        <f>('16.1н'!M36+'16.2н'!M36+'16.3н'!M36)/3</f>
        <v>0</v>
      </c>
      <c r="N36" s="91">
        <f>('16.1н'!N36+'16.2н'!N36+'16.3н'!N36)/3</f>
        <v>0</v>
      </c>
      <c r="O36" s="91">
        <f>('16.1н'!O36+'16.2н'!O36+'16.3н'!O36)/3</f>
        <v>0</v>
      </c>
      <c r="P36" s="91">
        <f>('16.1н'!P36+'16.2н'!P36+'16.3н'!P36)/3</f>
        <v>0</v>
      </c>
      <c r="Q36" s="91">
        <f>('16.1н'!Q36+'16.2н'!Q36+'16.3н'!Q36)/3</f>
        <v>0</v>
      </c>
      <c r="R36" s="91">
        <f>('16.1н'!B36+'16.2н'!B36+'16.3н'!B36)/3</f>
        <v>0.51696628722998794</v>
      </c>
    </row>
    <row r="37" spans="1:18" x14ac:dyDescent="0.25">
      <c r="A37" s="84">
        <v>36</v>
      </c>
      <c r="B37" s="84" t="s">
        <v>36</v>
      </c>
      <c r="C37" s="91"/>
      <c r="D37" s="91"/>
      <c r="E37" s="91"/>
      <c r="F37" s="91"/>
      <c r="G37" s="91"/>
      <c r="H37" s="91"/>
      <c r="I37" s="91"/>
      <c r="J37" s="91"/>
      <c r="K37" s="91"/>
      <c r="L37" s="91">
        <f>('16.1н'!L37+'16.2н'!L37+'16.3н'!L37)/3</f>
        <v>0</v>
      </c>
      <c r="M37" s="91">
        <f>('16.1н'!M37+'16.2н'!M37+'16.3н'!M37)/3</f>
        <v>0</v>
      </c>
      <c r="N37" s="91">
        <f>('16.1н'!N37+'16.2н'!N37+'16.3н'!N37)/3</f>
        <v>0</v>
      </c>
      <c r="O37" s="91">
        <f>('16.1н'!O37+'16.2н'!O37+'16.3н'!O37)/3</f>
        <v>0</v>
      </c>
      <c r="P37" s="91">
        <f>('16.1н'!P37+'16.2н'!P37+'16.3н'!P37)/3</f>
        <v>0</v>
      </c>
      <c r="Q37" s="91">
        <f>('16.1н'!Q37+'16.2н'!Q37+'16.3н'!Q37)/3</f>
        <v>0</v>
      </c>
      <c r="R37" s="91">
        <f>('16.1н'!B37+'16.2н'!B37+'16.3н'!B37)/3</f>
        <v>0.49942823761296035</v>
      </c>
    </row>
    <row r="38" spans="1:18" x14ac:dyDescent="0.25">
      <c r="A38" s="84">
        <v>37</v>
      </c>
      <c r="B38" s="84" t="s">
        <v>37</v>
      </c>
      <c r="C38" s="91" t="e">
        <f>('16.1н'!#REF!+'16.2н'!#REF!+'16.3н'!#REF!)/3</f>
        <v>#REF!</v>
      </c>
      <c r="D38" s="91" t="e">
        <f>('16.1н'!#REF!+'16.2н'!#REF!+'16.3н'!#REF!)/3</f>
        <v>#REF!</v>
      </c>
      <c r="E38" s="91">
        <f>('16.1н'!E38+'16.2н'!E38+'16.3н'!E38)/3</f>
        <v>0</v>
      </c>
      <c r="F38" s="91">
        <f>('16.1н'!F38+'16.2н'!F38+'16.3н'!F38)/3</f>
        <v>0</v>
      </c>
      <c r="G38" s="91">
        <f>('16.1н'!G38+'16.2н'!G38+'16.3н'!G38)/3</f>
        <v>0</v>
      </c>
      <c r="H38" s="91">
        <f>('16.1н'!H38+'16.2н'!H38+'16.3н'!H38)/3</f>
        <v>0</v>
      </c>
      <c r="I38" s="91">
        <f>('16.1н'!I38+'16.2н'!I38+'16.3н'!I38)/3</f>
        <v>0</v>
      </c>
      <c r="J38" s="91">
        <f>('16.1н'!J38+'16.2н'!J38+'16.3н'!J38)/3</f>
        <v>0</v>
      </c>
      <c r="K38" s="91">
        <f>('16.1н'!K38+'16.2н'!K38+'16.3н'!K38)/3</f>
        <v>0</v>
      </c>
      <c r="L38" s="91">
        <f>('16.1н'!L38+'16.2н'!L38+'16.3н'!L38)/3</f>
        <v>0</v>
      </c>
      <c r="M38" s="91">
        <f>('16.1н'!M38+'16.2н'!M38+'16.3н'!M38)/3</f>
        <v>0</v>
      </c>
      <c r="N38" s="91">
        <f>('16.1н'!N38+'16.2н'!N38+'16.3н'!N38)/3</f>
        <v>0</v>
      </c>
      <c r="O38" s="91">
        <f>('16.1н'!O38+'16.2н'!O38+'16.3н'!O38)/3</f>
        <v>0</v>
      </c>
      <c r="P38" s="91">
        <f>('16.1н'!P38+'16.2н'!P38+'16.3н'!P38)/3</f>
        <v>0</v>
      </c>
      <c r="Q38" s="91">
        <f>('16.1н'!Q38+'16.2н'!Q38+'16.3н'!Q38)/3</f>
        <v>0</v>
      </c>
      <c r="R38" s="91">
        <f>('16.1н'!B38+'16.2н'!B38+'16.3н'!B38)/3</f>
        <v>0.3236809880532176</v>
      </c>
    </row>
    <row r="39" spans="1:18" x14ac:dyDescent="0.25">
      <c r="A39" s="84">
        <v>38</v>
      </c>
      <c r="B39" s="84" t="s">
        <v>38</v>
      </c>
      <c r="C39" s="91" t="e">
        <f>('16.1н'!#REF!+'16.2н'!#REF!+'16.3н'!#REF!)/3</f>
        <v>#REF!</v>
      </c>
      <c r="D39" s="91" t="e">
        <f>('16.1н'!#REF!+'16.2н'!#REF!+'16.3н'!#REF!)/3</f>
        <v>#REF!</v>
      </c>
      <c r="E39" s="91">
        <f>('16.1н'!E39+'16.2н'!E39+'16.3н'!E39)/3</f>
        <v>0</v>
      </c>
      <c r="F39" s="91">
        <f>('16.1н'!F39+'16.2н'!F39+'16.3н'!F39)/3</f>
        <v>0</v>
      </c>
      <c r="G39" s="91">
        <f>('16.1н'!G39+'16.2н'!G39+'16.3н'!G39)/3</f>
        <v>0</v>
      </c>
      <c r="H39" s="91">
        <f>('16.1н'!H39+'16.2н'!H39+'16.3н'!H39)/3</f>
        <v>0</v>
      </c>
      <c r="I39" s="91">
        <f>('16.1н'!I39+'16.2н'!I39+'16.3н'!I39)/3</f>
        <v>0</v>
      </c>
      <c r="J39" s="91">
        <f>('16.1н'!J39+'16.2н'!J39+'16.3н'!J39)/3</f>
        <v>0</v>
      </c>
      <c r="K39" s="91">
        <f>('16.1н'!K39+'16.2н'!K39+'16.3н'!K39)/3</f>
        <v>0</v>
      </c>
      <c r="L39" s="91">
        <f>('16.1н'!L39+'16.2н'!L39+'16.3н'!L39)/3</f>
        <v>0</v>
      </c>
      <c r="M39" s="91">
        <f>('16.1н'!M39+'16.2н'!M39+'16.3н'!M39)/3</f>
        <v>0</v>
      </c>
      <c r="N39" s="91">
        <f>('16.1н'!N39+'16.2н'!N39+'16.3н'!N39)/3</f>
        <v>0</v>
      </c>
      <c r="O39" s="91">
        <f>('16.1н'!O39+'16.2н'!O39+'16.3н'!O39)/3</f>
        <v>0</v>
      </c>
      <c r="P39" s="91">
        <f>('16.1н'!P39+'16.2н'!P39+'16.3н'!P39)/3</f>
        <v>0</v>
      </c>
      <c r="Q39" s="91">
        <f>('16.1н'!Q39+'16.2н'!Q39+'16.3н'!Q39)/3</f>
        <v>0</v>
      </c>
      <c r="R39" s="91">
        <f>('16.1н'!B39+'16.2н'!B39+'16.3н'!B39)/3</f>
        <v>0.32742825583059498</v>
      </c>
    </row>
    <row r="40" spans="1:18" x14ac:dyDescent="0.25">
      <c r="A40" s="84">
        <v>39</v>
      </c>
      <c r="B40" s="84" t="s">
        <v>42</v>
      </c>
      <c r="C40" s="91" t="e">
        <f>('16.1н'!#REF!+'16.2н'!#REF!+'16.3н'!#REF!)/3</f>
        <v>#REF!</v>
      </c>
      <c r="D40" s="91" t="e">
        <f>('16.1н'!#REF!+'16.2н'!#REF!+'16.3н'!#REF!)/3</f>
        <v>#REF!</v>
      </c>
      <c r="E40" s="91">
        <f>('16.1н'!E40+'16.2н'!E40+'16.3н'!E40)/3</f>
        <v>0</v>
      </c>
      <c r="F40" s="91">
        <f>('16.1н'!F40+'16.2н'!F40+'16.3н'!F40)/3</f>
        <v>0</v>
      </c>
      <c r="G40" s="91">
        <f>('16.1н'!G40+'16.2н'!G40+'16.3н'!G40)/3</f>
        <v>0</v>
      </c>
      <c r="H40" s="91">
        <f>('16.1н'!H40+'16.2н'!H40+'16.3н'!H40)/3</f>
        <v>0</v>
      </c>
      <c r="I40" s="91">
        <f>('16.1н'!I40+'16.2н'!I40+'16.3н'!I40)/3</f>
        <v>0</v>
      </c>
      <c r="J40" s="91">
        <f>('16.1н'!J40+'16.2н'!J40+'16.3н'!J40)/3</f>
        <v>0</v>
      </c>
      <c r="K40" s="91">
        <f>('16.1н'!K40+'16.2н'!K40+'16.3н'!K40)/3</f>
        <v>0</v>
      </c>
      <c r="L40" s="91">
        <f>('16.1н'!L40+'16.2н'!L40+'16.3н'!L40)/3</f>
        <v>0</v>
      </c>
      <c r="M40" s="91">
        <f>('16.1н'!M40+'16.2н'!M40+'16.3н'!M40)/3</f>
        <v>0</v>
      </c>
      <c r="N40" s="91">
        <f>('16.1н'!N40+'16.2н'!N40+'16.3н'!N40)/3</f>
        <v>0</v>
      </c>
      <c r="O40" s="91">
        <f>('16.1н'!O40+'16.2н'!O40+'16.3н'!O40)/3</f>
        <v>0</v>
      </c>
      <c r="P40" s="91">
        <f>('16.1н'!P40+'16.2н'!P40+'16.3н'!P40)/3</f>
        <v>0</v>
      </c>
      <c r="Q40" s="91">
        <f>('16.1н'!Q40+'16.2н'!Q40+'16.3н'!Q40)/3</f>
        <v>0</v>
      </c>
      <c r="R40" s="91">
        <f>('16.1н'!B40+'16.2н'!B40+'16.3н'!B40)/3</f>
        <v>0.41157422790249448</v>
      </c>
    </row>
    <row r="41" spans="1:18" x14ac:dyDescent="0.25">
      <c r="A41" s="84">
        <v>40</v>
      </c>
      <c r="B41" s="84" t="s">
        <v>39</v>
      </c>
      <c r="C41" s="91" t="e">
        <f>('16.1н'!#REF!+'16.2н'!#REF!+'16.3н'!#REF!)/3</f>
        <v>#REF!</v>
      </c>
      <c r="D41" s="91" t="e">
        <f>('16.1н'!#REF!+'16.2н'!#REF!+'16.3н'!#REF!)/3</f>
        <v>#REF!</v>
      </c>
      <c r="E41" s="91">
        <f>('16.1н'!E41+'16.2н'!E41+'16.3н'!E41)/3</f>
        <v>0</v>
      </c>
      <c r="F41" s="91">
        <f>('16.1н'!F41+'16.2н'!F41+'16.3н'!F41)/3</f>
        <v>0</v>
      </c>
      <c r="G41" s="91">
        <f>('16.1н'!G41+'16.2н'!G41+'16.3н'!G41)/3</f>
        <v>0</v>
      </c>
      <c r="H41" s="91">
        <f>('16.1н'!H41+'16.2н'!H41+'16.3н'!H41)/3</f>
        <v>0</v>
      </c>
      <c r="I41" s="91">
        <f>('16.1н'!I41+'16.2н'!I41+'16.3н'!I41)/3</f>
        <v>0</v>
      </c>
      <c r="J41" s="91">
        <f>('16.1н'!J41+'16.2н'!J41+'16.3н'!J41)/3</f>
        <v>0</v>
      </c>
      <c r="K41" s="91">
        <f>('16.1н'!K41+'16.2н'!K41+'16.3н'!K41)/3</f>
        <v>0</v>
      </c>
      <c r="L41" s="91">
        <f>('16.1н'!L41+'16.2н'!L41+'16.3н'!L41)/3</f>
        <v>0</v>
      </c>
      <c r="M41" s="91">
        <f>('16.1н'!M41+'16.2н'!M41+'16.3н'!M41)/3</f>
        <v>0</v>
      </c>
      <c r="N41" s="91">
        <f>('16.1н'!N41+'16.2н'!N41+'16.3н'!N41)/3</f>
        <v>0</v>
      </c>
      <c r="O41" s="91">
        <f>('16.1н'!O41+'16.2н'!O41+'16.3н'!O41)/3</f>
        <v>0</v>
      </c>
      <c r="P41" s="91">
        <f>('16.1н'!P41+'16.2н'!P41+'16.3н'!P41)/3</f>
        <v>0</v>
      </c>
      <c r="Q41" s="91">
        <f>('16.1н'!Q41+'16.2н'!Q41+'16.3н'!Q41)/3</f>
        <v>0</v>
      </c>
      <c r="R41" s="91">
        <f>('16.1н'!B41+'16.2н'!B41+'16.3н'!B41)/3</f>
        <v>0.36774734340762166</v>
      </c>
    </row>
    <row r="42" spans="1:18" x14ac:dyDescent="0.25">
      <c r="A42" s="84">
        <v>41</v>
      </c>
      <c r="B42" s="84" t="s">
        <v>43</v>
      </c>
      <c r="C42" s="91" t="e">
        <f>('16.1н'!#REF!+'16.2н'!#REF!+'16.3н'!#REF!)/3</f>
        <v>#REF!</v>
      </c>
      <c r="D42" s="91" t="e">
        <f>('16.1н'!#REF!+'16.2н'!#REF!+'16.3н'!#REF!)/3</f>
        <v>#REF!</v>
      </c>
      <c r="E42" s="91">
        <f>('16.1н'!E42+'16.2н'!E42+'16.3н'!E42)/3</f>
        <v>0</v>
      </c>
      <c r="F42" s="91">
        <f>('16.1н'!F42+'16.2н'!F42+'16.3н'!F42)/3</f>
        <v>0</v>
      </c>
      <c r="G42" s="91">
        <f>('16.1н'!G42+'16.2н'!G42+'16.3н'!G42)/3</f>
        <v>0</v>
      </c>
      <c r="H42" s="91">
        <f>('16.1н'!H42+'16.2н'!H42+'16.3н'!H42)/3</f>
        <v>0</v>
      </c>
      <c r="I42" s="91">
        <f>('16.1н'!I42+'16.2н'!I42+'16.3н'!I42)/3</f>
        <v>0</v>
      </c>
      <c r="J42" s="91">
        <f>('16.1н'!J42+'16.2н'!J42+'16.3н'!J42)/3</f>
        <v>0</v>
      </c>
      <c r="K42" s="91">
        <f>('16.1н'!K42+'16.2н'!K42+'16.3н'!K42)/3</f>
        <v>0</v>
      </c>
      <c r="L42" s="91">
        <f>('16.1н'!L42+'16.2н'!L42+'16.3н'!L42)/3</f>
        <v>0</v>
      </c>
      <c r="M42" s="91">
        <f>('16.1н'!M42+'16.2н'!M42+'16.3н'!M42)/3</f>
        <v>0</v>
      </c>
      <c r="N42" s="91">
        <f>('16.1н'!N42+'16.2н'!N42+'16.3н'!N42)/3</f>
        <v>0</v>
      </c>
      <c r="O42" s="91">
        <f>('16.1н'!O42+'16.2н'!O42+'16.3н'!O42)/3</f>
        <v>0</v>
      </c>
      <c r="P42" s="91">
        <f>('16.1н'!P42+'16.2н'!P42+'16.3н'!P42)/3</f>
        <v>0</v>
      </c>
      <c r="Q42" s="91">
        <f>('16.1н'!Q42+'16.2н'!Q42+'16.3н'!Q42)/3</f>
        <v>0</v>
      </c>
      <c r="R42" s="91">
        <f>('16.1н'!B42+'16.2н'!B42+'16.3н'!B42)/3</f>
        <v>0.39443094833596737</v>
      </c>
    </row>
    <row r="43" spans="1:18" x14ac:dyDescent="0.25">
      <c r="A43" s="84">
        <v>42</v>
      </c>
      <c r="B43" s="84" t="s">
        <v>40</v>
      </c>
      <c r="C43" s="91" t="e">
        <f>('16.1н'!#REF!+'16.2н'!#REF!+'16.3н'!#REF!)/3</f>
        <v>#REF!</v>
      </c>
      <c r="D43" s="91" t="e">
        <f>('16.1н'!#REF!+'16.2н'!#REF!+'16.3н'!#REF!)/3</f>
        <v>#REF!</v>
      </c>
      <c r="E43" s="91">
        <f>('16.1н'!E43+'16.2н'!E43+'16.3н'!E43)/3</f>
        <v>0</v>
      </c>
      <c r="F43" s="91">
        <f>('16.1н'!F43+'16.2н'!F43+'16.3н'!F43)/3</f>
        <v>0</v>
      </c>
      <c r="G43" s="91">
        <f>('16.1н'!G43+'16.2н'!G43+'16.3н'!G43)/3</f>
        <v>0</v>
      </c>
      <c r="H43" s="91">
        <f>('16.1н'!H43+'16.2н'!H43+'16.3н'!H43)/3</f>
        <v>0</v>
      </c>
      <c r="I43" s="91">
        <f>('16.1н'!I43+'16.2н'!I43+'16.3н'!I43)/3</f>
        <v>0</v>
      </c>
      <c r="J43" s="91">
        <f>('16.1н'!J43+'16.2н'!J43+'16.3н'!J43)/3</f>
        <v>0</v>
      </c>
      <c r="K43" s="91">
        <f>('16.1н'!K43+'16.2н'!K43+'16.3н'!K43)/3</f>
        <v>0</v>
      </c>
      <c r="L43" s="91">
        <f>('16.1н'!L43+'16.2н'!L43+'16.3н'!L43)/3</f>
        <v>0</v>
      </c>
      <c r="M43" s="91">
        <f>('16.1н'!M43+'16.2н'!M43+'16.3н'!M43)/3</f>
        <v>0</v>
      </c>
      <c r="N43" s="91">
        <f>('16.1н'!N43+'16.2н'!N43+'16.3н'!N43)/3</f>
        <v>0</v>
      </c>
      <c r="O43" s="91">
        <f>('16.1н'!O43+'16.2н'!O43+'16.3н'!O43)/3</f>
        <v>0</v>
      </c>
      <c r="P43" s="91">
        <f>('16.1н'!P43+'16.2н'!P43+'16.3н'!P43)/3</f>
        <v>0</v>
      </c>
      <c r="Q43" s="91">
        <f>('16.1н'!Q43+'16.2н'!Q43+'16.3н'!Q43)/3</f>
        <v>0</v>
      </c>
      <c r="R43" s="91">
        <f>('16.1н'!B43+'16.2н'!B43+'16.3н'!B43)/3</f>
        <v>0.42338315677754795</v>
      </c>
    </row>
    <row r="44" spans="1:18" x14ac:dyDescent="0.25">
      <c r="A44" s="84">
        <v>43</v>
      </c>
      <c r="B44" s="84" t="s">
        <v>41</v>
      </c>
      <c r="C44" s="91" t="e">
        <f>('16.1н'!#REF!+'16.2н'!#REF!+'16.3н'!#REF!)/3</f>
        <v>#REF!</v>
      </c>
      <c r="D44" s="91" t="e">
        <f>('16.1н'!#REF!+'16.2н'!#REF!+'16.3н'!#REF!)/3</f>
        <v>#REF!</v>
      </c>
      <c r="E44" s="91">
        <f>('16.1н'!E44+'16.2н'!E44+'16.3н'!E44)/3</f>
        <v>0</v>
      </c>
      <c r="F44" s="91">
        <f>('16.1н'!F44+'16.2н'!F44+'16.3н'!F44)/3</f>
        <v>0</v>
      </c>
      <c r="G44" s="91">
        <f>('16.1н'!G44+'16.2н'!G44+'16.3н'!G44)/3</f>
        <v>0</v>
      </c>
      <c r="H44" s="91">
        <f>('16.1н'!H44+'16.2н'!H44+'16.3н'!H44)/3</f>
        <v>0</v>
      </c>
      <c r="I44" s="91">
        <f>('16.1н'!I44+'16.2н'!I44+'16.3н'!I44)/3</f>
        <v>0</v>
      </c>
      <c r="J44" s="91">
        <f>('16.1н'!J44+'16.2н'!J44+'16.3н'!J44)/3</f>
        <v>0</v>
      </c>
      <c r="K44" s="91">
        <f>('16.1н'!K44+'16.2н'!K44+'16.3н'!K44)/3</f>
        <v>0</v>
      </c>
      <c r="L44" s="91">
        <f>('16.1н'!L44+'16.2н'!L44+'16.3н'!L44)/3</f>
        <v>0</v>
      </c>
      <c r="M44" s="91">
        <f>('16.1н'!M44+'16.2н'!M44+'16.3н'!M44)/3</f>
        <v>0</v>
      </c>
      <c r="N44" s="91">
        <f>('16.1н'!N44+'16.2н'!N44+'16.3н'!N44)/3</f>
        <v>0</v>
      </c>
      <c r="O44" s="91">
        <f>('16.1н'!O44+'16.2н'!O44+'16.3н'!O44)/3</f>
        <v>0</v>
      </c>
      <c r="P44" s="91">
        <f>('16.1н'!P44+'16.2н'!P44+'16.3н'!P44)/3</f>
        <v>0</v>
      </c>
      <c r="Q44" s="91">
        <f>('16.1н'!Q44+'16.2н'!Q44+'16.3н'!Q44)/3</f>
        <v>0</v>
      </c>
      <c r="R44" s="91">
        <f>('16.1н'!B44+'16.2н'!B44+'16.3н'!B44)/3</f>
        <v>0.44172372800147564</v>
      </c>
    </row>
    <row r="45" spans="1:18" x14ac:dyDescent="0.25">
      <c r="A45" s="84">
        <v>44</v>
      </c>
      <c r="B45" s="84" t="s">
        <v>44</v>
      </c>
      <c r="C45" s="91" t="e">
        <f>('16.1н'!#REF!+'16.2н'!#REF!+'16.3н'!#REF!)/3</f>
        <v>#REF!</v>
      </c>
      <c r="D45" s="91" t="e">
        <f>('16.1н'!#REF!+'16.2н'!#REF!+'16.3н'!#REF!)/3</f>
        <v>#REF!</v>
      </c>
      <c r="E45" s="91">
        <f>('16.1н'!E45+'16.2н'!E45+'16.3н'!E45)/3</f>
        <v>0</v>
      </c>
      <c r="F45" s="91">
        <f>('16.1н'!F45+'16.2н'!F45+'16.3н'!F45)/3</f>
        <v>0</v>
      </c>
      <c r="G45" s="91">
        <f>('16.1н'!G45+'16.2н'!G45+'16.3н'!G45)/3</f>
        <v>0</v>
      </c>
      <c r="H45" s="91">
        <f>('16.1н'!H45+'16.2н'!H45+'16.3н'!H45)/3</f>
        <v>0</v>
      </c>
      <c r="I45" s="91">
        <f>('16.1н'!I45+'16.2н'!I45+'16.3н'!I45)/3</f>
        <v>0</v>
      </c>
      <c r="J45" s="91">
        <f>('16.1н'!J45+'16.2н'!J45+'16.3н'!J45)/3</f>
        <v>0</v>
      </c>
      <c r="K45" s="91">
        <f>('16.1н'!K45+'16.2н'!K45+'16.3н'!K45)/3</f>
        <v>0</v>
      </c>
      <c r="L45" s="91">
        <f>('16.1н'!L45+'16.2н'!L45+'16.3н'!L45)/3</f>
        <v>0</v>
      </c>
      <c r="M45" s="91">
        <f>('16.1н'!M45+'16.2н'!M45+'16.3н'!M45)/3</f>
        <v>0</v>
      </c>
      <c r="N45" s="91">
        <f>('16.1н'!N45+'16.2н'!N45+'16.3н'!N45)/3</f>
        <v>0</v>
      </c>
      <c r="O45" s="91">
        <f>('16.1н'!O45+'16.2н'!O45+'16.3н'!O45)/3</f>
        <v>0</v>
      </c>
      <c r="P45" s="91">
        <f>('16.1н'!P45+'16.2н'!P45+'16.3н'!P45)/3</f>
        <v>0</v>
      </c>
      <c r="Q45" s="91">
        <f>('16.1н'!Q45+'16.2н'!Q45+'16.3н'!Q45)/3</f>
        <v>0</v>
      </c>
      <c r="R45" s="91">
        <f>('16.1н'!B45+'16.2н'!B45+'16.3н'!B45)/3</f>
        <v>0.4693633263655812</v>
      </c>
    </row>
    <row r="46" spans="1:18" x14ac:dyDescent="0.25">
      <c r="A46" s="84">
        <v>45</v>
      </c>
      <c r="B46" s="84" t="s">
        <v>45</v>
      </c>
      <c r="C46" s="91" t="e">
        <f>('16.1н'!#REF!+'16.2н'!#REF!+'16.3н'!#REF!)/3</f>
        <v>#REF!</v>
      </c>
      <c r="D46" s="91" t="e">
        <f>('16.1н'!#REF!+'16.2н'!#REF!+'16.3н'!#REF!)/3</f>
        <v>#REF!</v>
      </c>
      <c r="E46" s="91">
        <f>('16.1н'!E46+'16.2н'!E46+'16.3н'!E46)/3</f>
        <v>0</v>
      </c>
      <c r="F46" s="91">
        <f>('16.1н'!F46+'16.2н'!F46+'16.3н'!F46)/3</f>
        <v>0</v>
      </c>
      <c r="G46" s="91">
        <f>('16.1н'!G46+'16.2н'!G46+'16.3н'!G46)/3</f>
        <v>0</v>
      </c>
      <c r="H46" s="91">
        <f>('16.1н'!H46+'16.2н'!H46+'16.3н'!H46)/3</f>
        <v>0</v>
      </c>
      <c r="I46" s="91">
        <f>('16.1н'!I46+'16.2н'!I46+'16.3н'!I46)/3</f>
        <v>0</v>
      </c>
      <c r="J46" s="91">
        <f>('16.1н'!J46+'16.2н'!J46+'16.3н'!J46)/3</f>
        <v>0</v>
      </c>
      <c r="K46" s="91">
        <f>('16.1н'!K46+'16.2н'!K46+'16.3н'!K46)/3</f>
        <v>0</v>
      </c>
      <c r="L46" s="91">
        <f>('16.1н'!L46+'16.2н'!L46+'16.3н'!L46)/3</f>
        <v>0</v>
      </c>
      <c r="M46" s="91">
        <f>('16.1н'!M46+'16.2н'!M46+'16.3н'!M46)/3</f>
        <v>0</v>
      </c>
      <c r="N46" s="91">
        <f>('16.1н'!N46+'16.2н'!N46+'16.3н'!N46)/3</f>
        <v>0</v>
      </c>
      <c r="O46" s="91">
        <f>('16.1н'!O46+'16.2н'!O46+'16.3н'!O46)/3</f>
        <v>0</v>
      </c>
      <c r="P46" s="91">
        <f>('16.1н'!P46+'16.2н'!P46+'16.3н'!P46)/3</f>
        <v>0</v>
      </c>
      <c r="Q46" s="91">
        <f>('16.1н'!Q46+'16.2н'!Q46+'16.3н'!Q46)/3</f>
        <v>0</v>
      </c>
      <c r="R46" s="91">
        <f>('16.1н'!B46+'16.2н'!B46+'16.3н'!B46)/3</f>
        <v>0.50408498255538792</v>
      </c>
    </row>
    <row r="47" spans="1:18" x14ac:dyDescent="0.25">
      <c r="A47" s="84">
        <v>46</v>
      </c>
      <c r="B47" s="84" t="s">
        <v>46</v>
      </c>
      <c r="C47" s="91" t="e">
        <f>('16.1н'!#REF!+'16.2н'!#REF!+'16.3н'!#REF!)/3</f>
        <v>#REF!</v>
      </c>
      <c r="D47" s="91" t="e">
        <f>('16.1н'!#REF!+'16.2н'!#REF!+'16.3н'!#REF!)/3</f>
        <v>#REF!</v>
      </c>
      <c r="E47" s="91">
        <f>('16.1н'!E47+'16.2н'!E47+'16.3н'!E47)/3</f>
        <v>0</v>
      </c>
      <c r="F47" s="91">
        <f>('16.1н'!F47+'16.2н'!F47+'16.3н'!F47)/3</f>
        <v>0</v>
      </c>
      <c r="G47" s="91">
        <f>('16.1н'!G47+'16.2н'!G47+'16.3н'!G47)/3</f>
        <v>0</v>
      </c>
      <c r="H47" s="91">
        <f>('16.1н'!H47+'16.2н'!H47+'16.3н'!H47)/3</f>
        <v>0</v>
      </c>
      <c r="I47" s="91">
        <f>('16.1н'!I47+'16.2н'!I47+'16.3н'!I47)/3</f>
        <v>0</v>
      </c>
      <c r="J47" s="91">
        <f>('16.1н'!J47+'16.2н'!J47+'16.3н'!J47)/3</f>
        <v>0</v>
      </c>
      <c r="K47" s="91">
        <f>('16.1н'!K47+'16.2н'!K47+'16.3н'!K47)/3</f>
        <v>0</v>
      </c>
      <c r="L47" s="91">
        <f>('16.1н'!L47+'16.2н'!L47+'16.3н'!L47)/3</f>
        <v>0</v>
      </c>
      <c r="M47" s="91">
        <f>('16.1н'!M47+'16.2н'!M47+'16.3н'!M47)/3</f>
        <v>0</v>
      </c>
      <c r="N47" s="91">
        <f>('16.1н'!N47+'16.2н'!N47+'16.3н'!N47)/3</f>
        <v>0</v>
      </c>
      <c r="O47" s="91">
        <f>('16.1н'!O47+'16.2н'!O47+'16.3н'!O47)/3</f>
        <v>0</v>
      </c>
      <c r="P47" s="91">
        <f>('16.1н'!P47+'16.2н'!P47+'16.3н'!P47)/3</f>
        <v>0</v>
      </c>
      <c r="Q47" s="91">
        <f>('16.1н'!Q47+'16.2н'!Q47+'16.3н'!Q47)/3</f>
        <v>0</v>
      </c>
      <c r="R47" s="91">
        <f>('16.1н'!B47+'16.2н'!B47+'16.3н'!B47)/3</f>
        <v>0.45765359120303223</v>
      </c>
    </row>
    <row r="48" spans="1:18" x14ac:dyDescent="0.25">
      <c r="A48" s="84">
        <v>47</v>
      </c>
      <c r="B48" s="84" t="s">
        <v>47</v>
      </c>
      <c r="C48" s="91" t="e">
        <f>('16.1н'!#REF!+'16.2н'!#REF!+'16.3н'!#REF!)/3</f>
        <v>#REF!</v>
      </c>
      <c r="D48" s="91" t="e">
        <f>('16.1н'!#REF!+'16.2н'!#REF!+'16.3н'!#REF!)/3</f>
        <v>#REF!</v>
      </c>
      <c r="E48" s="91">
        <f>('16.1н'!E48+'16.2н'!E48+'16.3н'!E48)/3</f>
        <v>0</v>
      </c>
      <c r="F48" s="91">
        <f>('16.1н'!F48+'16.2н'!F48+'16.3н'!F48)/3</f>
        <v>0</v>
      </c>
      <c r="G48" s="91">
        <f>('16.1н'!G48+'16.2н'!G48+'16.3н'!G48)/3</f>
        <v>0</v>
      </c>
      <c r="H48" s="91">
        <f>('16.1н'!H48+'16.2н'!H48+'16.3н'!H48)/3</f>
        <v>0</v>
      </c>
      <c r="I48" s="91">
        <f>('16.1н'!I48+'16.2н'!I48+'16.3н'!I48)/3</f>
        <v>0</v>
      </c>
      <c r="J48" s="91">
        <f>('16.1н'!J48+'16.2н'!J48+'16.3н'!J48)/3</f>
        <v>0</v>
      </c>
      <c r="K48" s="91">
        <f>('16.1н'!K48+'16.2н'!K48+'16.3н'!K48)/3</f>
        <v>0</v>
      </c>
      <c r="L48" s="91">
        <f>('16.1н'!L48+'16.2н'!L48+'16.3н'!L48)/3</f>
        <v>0</v>
      </c>
      <c r="M48" s="91">
        <f>('16.1н'!M48+'16.2н'!M48+'16.3н'!M48)/3</f>
        <v>0</v>
      </c>
      <c r="N48" s="91">
        <f>('16.1н'!N48+'16.2н'!N48+'16.3н'!N48)/3</f>
        <v>0</v>
      </c>
      <c r="O48" s="91">
        <f>('16.1н'!O48+'16.2н'!O48+'16.3н'!O48)/3</f>
        <v>0</v>
      </c>
      <c r="P48" s="91">
        <f>('16.1н'!P48+'16.2н'!P48+'16.3н'!P48)/3</f>
        <v>0</v>
      </c>
      <c r="Q48" s="91">
        <f>('16.1н'!Q48+'16.2н'!Q48+'16.3н'!Q48)/3</f>
        <v>0</v>
      </c>
      <c r="R48" s="91">
        <f>('16.1н'!B48+'16.2н'!B48+'16.3н'!B48)/3</f>
        <v>0.52275255608551829</v>
      </c>
    </row>
    <row r="49" spans="1:18" x14ac:dyDescent="0.25">
      <c r="A49" s="84">
        <v>48</v>
      </c>
      <c r="B49" s="84" t="s">
        <v>48</v>
      </c>
      <c r="C49" s="91" t="e">
        <f>('16.1н'!#REF!+'16.2н'!#REF!+'16.3н'!#REF!)/3</f>
        <v>#REF!</v>
      </c>
      <c r="D49" s="91" t="e">
        <f>('16.1н'!#REF!+'16.2н'!#REF!+'16.3н'!#REF!)/3</f>
        <v>#REF!</v>
      </c>
      <c r="E49" s="91">
        <f>('16.1н'!E49+'16.2н'!E49+'16.3н'!E49)/3</f>
        <v>0</v>
      </c>
      <c r="F49" s="91">
        <f>('16.1н'!F49+'16.2н'!F49+'16.3н'!F49)/3</f>
        <v>0</v>
      </c>
      <c r="G49" s="91">
        <f>('16.1н'!G49+'16.2н'!G49+'16.3н'!G49)/3</f>
        <v>0</v>
      </c>
      <c r="H49" s="91">
        <f>('16.1н'!H49+'16.2н'!H49+'16.3н'!H49)/3</f>
        <v>0</v>
      </c>
      <c r="I49" s="91">
        <f>('16.1н'!I49+'16.2н'!I49+'16.3н'!I49)/3</f>
        <v>0</v>
      </c>
      <c r="J49" s="91">
        <f>('16.1н'!J49+'16.2н'!J49+'16.3н'!J49)/3</f>
        <v>0</v>
      </c>
      <c r="K49" s="91">
        <f>('16.1н'!K49+'16.2н'!K49+'16.3н'!K49)/3</f>
        <v>0</v>
      </c>
      <c r="L49" s="91">
        <f>('16.1н'!L49+'16.2н'!L49+'16.3н'!L49)/3</f>
        <v>0</v>
      </c>
      <c r="M49" s="91">
        <f>('16.1н'!M49+'16.2н'!M49+'16.3н'!M49)/3</f>
        <v>0</v>
      </c>
      <c r="N49" s="91">
        <f>('16.1н'!N49+'16.2н'!N49+'16.3н'!N49)/3</f>
        <v>0</v>
      </c>
      <c r="O49" s="91">
        <f>('16.1н'!O49+'16.2н'!O49+'16.3н'!O49)/3</f>
        <v>0</v>
      </c>
      <c r="P49" s="91">
        <f>('16.1н'!P49+'16.2н'!P49+'16.3н'!P49)/3</f>
        <v>0</v>
      </c>
      <c r="Q49" s="91">
        <f>('16.1н'!Q49+'16.2н'!Q49+'16.3н'!Q49)/3</f>
        <v>0</v>
      </c>
      <c r="R49" s="91">
        <f>('16.1н'!B49+'16.2н'!B49+'16.3н'!B49)/3</f>
        <v>0.45752661042329096</v>
      </c>
    </row>
    <row r="50" spans="1:18" x14ac:dyDescent="0.25">
      <c r="A50" s="84">
        <v>49</v>
      </c>
      <c r="B50" s="84" t="s">
        <v>49</v>
      </c>
      <c r="C50" s="91" t="e">
        <f>('16.1н'!#REF!+'16.2н'!#REF!+'16.3н'!#REF!)/3</f>
        <v>#REF!</v>
      </c>
      <c r="D50" s="91" t="e">
        <f>('16.1н'!#REF!+'16.2н'!#REF!+'16.3н'!#REF!)/3</f>
        <v>#REF!</v>
      </c>
      <c r="E50" s="91">
        <f>('16.1н'!E50+'16.2н'!E50+'16.3н'!E50)/3</f>
        <v>0</v>
      </c>
      <c r="F50" s="91">
        <f>('16.1н'!F50+'16.2н'!F50+'16.3н'!F50)/3</f>
        <v>0</v>
      </c>
      <c r="G50" s="91">
        <f>('16.1н'!G50+'16.2н'!G50+'16.3н'!G50)/3</f>
        <v>0</v>
      </c>
      <c r="H50" s="91">
        <f>('16.1н'!H50+'16.2н'!H50+'16.3н'!H50)/3</f>
        <v>0</v>
      </c>
      <c r="I50" s="91">
        <f>('16.1н'!I50+'16.2н'!I50+'16.3н'!I50)/3</f>
        <v>0</v>
      </c>
      <c r="J50" s="91">
        <f>('16.1н'!J50+'16.2н'!J50+'16.3н'!J50)/3</f>
        <v>0</v>
      </c>
      <c r="K50" s="91">
        <f>('16.1н'!K50+'16.2н'!K50+'16.3н'!K50)/3</f>
        <v>0</v>
      </c>
      <c r="L50" s="91">
        <f>('16.1н'!L50+'16.2н'!L50+'16.3н'!L50)/3</f>
        <v>0</v>
      </c>
      <c r="M50" s="91">
        <f>('16.1н'!M50+'16.2н'!M50+'16.3н'!M50)/3</f>
        <v>0</v>
      </c>
      <c r="N50" s="91">
        <f>('16.1н'!N50+'16.2н'!N50+'16.3н'!N50)/3</f>
        <v>0</v>
      </c>
      <c r="O50" s="91">
        <f>('16.1н'!O50+'16.2н'!O50+'16.3н'!O50)/3</f>
        <v>0</v>
      </c>
      <c r="P50" s="91">
        <f>('16.1н'!P50+'16.2н'!P50+'16.3н'!P50)/3</f>
        <v>0</v>
      </c>
      <c r="Q50" s="91">
        <f>('16.1н'!Q50+'16.2н'!Q50+'16.3н'!Q50)/3</f>
        <v>0</v>
      </c>
      <c r="R50" s="91">
        <f>('16.1н'!B50+'16.2н'!B50+'16.3н'!B50)/3</f>
        <v>0.46425283473101792</v>
      </c>
    </row>
    <row r="51" spans="1:18" x14ac:dyDescent="0.25">
      <c r="A51" s="84">
        <v>50</v>
      </c>
      <c r="B51" s="84" t="s">
        <v>50</v>
      </c>
      <c r="C51" s="91" t="e">
        <f>('16.1н'!#REF!+'16.2н'!#REF!+'16.3н'!#REF!)/3</f>
        <v>#REF!</v>
      </c>
      <c r="D51" s="91" t="e">
        <f>('16.1н'!#REF!+'16.2н'!#REF!+'16.3н'!#REF!)/3</f>
        <v>#REF!</v>
      </c>
      <c r="E51" s="91">
        <f>('16.1н'!E51+'16.2н'!E51+'16.3н'!E51)/3</f>
        <v>0</v>
      </c>
      <c r="F51" s="91">
        <f>('16.1н'!F51+'16.2н'!F51+'16.3н'!F51)/3</f>
        <v>0</v>
      </c>
      <c r="G51" s="91">
        <f>('16.1н'!G51+'16.2н'!G51+'16.3н'!G51)/3</f>
        <v>0</v>
      </c>
      <c r="H51" s="91">
        <f>('16.1н'!H51+'16.2н'!H51+'16.3н'!H51)/3</f>
        <v>0</v>
      </c>
      <c r="I51" s="91">
        <f>('16.1н'!I51+'16.2н'!I51+'16.3н'!I51)/3</f>
        <v>0</v>
      </c>
      <c r="J51" s="91">
        <f>('16.1н'!J51+'16.2н'!J51+'16.3н'!J51)/3</f>
        <v>0</v>
      </c>
      <c r="K51" s="91">
        <f>('16.1н'!K51+'16.2н'!K51+'16.3н'!K51)/3</f>
        <v>0</v>
      </c>
      <c r="L51" s="91">
        <f>('16.1н'!L51+'16.2н'!L51+'16.3н'!L51)/3</f>
        <v>0</v>
      </c>
      <c r="M51" s="91">
        <f>('16.1н'!M51+'16.2н'!M51+'16.3н'!M51)/3</f>
        <v>0</v>
      </c>
      <c r="N51" s="91">
        <f>('16.1н'!N51+'16.2н'!N51+'16.3н'!N51)/3</f>
        <v>0</v>
      </c>
      <c r="O51" s="91">
        <f>('16.1н'!O51+'16.2н'!O51+'16.3н'!O51)/3</f>
        <v>0</v>
      </c>
      <c r="P51" s="91">
        <f>('16.1н'!P51+'16.2н'!P51+'16.3н'!P51)/3</f>
        <v>0</v>
      </c>
      <c r="Q51" s="91">
        <f>('16.1н'!Q51+'16.2н'!Q51+'16.3н'!Q51)/3</f>
        <v>0</v>
      </c>
      <c r="R51" s="91">
        <f>('16.1н'!B51+'16.2н'!B51+'16.3н'!B51)/3</f>
        <v>0.47270610200050478</v>
      </c>
    </row>
    <row r="52" spans="1:18" x14ac:dyDescent="0.25">
      <c r="A52" s="84">
        <v>51</v>
      </c>
      <c r="B52" s="84" t="s">
        <v>51</v>
      </c>
      <c r="C52" s="91" t="e">
        <f>('16.1н'!#REF!+'16.2н'!#REF!+'16.3н'!#REF!)/3</f>
        <v>#REF!</v>
      </c>
      <c r="D52" s="91" t="e">
        <f>('16.1н'!#REF!+'16.2н'!#REF!+'16.3н'!#REF!)/3</f>
        <v>#REF!</v>
      </c>
      <c r="E52" s="91">
        <f>('16.1н'!E52+'16.2н'!E52+'16.3н'!E52)/3</f>
        <v>0</v>
      </c>
      <c r="F52" s="91">
        <f>('16.1н'!F52+'16.2н'!F52+'16.3н'!F52)/3</f>
        <v>0</v>
      </c>
      <c r="G52" s="91">
        <f>('16.1н'!G52+'16.2н'!G52+'16.3н'!G52)/3</f>
        <v>0</v>
      </c>
      <c r="H52" s="91">
        <f>('16.1н'!H52+'16.2н'!H52+'16.3н'!H52)/3</f>
        <v>0</v>
      </c>
      <c r="I52" s="91">
        <f>('16.1н'!I52+'16.2н'!I52+'16.3н'!I52)/3</f>
        <v>0</v>
      </c>
      <c r="J52" s="91">
        <f>('16.1н'!J52+'16.2н'!J52+'16.3н'!J52)/3</f>
        <v>0</v>
      </c>
      <c r="K52" s="91">
        <f>('16.1н'!K52+'16.2н'!K52+'16.3н'!K52)/3</f>
        <v>0</v>
      </c>
      <c r="L52" s="91">
        <f>('16.1н'!L52+'16.2н'!L52+'16.3н'!L52)/3</f>
        <v>0</v>
      </c>
      <c r="M52" s="91">
        <f>('16.1н'!M52+'16.2н'!M52+'16.3н'!M52)/3</f>
        <v>0</v>
      </c>
      <c r="N52" s="91">
        <f>('16.1н'!N52+'16.2н'!N52+'16.3н'!N52)/3</f>
        <v>0</v>
      </c>
      <c r="O52" s="91">
        <f>('16.1н'!O52+'16.2н'!O52+'16.3н'!O52)/3</f>
        <v>0</v>
      </c>
      <c r="P52" s="91">
        <f>('16.1н'!P52+'16.2н'!P52+'16.3н'!P52)/3</f>
        <v>0</v>
      </c>
      <c r="Q52" s="91">
        <f>('16.1н'!Q52+'16.2н'!Q52+'16.3н'!Q52)/3</f>
        <v>0</v>
      </c>
      <c r="R52" s="91">
        <f>('16.1н'!B52+'16.2н'!B52+'16.3н'!B52)/3</f>
        <v>0.44419289166623316</v>
      </c>
    </row>
    <row r="53" spans="1:18" x14ac:dyDescent="0.25">
      <c r="A53" s="84">
        <v>52</v>
      </c>
      <c r="B53" s="84" t="s">
        <v>52</v>
      </c>
      <c r="C53" s="91" t="e">
        <f>('16.1н'!#REF!+'16.2н'!#REF!+'16.3н'!#REF!)/3</f>
        <v>#REF!</v>
      </c>
      <c r="D53" s="91" t="e">
        <f>('16.1н'!#REF!+'16.2н'!#REF!+'16.3н'!#REF!)/3</f>
        <v>#REF!</v>
      </c>
      <c r="E53" s="91">
        <f>('16.1н'!E53+'16.2н'!E53+'16.3н'!E53)/3</f>
        <v>0</v>
      </c>
      <c r="F53" s="91">
        <f>('16.1н'!F53+'16.2н'!F53+'16.3н'!F53)/3</f>
        <v>0</v>
      </c>
      <c r="G53" s="91">
        <f>('16.1н'!G53+'16.2н'!G53+'16.3н'!G53)/3</f>
        <v>0</v>
      </c>
      <c r="H53" s="91">
        <f>('16.1н'!H53+'16.2н'!H53+'16.3н'!H53)/3</f>
        <v>0</v>
      </c>
      <c r="I53" s="91">
        <f>('16.1н'!I53+'16.2н'!I53+'16.3н'!I53)/3</f>
        <v>0</v>
      </c>
      <c r="J53" s="91">
        <f>('16.1н'!J53+'16.2н'!J53+'16.3н'!J53)/3</f>
        <v>0</v>
      </c>
      <c r="K53" s="91">
        <f>('16.1н'!K53+'16.2н'!K53+'16.3н'!K53)/3</f>
        <v>0</v>
      </c>
      <c r="L53" s="91">
        <f>('16.1н'!L53+'16.2н'!L53+'16.3н'!L53)/3</f>
        <v>0</v>
      </c>
      <c r="M53" s="91">
        <f>('16.1н'!M53+'16.2н'!M53+'16.3н'!M53)/3</f>
        <v>0</v>
      </c>
      <c r="N53" s="91">
        <f>('16.1н'!N53+'16.2н'!N53+'16.3н'!N53)/3</f>
        <v>0</v>
      </c>
      <c r="O53" s="91">
        <f>('16.1н'!O53+'16.2н'!O53+'16.3н'!O53)/3</f>
        <v>0</v>
      </c>
      <c r="P53" s="91">
        <f>('16.1н'!P53+'16.2н'!P53+'16.3н'!P53)/3</f>
        <v>0</v>
      </c>
      <c r="Q53" s="91">
        <f>('16.1н'!Q53+'16.2н'!Q53+'16.3н'!Q53)/3</f>
        <v>0</v>
      </c>
      <c r="R53" s="91">
        <f>('16.1н'!B53+'16.2н'!B53+'16.3н'!B53)/3</f>
        <v>0.48412893389645711</v>
      </c>
    </row>
    <row r="54" spans="1:18" x14ac:dyDescent="0.25">
      <c r="A54" s="84">
        <v>53</v>
      </c>
      <c r="B54" s="84" t="s">
        <v>53</v>
      </c>
      <c r="C54" s="91" t="e">
        <f>('16.1н'!#REF!+'16.2н'!#REF!+'16.3н'!#REF!)/3</f>
        <v>#REF!</v>
      </c>
      <c r="D54" s="91" t="e">
        <f>('16.1н'!#REF!+'16.2н'!#REF!+'16.3н'!#REF!)/3</f>
        <v>#REF!</v>
      </c>
      <c r="E54" s="91">
        <f>('16.1н'!E54+'16.2н'!E54+'16.3н'!E54)/3</f>
        <v>0</v>
      </c>
      <c r="F54" s="91">
        <f>('16.1н'!F54+'16.2н'!F54+'16.3н'!F54)/3</f>
        <v>0</v>
      </c>
      <c r="G54" s="91">
        <f>('16.1н'!G54+'16.2н'!G54+'16.3н'!G54)/3</f>
        <v>0</v>
      </c>
      <c r="H54" s="91">
        <f>('16.1н'!H54+'16.2н'!H54+'16.3н'!H54)/3</f>
        <v>0</v>
      </c>
      <c r="I54" s="91">
        <f>('16.1н'!I54+'16.2н'!I54+'16.3н'!I54)/3</f>
        <v>0</v>
      </c>
      <c r="J54" s="91">
        <f>('16.1н'!J54+'16.2н'!J54+'16.3н'!J54)/3</f>
        <v>0</v>
      </c>
      <c r="K54" s="91">
        <f>('16.1н'!K54+'16.2н'!K54+'16.3н'!K54)/3</f>
        <v>0</v>
      </c>
      <c r="L54" s="91">
        <f>('16.1н'!L54+'16.2н'!L54+'16.3н'!L54)/3</f>
        <v>0</v>
      </c>
      <c r="M54" s="91">
        <f>('16.1н'!M54+'16.2н'!M54+'16.3н'!M54)/3</f>
        <v>0</v>
      </c>
      <c r="N54" s="91">
        <f>('16.1н'!N54+'16.2н'!N54+'16.3н'!N54)/3</f>
        <v>0</v>
      </c>
      <c r="O54" s="91">
        <f>('16.1н'!O54+'16.2н'!O54+'16.3н'!O54)/3</f>
        <v>0</v>
      </c>
      <c r="P54" s="91">
        <f>('16.1н'!P54+'16.2н'!P54+'16.3н'!P54)/3</f>
        <v>0</v>
      </c>
      <c r="Q54" s="91">
        <f>('16.1н'!Q54+'16.2н'!Q54+'16.3н'!Q54)/3</f>
        <v>0</v>
      </c>
      <c r="R54" s="91">
        <f>('16.1н'!B54+'16.2н'!B54+'16.3н'!B54)/3</f>
        <v>0.47803504105560174</v>
      </c>
    </row>
    <row r="55" spans="1:18" x14ac:dyDescent="0.25">
      <c r="A55" s="84">
        <v>54</v>
      </c>
      <c r="B55" s="84" t="s">
        <v>54</v>
      </c>
      <c r="C55" s="91" t="e">
        <f>('16.1н'!#REF!+'16.2н'!#REF!+'16.3н'!#REF!)/3</f>
        <v>#REF!</v>
      </c>
      <c r="D55" s="91" t="e">
        <f>('16.1н'!#REF!+'16.2н'!#REF!+'16.3н'!#REF!)/3</f>
        <v>#REF!</v>
      </c>
      <c r="E55" s="91">
        <f>('16.1н'!E55+'16.2н'!E55+'16.3н'!E55)/3</f>
        <v>0</v>
      </c>
      <c r="F55" s="91">
        <f>('16.1н'!F55+'16.2н'!F55+'16.3н'!F55)/3</f>
        <v>0</v>
      </c>
      <c r="G55" s="91">
        <f>('16.1н'!G55+'16.2н'!G55+'16.3н'!G55)/3</f>
        <v>0</v>
      </c>
      <c r="H55" s="91">
        <f>('16.1н'!H55+'16.2н'!H55+'16.3н'!H55)/3</f>
        <v>0</v>
      </c>
      <c r="I55" s="91">
        <f>('16.1н'!I55+'16.2н'!I55+'16.3н'!I55)/3</f>
        <v>0</v>
      </c>
      <c r="J55" s="91">
        <f>('16.1н'!J55+'16.2н'!J55+'16.3н'!J55)/3</f>
        <v>0</v>
      </c>
      <c r="K55" s="91">
        <f>('16.1н'!K55+'16.2н'!K55+'16.3н'!K55)/3</f>
        <v>0</v>
      </c>
      <c r="L55" s="91">
        <f>('16.1н'!L55+'16.2н'!L55+'16.3н'!L55)/3</f>
        <v>0</v>
      </c>
      <c r="M55" s="91">
        <f>('16.1н'!M55+'16.2н'!M55+'16.3н'!M55)/3</f>
        <v>0</v>
      </c>
      <c r="N55" s="91">
        <f>('16.1н'!N55+'16.2н'!N55+'16.3н'!N55)/3</f>
        <v>0</v>
      </c>
      <c r="O55" s="91">
        <f>('16.1н'!O55+'16.2н'!O55+'16.3н'!O55)/3</f>
        <v>0</v>
      </c>
      <c r="P55" s="91">
        <f>('16.1н'!P55+'16.2н'!P55+'16.3н'!P55)/3</f>
        <v>0</v>
      </c>
      <c r="Q55" s="91">
        <f>('16.1н'!Q55+'16.2н'!Q55+'16.3н'!Q55)/3</f>
        <v>0</v>
      </c>
      <c r="R55" s="91">
        <f>('16.1н'!B55+'16.2н'!B55+'16.3н'!B55)/3</f>
        <v>0.51796099724871114</v>
      </c>
    </row>
    <row r="56" spans="1:18" x14ac:dyDescent="0.25">
      <c r="A56" s="84">
        <v>55</v>
      </c>
      <c r="B56" s="84" t="s">
        <v>55</v>
      </c>
      <c r="C56" s="91" t="e">
        <f>('16.1н'!#REF!+'16.2н'!#REF!+'16.3н'!#REF!)/3</f>
        <v>#REF!</v>
      </c>
      <c r="D56" s="91" t="e">
        <f>('16.1н'!#REF!+'16.2н'!#REF!+'16.3н'!#REF!)/3</f>
        <v>#REF!</v>
      </c>
      <c r="E56" s="91">
        <f>('16.1н'!E56+'16.2н'!E56+'16.3н'!E56)/3</f>
        <v>0</v>
      </c>
      <c r="F56" s="91">
        <f>('16.1н'!F56+'16.2н'!F56+'16.3н'!F56)/3</f>
        <v>0</v>
      </c>
      <c r="G56" s="91">
        <f>('16.1н'!G56+'16.2н'!G56+'16.3н'!G56)/3</f>
        <v>0</v>
      </c>
      <c r="H56" s="91">
        <f>('16.1н'!H56+'16.2н'!H56+'16.3н'!H56)/3</f>
        <v>0</v>
      </c>
      <c r="I56" s="91">
        <f>('16.1н'!I56+'16.2н'!I56+'16.3н'!I56)/3</f>
        <v>0</v>
      </c>
      <c r="J56" s="91">
        <f>('16.1н'!J56+'16.2н'!J56+'16.3н'!J56)/3</f>
        <v>0</v>
      </c>
      <c r="K56" s="91">
        <f>('16.1н'!K56+'16.2н'!K56+'16.3н'!K56)/3</f>
        <v>0</v>
      </c>
      <c r="L56" s="91">
        <f>('16.1н'!L56+'16.2н'!L56+'16.3н'!L56)/3</f>
        <v>0</v>
      </c>
      <c r="M56" s="91">
        <f>('16.1н'!M56+'16.2н'!M56+'16.3н'!M56)/3</f>
        <v>0</v>
      </c>
      <c r="N56" s="91">
        <f>('16.1н'!N56+'16.2н'!N56+'16.3н'!N56)/3</f>
        <v>0</v>
      </c>
      <c r="O56" s="91">
        <f>('16.1н'!O56+'16.2н'!O56+'16.3н'!O56)/3</f>
        <v>0</v>
      </c>
      <c r="P56" s="91">
        <f>('16.1н'!P56+'16.2н'!P56+'16.3н'!P56)/3</f>
        <v>0</v>
      </c>
      <c r="Q56" s="91">
        <f>('16.1н'!Q56+'16.2н'!Q56+'16.3н'!Q56)/3</f>
        <v>0</v>
      </c>
      <c r="R56" s="91">
        <f>('16.1н'!B56+'16.2н'!B56+'16.3н'!B56)/3</f>
        <v>0.45499565772081185</v>
      </c>
    </row>
    <row r="57" spans="1:18" x14ac:dyDescent="0.25">
      <c r="A57" s="84">
        <v>56</v>
      </c>
      <c r="B57" s="84" t="s">
        <v>56</v>
      </c>
      <c r="C57" s="91" t="e">
        <f>('16.1н'!#REF!+'16.2н'!#REF!+'16.3н'!#REF!)/3</f>
        <v>#REF!</v>
      </c>
      <c r="D57" s="91" t="e">
        <f>('16.1н'!#REF!+'16.2н'!#REF!+'16.3н'!#REF!)/3</f>
        <v>#REF!</v>
      </c>
      <c r="E57" s="91">
        <f>('16.1н'!E57+'16.2н'!E57+'16.3н'!E57)/3</f>
        <v>0</v>
      </c>
      <c r="F57" s="91">
        <f>('16.1н'!F57+'16.2н'!F57+'16.3н'!F57)/3</f>
        <v>0</v>
      </c>
      <c r="G57" s="91">
        <f>('16.1н'!G57+'16.2н'!G57+'16.3н'!G57)/3</f>
        <v>0</v>
      </c>
      <c r="H57" s="91">
        <f>('16.1н'!H57+'16.2н'!H57+'16.3н'!H57)/3</f>
        <v>0</v>
      </c>
      <c r="I57" s="91">
        <f>('16.1н'!I57+'16.2н'!I57+'16.3н'!I57)/3</f>
        <v>0</v>
      </c>
      <c r="J57" s="91">
        <f>('16.1н'!J57+'16.2н'!J57+'16.3н'!J57)/3</f>
        <v>0</v>
      </c>
      <c r="K57" s="91">
        <f>('16.1н'!K57+'16.2н'!K57+'16.3н'!K57)/3</f>
        <v>0</v>
      </c>
      <c r="L57" s="91">
        <f>('16.1н'!L57+'16.2н'!L57+'16.3н'!L57)/3</f>
        <v>0</v>
      </c>
      <c r="M57" s="91">
        <f>('16.1н'!M57+'16.2н'!M57+'16.3н'!M57)/3</f>
        <v>0</v>
      </c>
      <c r="N57" s="91">
        <f>('16.1н'!N57+'16.2н'!N57+'16.3н'!N57)/3</f>
        <v>0</v>
      </c>
      <c r="O57" s="91">
        <f>('16.1н'!O57+'16.2н'!O57+'16.3н'!O57)/3</f>
        <v>0</v>
      </c>
      <c r="P57" s="91">
        <f>('16.1н'!P57+'16.2н'!P57+'16.3н'!P57)/3</f>
        <v>0</v>
      </c>
      <c r="Q57" s="91">
        <f>('16.1н'!Q57+'16.2н'!Q57+'16.3н'!Q57)/3</f>
        <v>0</v>
      </c>
      <c r="R57" s="91">
        <f>('16.1н'!B57+'16.2н'!B57+'16.3н'!B57)/3</f>
        <v>0.48322887531520647</v>
      </c>
    </row>
    <row r="58" spans="1:18" x14ac:dyDescent="0.25">
      <c r="A58" s="84">
        <v>57</v>
      </c>
      <c r="B58" s="84" t="s">
        <v>57</v>
      </c>
      <c r="C58" s="91" t="e">
        <f>('16.1н'!#REF!+'16.2н'!#REF!+'16.3н'!#REF!)/3</f>
        <v>#REF!</v>
      </c>
      <c r="D58" s="91" t="e">
        <f>('16.1н'!#REF!+'16.2н'!#REF!+'16.3н'!#REF!)/3</f>
        <v>#REF!</v>
      </c>
      <c r="E58" s="91">
        <f>('16.1н'!E58+'16.2н'!E58+'16.3н'!E58)/3</f>
        <v>0</v>
      </c>
      <c r="F58" s="91">
        <f>('16.1н'!F58+'16.2н'!F58+'16.3н'!F58)/3</f>
        <v>0</v>
      </c>
      <c r="G58" s="91">
        <f>('16.1н'!G58+'16.2н'!G58+'16.3н'!G58)/3</f>
        <v>0</v>
      </c>
      <c r="H58" s="91">
        <f>('16.1н'!H58+'16.2н'!H58+'16.3н'!H58)/3</f>
        <v>0</v>
      </c>
      <c r="I58" s="91">
        <f>('16.1н'!I58+'16.2н'!I58+'16.3н'!I58)/3</f>
        <v>0</v>
      </c>
      <c r="J58" s="91">
        <f>('16.1н'!J58+'16.2н'!J58+'16.3н'!J58)/3</f>
        <v>0</v>
      </c>
      <c r="K58" s="91">
        <f>('16.1н'!K58+'16.2н'!K58+'16.3н'!K58)/3</f>
        <v>0</v>
      </c>
      <c r="L58" s="91">
        <f>('16.1н'!L58+'16.2н'!L58+'16.3н'!L58)/3</f>
        <v>0</v>
      </c>
      <c r="M58" s="91">
        <f>('16.1н'!M58+'16.2н'!M58+'16.3н'!M58)/3</f>
        <v>0</v>
      </c>
      <c r="N58" s="91">
        <f>('16.1н'!N58+'16.2н'!N58+'16.3н'!N58)/3</f>
        <v>0</v>
      </c>
      <c r="O58" s="91">
        <f>('16.1н'!O58+'16.2н'!O58+'16.3н'!O58)/3</f>
        <v>0</v>
      </c>
      <c r="P58" s="91">
        <f>('16.1н'!P58+'16.2н'!P58+'16.3н'!P58)/3</f>
        <v>0</v>
      </c>
      <c r="Q58" s="91">
        <f>('16.1н'!Q58+'16.2н'!Q58+'16.3н'!Q58)/3</f>
        <v>0</v>
      </c>
      <c r="R58" s="91">
        <f>('16.1н'!B58+'16.2н'!B58+'16.3н'!B58)/3</f>
        <v>0.54843589101232126</v>
      </c>
    </row>
    <row r="59" spans="1:18" x14ac:dyDescent="0.25">
      <c r="A59" s="84">
        <v>58</v>
      </c>
      <c r="B59" s="84" t="s">
        <v>58</v>
      </c>
      <c r="C59" s="91" t="e">
        <f>('16.1н'!#REF!+'16.2н'!#REF!+'16.3н'!#REF!)/3</f>
        <v>#REF!</v>
      </c>
      <c r="D59" s="91" t="e">
        <f>('16.1н'!#REF!+'16.2н'!#REF!+'16.3н'!#REF!)/3</f>
        <v>#REF!</v>
      </c>
      <c r="E59" s="91">
        <f>('16.1н'!E59+'16.2н'!E59+'16.3н'!E59)/3</f>
        <v>0</v>
      </c>
      <c r="F59" s="91">
        <f>('16.1н'!F59+'16.2н'!F59+'16.3н'!F59)/3</f>
        <v>0</v>
      </c>
      <c r="G59" s="91">
        <f>('16.1н'!G59+'16.2н'!G59+'16.3н'!G59)/3</f>
        <v>0</v>
      </c>
      <c r="H59" s="91">
        <f>('16.1н'!H59+'16.2н'!H59+'16.3н'!H59)/3</f>
        <v>0</v>
      </c>
      <c r="I59" s="91">
        <f>('16.1н'!I59+'16.2н'!I59+'16.3н'!I59)/3</f>
        <v>0</v>
      </c>
      <c r="J59" s="91">
        <f>('16.1н'!J59+'16.2н'!J59+'16.3н'!J59)/3</f>
        <v>0</v>
      </c>
      <c r="K59" s="91">
        <f>('16.1н'!K59+'16.2н'!K59+'16.3н'!K59)/3</f>
        <v>0</v>
      </c>
      <c r="L59" s="91">
        <f>('16.1н'!L59+'16.2н'!L59+'16.3н'!L59)/3</f>
        <v>0</v>
      </c>
      <c r="M59" s="91">
        <f>('16.1н'!M59+'16.2н'!M59+'16.3н'!M59)/3</f>
        <v>0</v>
      </c>
      <c r="N59" s="91">
        <f>('16.1н'!N59+'16.2н'!N59+'16.3н'!N59)/3</f>
        <v>0</v>
      </c>
      <c r="O59" s="91">
        <f>('16.1н'!O59+'16.2н'!O59+'16.3н'!O59)/3</f>
        <v>0</v>
      </c>
      <c r="P59" s="91">
        <f>('16.1н'!P59+'16.2н'!P59+'16.3н'!P59)/3</f>
        <v>0</v>
      </c>
      <c r="Q59" s="91">
        <f>('16.1н'!Q59+'16.2н'!Q59+'16.3н'!Q59)/3</f>
        <v>0</v>
      </c>
      <c r="R59" s="91">
        <f>('16.1н'!B59+'16.2н'!B59+'16.3н'!B59)/3</f>
        <v>0.42327764623707104</v>
      </c>
    </row>
    <row r="60" spans="1:18" x14ac:dyDescent="0.25">
      <c r="A60" s="84">
        <v>59</v>
      </c>
      <c r="B60" s="84" t="s">
        <v>59</v>
      </c>
      <c r="C60" s="91" t="e">
        <f>('16.1н'!#REF!+'16.2н'!#REF!+'16.3н'!#REF!)/3</f>
        <v>#REF!</v>
      </c>
      <c r="D60" s="91" t="e">
        <f>('16.1н'!#REF!+'16.2н'!#REF!+'16.3н'!#REF!)/3</f>
        <v>#REF!</v>
      </c>
      <c r="E60" s="91">
        <f>('16.1н'!E60+'16.2н'!E60+'16.3н'!E60)/3</f>
        <v>0</v>
      </c>
      <c r="F60" s="91">
        <f>('16.1н'!F60+'16.2н'!F60+'16.3н'!F60)/3</f>
        <v>0</v>
      </c>
      <c r="G60" s="91">
        <f>('16.1н'!G60+'16.2н'!G60+'16.3н'!G60)/3</f>
        <v>0</v>
      </c>
      <c r="H60" s="91">
        <f>('16.1н'!H60+'16.2н'!H60+'16.3н'!H60)/3</f>
        <v>0</v>
      </c>
      <c r="I60" s="91">
        <f>('16.1н'!I60+'16.2н'!I60+'16.3н'!I60)/3</f>
        <v>0</v>
      </c>
      <c r="J60" s="91">
        <f>('16.1н'!J60+'16.2н'!J60+'16.3н'!J60)/3</f>
        <v>0</v>
      </c>
      <c r="K60" s="91">
        <f>('16.1н'!K60+'16.2н'!K60+'16.3н'!K60)/3</f>
        <v>0</v>
      </c>
      <c r="L60" s="91">
        <f>('16.1н'!L60+'16.2н'!L60+'16.3н'!L60)/3</f>
        <v>0</v>
      </c>
      <c r="M60" s="91">
        <f>('16.1н'!M60+'16.2н'!M60+'16.3н'!M60)/3</f>
        <v>0</v>
      </c>
      <c r="N60" s="91">
        <f>('16.1н'!N60+'16.2н'!N60+'16.3н'!N60)/3</f>
        <v>0</v>
      </c>
      <c r="O60" s="91">
        <f>('16.1н'!O60+'16.2н'!O60+'16.3н'!O60)/3</f>
        <v>0</v>
      </c>
      <c r="P60" s="91">
        <f>('16.1н'!P60+'16.2н'!P60+'16.3н'!P60)/3</f>
        <v>0</v>
      </c>
      <c r="Q60" s="91">
        <f>('16.1н'!Q60+'16.2н'!Q60+'16.3н'!Q60)/3</f>
        <v>0</v>
      </c>
      <c r="R60" s="91">
        <f>('16.1н'!B60+'16.2н'!B60+'16.3н'!B60)/3</f>
        <v>0.49972478964388545</v>
      </c>
    </row>
    <row r="61" spans="1:18" x14ac:dyDescent="0.25">
      <c r="A61" s="84">
        <v>60</v>
      </c>
      <c r="B61" s="84" t="s">
        <v>60</v>
      </c>
      <c r="C61" s="91" t="e">
        <f>('16.1н'!#REF!+'16.2н'!#REF!+'16.3н'!#REF!)/3</f>
        <v>#REF!</v>
      </c>
      <c r="D61" s="91" t="e">
        <f>('16.1н'!#REF!+'16.2н'!#REF!+'16.3н'!#REF!)/3</f>
        <v>#REF!</v>
      </c>
      <c r="E61" s="91">
        <f>('16.1н'!E61+'16.2н'!E61+'16.3н'!E61)/3</f>
        <v>0</v>
      </c>
      <c r="F61" s="91">
        <f>('16.1н'!F61+'16.2н'!F61+'16.3н'!F61)/3</f>
        <v>0</v>
      </c>
      <c r="G61" s="91">
        <f>('16.1н'!G61+'16.2н'!G61+'16.3н'!G61)/3</f>
        <v>0</v>
      </c>
      <c r="H61" s="91">
        <f>('16.1н'!H61+'16.2н'!H61+'16.3н'!H61)/3</f>
        <v>0</v>
      </c>
      <c r="I61" s="91">
        <f>('16.1н'!I61+'16.2н'!I61+'16.3н'!I61)/3</f>
        <v>0</v>
      </c>
      <c r="J61" s="91">
        <f>('16.1н'!J61+'16.2н'!J61+'16.3н'!J61)/3</f>
        <v>0</v>
      </c>
      <c r="K61" s="91">
        <f>('16.1н'!K61+'16.2н'!K61+'16.3н'!K61)/3</f>
        <v>0</v>
      </c>
      <c r="L61" s="91">
        <f>('16.1н'!L61+'16.2н'!L61+'16.3н'!L61)/3</f>
        <v>0</v>
      </c>
      <c r="M61" s="91">
        <f>('16.1н'!M61+'16.2н'!M61+'16.3н'!M61)/3</f>
        <v>0</v>
      </c>
      <c r="N61" s="91">
        <f>('16.1н'!N61+'16.2н'!N61+'16.3н'!N61)/3</f>
        <v>0</v>
      </c>
      <c r="O61" s="91">
        <f>('16.1н'!O61+'16.2н'!O61+'16.3н'!O61)/3</f>
        <v>0</v>
      </c>
      <c r="P61" s="91">
        <f>('16.1н'!P61+'16.2н'!P61+'16.3н'!P61)/3</f>
        <v>0</v>
      </c>
      <c r="Q61" s="91">
        <f>('16.1н'!Q61+'16.2н'!Q61+'16.3н'!Q61)/3</f>
        <v>0</v>
      </c>
      <c r="R61" s="91">
        <f>('16.1н'!B61+'16.2н'!B61+'16.3н'!B61)/3</f>
        <v>0.5095596616691026</v>
      </c>
    </row>
    <row r="62" spans="1:18" x14ac:dyDescent="0.25">
      <c r="A62" s="84">
        <v>61</v>
      </c>
      <c r="B62" s="84" t="s">
        <v>61</v>
      </c>
      <c r="C62" s="91" t="e">
        <f>('16.1н'!#REF!+'16.2н'!#REF!+'16.3н'!#REF!)/3</f>
        <v>#REF!</v>
      </c>
      <c r="D62" s="91" t="e">
        <f>('16.1н'!#REF!+'16.2н'!#REF!+'16.3н'!#REF!)/3</f>
        <v>#REF!</v>
      </c>
      <c r="E62" s="91">
        <f>('16.1н'!E62+'16.2н'!E62+'16.3н'!E62)/3</f>
        <v>0</v>
      </c>
      <c r="F62" s="91">
        <f>('16.1н'!F62+'16.2н'!F62+'16.3н'!F62)/3</f>
        <v>0</v>
      </c>
      <c r="G62" s="91">
        <f>('16.1н'!G62+'16.2н'!G62+'16.3н'!G62)/3</f>
        <v>0</v>
      </c>
      <c r="H62" s="91">
        <f>('16.1н'!H62+'16.2н'!H62+'16.3н'!H62)/3</f>
        <v>0</v>
      </c>
      <c r="I62" s="91">
        <f>('16.1н'!I62+'16.2н'!I62+'16.3н'!I62)/3</f>
        <v>0</v>
      </c>
      <c r="J62" s="91">
        <f>('16.1н'!J62+'16.2н'!J62+'16.3н'!J62)/3</f>
        <v>0</v>
      </c>
      <c r="K62" s="91">
        <f>('16.1н'!K62+'16.2н'!K62+'16.3н'!K62)/3</f>
        <v>0</v>
      </c>
      <c r="L62" s="91">
        <f>('16.1н'!L62+'16.2н'!L62+'16.3н'!L62)/3</f>
        <v>0</v>
      </c>
      <c r="M62" s="91">
        <f>('16.1н'!M62+'16.2н'!M62+'16.3н'!M62)/3</f>
        <v>0</v>
      </c>
      <c r="N62" s="91">
        <f>('16.1н'!N62+'16.2н'!N62+'16.3н'!N62)/3</f>
        <v>0</v>
      </c>
      <c r="O62" s="91">
        <f>('16.1н'!O62+'16.2н'!O62+'16.3н'!O62)/3</f>
        <v>0</v>
      </c>
      <c r="P62" s="91">
        <f>('16.1н'!P62+'16.2н'!P62+'16.3н'!P62)/3</f>
        <v>0</v>
      </c>
      <c r="Q62" s="91">
        <f>('16.1н'!Q62+'16.2н'!Q62+'16.3н'!Q62)/3</f>
        <v>0</v>
      </c>
      <c r="R62" s="91">
        <f>('16.1н'!B62+'16.2н'!B62+'16.3н'!B62)/3</f>
        <v>0.46893477256648497</v>
      </c>
    </row>
    <row r="63" spans="1:18" x14ac:dyDescent="0.25">
      <c r="A63" s="84">
        <v>62</v>
      </c>
      <c r="B63" s="84" t="s">
        <v>62</v>
      </c>
      <c r="C63" s="91" t="e">
        <f>('16.1н'!#REF!+'16.2н'!#REF!+'16.3н'!#REF!)/3</f>
        <v>#REF!</v>
      </c>
      <c r="D63" s="91" t="e">
        <f>('16.1н'!#REF!+'16.2н'!#REF!+'16.3н'!#REF!)/3</f>
        <v>#REF!</v>
      </c>
      <c r="E63" s="91">
        <f>('16.1н'!E63+'16.2н'!E63+'16.3н'!E63)/3</f>
        <v>0</v>
      </c>
      <c r="F63" s="91">
        <f>('16.1н'!F63+'16.2н'!F63+'16.3н'!F63)/3</f>
        <v>0</v>
      </c>
      <c r="G63" s="91">
        <f>('16.1н'!G63+'16.2н'!G63+'16.3н'!G63)/3</f>
        <v>0</v>
      </c>
      <c r="H63" s="91">
        <f>('16.1н'!H63+'16.2н'!H63+'16.3н'!H63)/3</f>
        <v>0</v>
      </c>
      <c r="I63" s="91">
        <f>('16.1н'!I63+'16.2н'!I63+'16.3н'!I63)/3</f>
        <v>0</v>
      </c>
      <c r="J63" s="91">
        <f>('16.1н'!J63+'16.2н'!J63+'16.3н'!J63)/3</f>
        <v>0</v>
      </c>
      <c r="K63" s="91">
        <f>('16.1н'!K63+'16.2н'!K63+'16.3н'!K63)/3</f>
        <v>0</v>
      </c>
      <c r="L63" s="91">
        <f>('16.1н'!L63+'16.2н'!L63+'16.3н'!L63)/3</f>
        <v>0</v>
      </c>
      <c r="M63" s="91">
        <f>('16.1н'!M63+'16.2н'!M63+'16.3н'!M63)/3</f>
        <v>0</v>
      </c>
      <c r="N63" s="91">
        <f>('16.1н'!N63+'16.2н'!N63+'16.3н'!N63)/3</f>
        <v>0</v>
      </c>
      <c r="O63" s="91">
        <f>('16.1н'!O63+'16.2н'!O63+'16.3н'!O63)/3</f>
        <v>0</v>
      </c>
      <c r="P63" s="91">
        <f>('16.1н'!P63+'16.2н'!P63+'16.3н'!P63)/3</f>
        <v>0</v>
      </c>
      <c r="Q63" s="91">
        <f>('16.1н'!Q63+'16.2н'!Q63+'16.3н'!Q63)/3</f>
        <v>0</v>
      </c>
      <c r="R63" s="91">
        <f>('16.1н'!B63+'16.2н'!B63+'16.3н'!B63)/3</f>
        <v>0.41486760063510913</v>
      </c>
    </row>
    <row r="64" spans="1:18" x14ac:dyDescent="0.25">
      <c r="A64" s="84">
        <v>63</v>
      </c>
      <c r="B64" s="84" t="s">
        <v>63</v>
      </c>
      <c r="C64" s="91" t="e">
        <f>('16.1н'!#REF!+'16.2н'!#REF!+'16.3н'!#REF!)/3</f>
        <v>#REF!</v>
      </c>
      <c r="D64" s="91" t="e">
        <f>('16.1н'!#REF!+'16.2н'!#REF!+'16.3н'!#REF!)/3</f>
        <v>#REF!</v>
      </c>
      <c r="E64" s="91">
        <f>('16.1н'!E64+'16.2н'!E64+'16.3н'!E64)/3</f>
        <v>0</v>
      </c>
      <c r="F64" s="91">
        <f>('16.1н'!F64+'16.2н'!F64+'16.3н'!F64)/3</f>
        <v>0</v>
      </c>
      <c r="G64" s="91">
        <f>('16.1н'!G64+'16.2н'!G64+'16.3н'!G64)/3</f>
        <v>0</v>
      </c>
      <c r="H64" s="91">
        <f>('16.1н'!H64+'16.2н'!H64+'16.3н'!H64)/3</f>
        <v>0</v>
      </c>
      <c r="I64" s="91">
        <f>('16.1н'!I64+'16.2н'!I64+'16.3н'!I64)/3</f>
        <v>0</v>
      </c>
      <c r="J64" s="91">
        <f>('16.1н'!J64+'16.2н'!J64+'16.3н'!J64)/3</f>
        <v>0</v>
      </c>
      <c r="K64" s="91">
        <f>('16.1н'!K64+'16.2н'!K64+'16.3н'!K64)/3</f>
        <v>0</v>
      </c>
      <c r="L64" s="91">
        <f>('16.1н'!L64+'16.2н'!L64+'16.3н'!L64)/3</f>
        <v>0</v>
      </c>
      <c r="M64" s="91">
        <f>('16.1н'!M64+'16.2н'!M64+'16.3н'!M64)/3</f>
        <v>0</v>
      </c>
      <c r="N64" s="91">
        <f>('16.1н'!N64+'16.2н'!N64+'16.3н'!N64)/3</f>
        <v>0</v>
      </c>
      <c r="O64" s="91">
        <f>('16.1н'!O64+'16.2н'!O64+'16.3н'!O64)/3</f>
        <v>0</v>
      </c>
      <c r="P64" s="91">
        <f>('16.1н'!P64+'16.2н'!P64+'16.3н'!P64)/3</f>
        <v>0</v>
      </c>
      <c r="Q64" s="91">
        <f>('16.1н'!Q64+'16.2н'!Q64+'16.3н'!Q64)/3</f>
        <v>0</v>
      </c>
      <c r="R64" s="91">
        <f>('16.1н'!B64+'16.2н'!B64+'16.3н'!B64)/3</f>
        <v>0.39923913300863417</v>
      </c>
    </row>
    <row r="65" spans="1:18" x14ac:dyDescent="0.25">
      <c r="A65" s="84">
        <v>64</v>
      </c>
      <c r="B65" s="84" t="s">
        <v>64</v>
      </c>
      <c r="C65" s="91" t="e">
        <f>('16.1н'!#REF!+'16.2н'!#REF!+'16.3н'!#REF!)/3</f>
        <v>#REF!</v>
      </c>
      <c r="D65" s="91" t="e">
        <f>('16.1н'!#REF!+'16.2н'!#REF!+'16.3н'!#REF!)/3</f>
        <v>#REF!</v>
      </c>
      <c r="E65" s="91">
        <f>('16.1н'!E65+'16.2н'!E65+'16.3н'!E65)/3</f>
        <v>0</v>
      </c>
      <c r="F65" s="91">
        <f>('16.1н'!F65+'16.2н'!F65+'16.3н'!F65)/3</f>
        <v>0</v>
      </c>
      <c r="G65" s="91">
        <f>('16.1н'!G65+'16.2н'!G65+'16.3н'!G65)/3</f>
        <v>0</v>
      </c>
      <c r="H65" s="91">
        <f>('16.1н'!H65+'16.2н'!H65+'16.3н'!H65)/3</f>
        <v>0</v>
      </c>
      <c r="I65" s="91">
        <f>('16.1н'!I65+'16.2н'!I65+'16.3н'!I65)/3</f>
        <v>0</v>
      </c>
      <c r="J65" s="91">
        <f>('16.1н'!J65+'16.2н'!J65+'16.3н'!J65)/3</f>
        <v>0</v>
      </c>
      <c r="K65" s="91">
        <f>('16.1н'!K65+'16.2н'!K65+'16.3н'!K65)/3</f>
        <v>0</v>
      </c>
      <c r="L65" s="91">
        <f>('16.1н'!L65+'16.2н'!L65+'16.3н'!L65)/3</f>
        <v>0</v>
      </c>
      <c r="M65" s="91">
        <f>('16.1н'!M65+'16.2н'!M65+'16.3н'!M65)/3</f>
        <v>0</v>
      </c>
      <c r="N65" s="91">
        <f>('16.1н'!N65+'16.2н'!N65+'16.3н'!N65)/3</f>
        <v>0</v>
      </c>
      <c r="O65" s="91">
        <f>('16.1н'!O65+'16.2н'!O65+'16.3н'!O65)/3</f>
        <v>0</v>
      </c>
      <c r="P65" s="91">
        <f>('16.1н'!P65+'16.2н'!P65+'16.3н'!P65)/3</f>
        <v>0</v>
      </c>
      <c r="Q65" s="91">
        <f>('16.1н'!Q65+'16.2н'!Q65+'16.3н'!Q65)/3</f>
        <v>0</v>
      </c>
      <c r="R65" s="91">
        <f>('16.1н'!B65+'16.2н'!B65+'16.3н'!B65)/3</f>
        <v>0.34427116919276118</v>
      </c>
    </row>
    <row r="66" spans="1:18" x14ac:dyDescent="0.25">
      <c r="A66" s="84">
        <v>65</v>
      </c>
      <c r="B66" s="84" t="s">
        <v>65</v>
      </c>
      <c r="C66" s="91" t="e">
        <f>('16.1н'!#REF!+'16.2н'!#REF!+'16.3н'!#REF!)/3</f>
        <v>#REF!</v>
      </c>
      <c r="D66" s="91" t="e">
        <f>('16.1н'!#REF!+'16.2н'!#REF!+'16.3н'!#REF!)/3</f>
        <v>#REF!</v>
      </c>
      <c r="E66" s="91">
        <f>('16.1н'!E66+'16.2н'!E66+'16.3н'!E66)/3</f>
        <v>0</v>
      </c>
      <c r="F66" s="91">
        <f>('16.1н'!F66+'16.2н'!F66+'16.3н'!F66)/3</f>
        <v>0</v>
      </c>
      <c r="G66" s="91">
        <f>('16.1н'!G66+'16.2н'!G66+'16.3н'!G66)/3</f>
        <v>0</v>
      </c>
      <c r="H66" s="91">
        <f>('16.1н'!H66+'16.2н'!H66+'16.3н'!H66)/3</f>
        <v>0</v>
      </c>
      <c r="I66" s="91">
        <f>('16.1н'!I66+'16.2н'!I66+'16.3н'!I66)/3</f>
        <v>0</v>
      </c>
      <c r="J66" s="91">
        <f>('16.1н'!J66+'16.2н'!J66+'16.3н'!J66)/3</f>
        <v>0</v>
      </c>
      <c r="K66" s="91">
        <f>('16.1н'!K66+'16.2н'!K66+'16.3н'!K66)/3</f>
        <v>0</v>
      </c>
      <c r="L66" s="91">
        <f>('16.1н'!L66+'16.2н'!L66+'16.3н'!L66)/3</f>
        <v>0</v>
      </c>
      <c r="M66" s="91">
        <f>('16.1н'!M66+'16.2н'!M66+'16.3н'!M66)/3</f>
        <v>0</v>
      </c>
      <c r="N66" s="91">
        <f>('16.1н'!N66+'16.2н'!N66+'16.3н'!N66)/3</f>
        <v>0</v>
      </c>
      <c r="O66" s="91">
        <f>('16.1н'!O66+'16.2н'!O66+'16.3н'!O66)/3</f>
        <v>0</v>
      </c>
      <c r="P66" s="91">
        <f>('16.1н'!P66+'16.2н'!P66+'16.3н'!P66)/3</f>
        <v>0</v>
      </c>
      <c r="Q66" s="91">
        <f>('16.1н'!Q66+'16.2н'!Q66+'16.3н'!Q66)/3</f>
        <v>0</v>
      </c>
      <c r="R66" s="91">
        <f>('16.1н'!B66+'16.2н'!B66+'16.3н'!B66)/3</f>
        <v>0.43950807797991676</v>
      </c>
    </row>
    <row r="67" spans="1:18" x14ac:dyDescent="0.25">
      <c r="A67" s="84">
        <v>66</v>
      </c>
      <c r="B67" s="84" t="s">
        <v>66</v>
      </c>
      <c r="C67" s="91" t="e">
        <f>('16.1н'!#REF!+'16.2н'!#REF!+'16.3н'!#REF!)/3</f>
        <v>#REF!</v>
      </c>
      <c r="D67" s="91" t="e">
        <f>('16.1н'!#REF!+'16.2н'!#REF!+'16.3н'!#REF!)/3</f>
        <v>#REF!</v>
      </c>
      <c r="E67" s="91">
        <f>('16.1н'!E67+'16.2н'!E67+'16.3н'!E67)/3</f>
        <v>0</v>
      </c>
      <c r="F67" s="91">
        <f>('16.1н'!F67+'16.2н'!F67+'16.3н'!F67)/3</f>
        <v>0</v>
      </c>
      <c r="G67" s="91">
        <f>('16.1н'!G67+'16.2н'!G67+'16.3н'!G67)/3</f>
        <v>0</v>
      </c>
      <c r="H67" s="91">
        <f>('16.1н'!H67+'16.2н'!H67+'16.3н'!H67)/3</f>
        <v>0</v>
      </c>
      <c r="I67" s="91">
        <f>('16.1н'!I67+'16.2н'!I67+'16.3н'!I67)/3</f>
        <v>0</v>
      </c>
      <c r="J67" s="91">
        <f>('16.1н'!J67+'16.2н'!J67+'16.3н'!J67)/3</f>
        <v>0</v>
      </c>
      <c r="K67" s="91">
        <f>('16.1н'!K67+'16.2н'!K67+'16.3н'!K67)/3</f>
        <v>0</v>
      </c>
      <c r="L67" s="91">
        <f>('16.1н'!L67+'16.2н'!L67+'16.3н'!L67)/3</f>
        <v>0</v>
      </c>
      <c r="M67" s="91">
        <f>('16.1н'!M67+'16.2н'!M67+'16.3н'!M67)/3</f>
        <v>0</v>
      </c>
      <c r="N67" s="91">
        <f>('16.1н'!N67+'16.2н'!N67+'16.3н'!N67)/3</f>
        <v>0</v>
      </c>
      <c r="O67" s="91">
        <f>('16.1н'!O67+'16.2н'!O67+'16.3н'!O67)/3</f>
        <v>0</v>
      </c>
      <c r="P67" s="91">
        <f>('16.1н'!P67+'16.2н'!P67+'16.3н'!P67)/3</f>
        <v>0</v>
      </c>
      <c r="Q67" s="91">
        <f>('16.1н'!Q67+'16.2н'!Q67+'16.3н'!Q67)/3</f>
        <v>0</v>
      </c>
      <c r="R67" s="91">
        <f>('16.1н'!B67+'16.2н'!B67+'16.3н'!B67)/3</f>
        <v>0.42470368506385903</v>
      </c>
    </row>
    <row r="68" spans="1:18" x14ac:dyDescent="0.25">
      <c r="A68" s="84">
        <v>67</v>
      </c>
      <c r="B68" s="84" t="s">
        <v>73</v>
      </c>
      <c r="C68" s="91" t="e">
        <f>('16.1н'!#REF!+'16.2н'!#REF!+'16.3н'!#REF!)/3</f>
        <v>#REF!</v>
      </c>
      <c r="D68" s="91" t="e">
        <f>('16.1н'!#REF!+'16.2н'!#REF!+'16.3н'!#REF!)/3</f>
        <v>#REF!</v>
      </c>
      <c r="E68" s="91">
        <f>('16.1н'!E68+'16.2н'!E68+'16.3н'!E68)/3</f>
        <v>0</v>
      </c>
      <c r="F68" s="91">
        <f>('16.1н'!F68+'16.2н'!F68+'16.3н'!F68)/3</f>
        <v>0</v>
      </c>
      <c r="G68" s="91">
        <f>('16.1н'!G68+'16.2н'!G68+'16.3н'!G68)/3</f>
        <v>0</v>
      </c>
      <c r="H68" s="91">
        <f>('16.1н'!H68+'16.2н'!H68+'16.3н'!H68)/3</f>
        <v>0</v>
      </c>
      <c r="I68" s="91">
        <f>('16.1н'!I68+'16.2н'!I68+'16.3н'!I68)/3</f>
        <v>0</v>
      </c>
      <c r="J68" s="91">
        <f>('16.1н'!J68+'16.2н'!J68+'16.3н'!J68)/3</f>
        <v>0</v>
      </c>
      <c r="K68" s="91">
        <f>('16.1н'!K68+'16.2н'!K68+'16.3н'!K68)/3</f>
        <v>0</v>
      </c>
      <c r="L68" s="91">
        <f>('16.1н'!L68+'16.2н'!L68+'16.3н'!L68)/3</f>
        <v>0</v>
      </c>
      <c r="M68" s="91">
        <f>('16.1н'!M68+'16.2н'!M68+'16.3н'!M68)/3</f>
        <v>0</v>
      </c>
      <c r="N68" s="91">
        <f>('16.1н'!N68+'16.2н'!N68+'16.3н'!N68)/3</f>
        <v>0</v>
      </c>
      <c r="O68" s="91">
        <f>('16.1н'!O68+'16.2н'!O68+'16.3н'!O68)/3</f>
        <v>0</v>
      </c>
      <c r="P68" s="91">
        <f>('16.1н'!P68+'16.2н'!P68+'16.3н'!P68)/3</f>
        <v>0</v>
      </c>
      <c r="Q68" s="91">
        <f>('16.1н'!Q68+'16.2н'!Q68+'16.3н'!Q68)/3</f>
        <v>0</v>
      </c>
      <c r="R68" s="91">
        <f>('16.1н'!B68+'16.2н'!B68+'16.3н'!B68)/3</f>
        <v>0.34044059524126974</v>
      </c>
    </row>
    <row r="69" spans="1:18" x14ac:dyDescent="0.25">
      <c r="A69" s="84">
        <v>68</v>
      </c>
      <c r="B69" s="84" t="s">
        <v>67</v>
      </c>
      <c r="C69" s="91" t="e">
        <f>('16.1н'!#REF!+'16.2н'!#REF!+'16.3н'!#REF!)/3</f>
        <v>#REF!</v>
      </c>
      <c r="D69" s="91" t="e">
        <f>('16.1н'!#REF!+'16.2н'!#REF!+'16.3н'!#REF!)/3</f>
        <v>#REF!</v>
      </c>
      <c r="E69" s="91">
        <f>('16.1н'!E69+'16.2н'!E69+'16.3н'!E69)/3</f>
        <v>0</v>
      </c>
      <c r="F69" s="91">
        <f>('16.1н'!F69+'16.2н'!F69+'16.3н'!F69)/3</f>
        <v>0</v>
      </c>
      <c r="G69" s="91">
        <f>('16.1н'!G69+'16.2н'!G69+'16.3н'!G69)/3</f>
        <v>0</v>
      </c>
      <c r="H69" s="91">
        <f>('16.1н'!H69+'16.2н'!H69+'16.3н'!H69)/3</f>
        <v>0</v>
      </c>
      <c r="I69" s="91">
        <f>('16.1н'!I69+'16.2н'!I69+'16.3н'!I69)/3</f>
        <v>0</v>
      </c>
      <c r="J69" s="91">
        <f>('16.1н'!J69+'16.2н'!J69+'16.3н'!J69)/3</f>
        <v>0</v>
      </c>
      <c r="K69" s="91">
        <f>('16.1н'!K69+'16.2н'!K69+'16.3н'!K69)/3</f>
        <v>0</v>
      </c>
      <c r="L69" s="91">
        <f>('16.1н'!L69+'16.2н'!L69+'16.3н'!L69)/3</f>
        <v>0</v>
      </c>
      <c r="M69" s="91">
        <f>('16.1н'!M69+'16.2н'!M69+'16.3н'!M69)/3</f>
        <v>0</v>
      </c>
      <c r="N69" s="91">
        <f>('16.1н'!N69+'16.2н'!N69+'16.3н'!N69)/3</f>
        <v>0</v>
      </c>
      <c r="O69" s="91">
        <f>('16.1н'!O69+'16.2н'!O69+'16.3н'!O69)/3</f>
        <v>0</v>
      </c>
      <c r="P69" s="91">
        <f>('16.1н'!P69+'16.2н'!P69+'16.3н'!P69)/3</f>
        <v>0</v>
      </c>
      <c r="Q69" s="91">
        <f>('16.1н'!Q69+'16.2н'!Q69+'16.3н'!Q69)/3</f>
        <v>0</v>
      </c>
      <c r="R69" s="91">
        <f>('16.1н'!B69+'16.2н'!B69+'16.3н'!B69)/3</f>
        <v>0.48119888433724772</v>
      </c>
    </row>
    <row r="70" spans="1:18" x14ac:dyDescent="0.25">
      <c r="A70" s="84">
        <v>69</v>
      </c>
      <c r="B70" s="84" t="s">
        <v>68</v>
      </c>
      <c r="C70" s="91" t="e">
        <f>('16.1н'!#REF!+'16.2н'!#REF!+'16.3н'!#REF!)/3</f>
        <v>#REF!</v>
      </c>
      <c r="D70" s="91" t="e">
        <f>('16.1н'!#REF!+'16.2н'!#REF!+'16.3н'!#REF!)/3</f>
        <v>#REF!</v>
      </c>
      <c r="E70" s="91">
        <f>('16.1н'!E70+'16.2н'!E70+'16.3н'!E70)/3</f>
        <v>0</v>
      </c>
      <c r="F70" s="91">
        <f>('16.1н'!F70+'16.2н'!F70+'16.3н'!F70)/3</f>
        <v>0</v>
      </c>
      <c r="G70" s="91">
        <f>('16.1н'!G70+'16.2н'!G70+'16.3н'!G70)/3</f>
        <v>0</v>
      </c>
      <c r="H70" s="91">
        <f>('16.1н'!H70+'16.2н'!H70+'16.3н'!H70)/3</f>
        <v>0</v>
      </c>
      <c r="I70" s="91">
        <f>('16.1н'!I70+'16.2н'!I70+'16.3н'!I70)/3</f>
        <v>0</v>
      </c>
      <c r="J70" s="91">
        <f>('16.1н'!J70+'16.2н'!J70+'16.3н'!J70)/3</f>
        <v>0</v>
      </c>
      <c r="K70" s="91">
        <f>('16.1н'!K70+'16.2н'!K70+'16.3н'!K70)/3</f>
        <v>0</v>
      </c>
      <c r="L70" s="91">
        <f>('16.1н'!L70+'16.2н'!L70+'16.3н'!L70)/3</f>
        <v>0</v>
      </c>
      <c r="M70" s="91">
        <f>('16.1н'!M70+'16.2н'!M70+'16.3н'!M70)/3</f>
        <v>0</v>
      </c>
      <c r="N70" s="91">
        <f>('16.1н'!N70+'16.2н'!N70+'16.3н'!N70)/3</f>
        <v>0</v>
      </c>
      <c r="O70" s="91">
        <f>('16.1н'!O70+'16.2н'!O70+'16.3н'!O70)/3</f>
        <v>0</v>
      </c>
      <c r="P70" s="91">
        <f>('16.1н'!P70+'16.2н'!P70+'16.3н'!P70)/3</f>
        <v>0</v>
      </c>
      <c r="Q70" s="91">
        <f>('16.1н'!Q70+'16.2н'!Q70+'16.3н'!Q70)/3</f>
        <v>0</v>
      </c>
      <c r="R70" s="91">
        <f>('16.1н'!B70+'16.2н'!B70+'16.3н'!B70)/3</f>
        <v>0.4256014572813307</v>
      </c>
    </row>
    <row r="71" spans="1:18" x14ac:dyDescent="0.25">
      <c r="A71" s="84">
        <v>70</v>
      </c>
      <c r="B71" s="84" t="s">
        <v>69</v>
      </c>
      <c r="C71" s="91" t="e">
        <f>('16.1н'!#REF!+'16.2н'!#REF!+'16.3н'!#REF!)/3</f>
        <v>#REF!</v>
      </c>
      <c r="D71" s="91" t="e">
        <f>('16.1н'!#REF!+'16.2н'!#REF!+'16.3н'!#REF!)/3</f>
        <v>#REF!</v>
      </c>
      <c r="E71" s="91">
        <f>('16.1н'!E71+'16.2н'!E71+'16.3н'!E71)/3</f>
        <v>0</v>
      </c>
      <c r="F71" s="91">
        <f>('16.1н'!F71+'16.2н'!F71+'16.3н'!F71)/3</f>
        <v>0</v>
      </c>
      <c r="G71" s="91">
        <f>('16.1н'!G71+'16.2н'!G71+'16.3н'!G71)/3</f>
        <v>0</v>
      </c>
      <c r="H71" s="91">
        <f>('16.1н'!H71+'16.2н'!H71+'16.3н'!H71)/3</f>
        <v>0</v>
      </c>
      <c r="I71" s="91">
        <f>('16.1н'!I71+'16.2н'!I71+'16.3н'!I71)/3</f>
        <v>0</v>
      </c>
      <c r="J71" s="91">
        <f>('16.1н'!J71+'16.2н'!J71+'16.3н'!J71)/3</f>
        <v>0</v>
      </c>
      <c r="K71" s="91">
        <f>('16.1н'!K71+'16.2н'!K71+'16.3н'!K71)/3</f>
        <v>0</v>
      </c>
      <c r="L71" s="91">
        <f>('16.1н'!L71+'16.2н'!L71+'16.3н'!L71)/3</f>
        <v>0</v>
      </c>
      <c r="M71" s="91">
        <f>('16.1н'!M71+'16.2н'!M71+'16.3н'!M71)/3</f>
        <v>0</v>
      </c>
      <c r="N71" s="91">
        <f>('16.1н'!N71+'16.2н'!N71+'16.3н'!N71)/3</f>
        <v>0</v>
      </c>
      <c r="O71" s="91">
        <f>('16.1н'!O71+'16.2н'!O71+'16.3н'!O71)/3</f>
        <v>0</v>
      </c>
      <c r="P71" s="91">
        <f>('16.1н'!P71+'16.2н'!P71+'16.3н'!P71)/3</f>
        <v>0</v>
      </c>
      <c r="Q71" s="91">
        <f>('16.1н'!Q71+'16.2н'!Q71+'16.3н'!Q71)/3</f>
        <v>0</v>
      </c>
      <c r="R71" s="91">
        <f>('16.1н'!B71+'16.2н'!B71+'16.3н'!B71)/3</f>
        <v>0.40331649017375848</v>
      </c>
    </row>
    <row r="72" spans="1:18" x14ac:dyDescent="0.25">
      <c r="A72" s="84">
        <v>71</v>
      </c>
      <c r="B72" s="84" t="s">
        <v>70</v>
      </c>
      <c r="C72" s="91" t="e">
        <f>('16.1н'!#REF!+'16.2н'!#REF!+'16.3н'!#REF!)/3</f>
        <v>#REF!</v>
      </c>
      <c r="D72" s="91" t="e">
        <f>('16.1н'!#REF!+'16.2н'!#REF!+'16.3н'!#REF!)/3</f>
        <v>#REF!</v>
      </c>
      <c r="E72" s="91">
        <f>('16.1н'!E72+'16.2н'!E72+'16.3н'!E72)/3</f>
        <v>0</v>
      </c>
      <c r="F72" s="91">
        <f>('16.1н'!F72+'16.2н'!F72+'16.3н'!F72)/3</f>
        <v>0</v>
      </c>
      <c r="G72" s="91">
        <f>('16.1н'!G72+'16.2н'!G72+'16.3н'!G72)/3</f>
        <v>0</v>
      </c>
      <c r="H72" s="91">
        <f>('16.1н'!H72+'16.2н'!H72+'16.3н'!H72)/3</f>
        <v>0</v>
      </c>
      <c r="I72" s="91">
        <f>('16.1н'!I72+'16.2н'!I72+'16.3н'!I72)/3</f>
        <v>0</v>
      </c>
      <c r="J72" s="91">
        <f>('16.1н'!J72+'16.2н'!J72+'16.3н'!J72)/3</f>
        <v>0</v>
      </c>
      <c r="K72" s="91">
        <f>('16.1н'!K72+'16.2н'!K72+'16.3н'!K72)/3</f>
        <v>0</v>
      </c>
      <c r="L72" s="91">
        <f>('16.1н'!L72+'16.2н'!L72+'16.3н'!L72)/3</f>
        <v>0</v>
      </c>
      <c r="M72" s="91">
        <f>('16.1н'!M72+'16.2н'!M72+'16.3н'!M72)/3</f>
        <v>0</v>
      </c>
      <c r="N72" s="91">
        <f>('16.1н'!N72+'16.2н'!N72+'16.3н'!N72)/3</f>
        <v>0</v>
      </c>
      <c r="O72" s="91">
        <f>('16.1н'!O72+'16.2н'!O72+'16.3н'!O72)/3</f>
        <v>0</v>
      </c>
      <c r="P72" s="91">
        <f>('16.1н'!P72+'16.2н'!P72+'16.3н'!P72)/3</f>
        <v>0</v>
      </c>
      <c r="Q72" s="91">
        <f>('16.1н'!Q72+'16.2н'!Q72+'16.3н'!Q72)/3</f>
        <v>0</v>
      </c>
      <c r="R72" s="91">
        <f>('16.1н'!B72+'16.2н'!B72+'16.3н'!B72)/3</f>
        <v>0.50314014839539267</v>
      </c>
    </row>
    <row r="73" spans="1:18" x14ac:dyDescent="0.25">
      <c r="A73" s="84">
        <v>72</v>
      </c>
      <c r="B73" s="84" t="s">
        <v>71</v>
      </c>
      <c r="C73" s="91" t="e">
        <f>('16.1н'!#REF!+'16.2н'!#REF!+'16.3н'!#REF!)/3</f>
        <v>#REF!</v>
      </c>
      <c r="D73" s="91" t="e">
        <f>('16.1н'!#REF!+'16.2н'!#REF!+'16.3н'!#REF!)/3</f>
        <v>#REF!</v>
      </c>
      <c r="E73" s="91">
        <f>('16.1н'!E73+'16.2н'!E73+'16.3н'!E73)/3</f>
        <v>0</v>
      </c>
      <c r="F73" s="91">
        <f>('16.1н'!F73+'16.2н'!F73+'16.3н'!F73)/3</f>
        <v>0</v>
      </c>
      <c r="G73" s="91">
        <f>('16.1н'!G73+'16.2н'!G73+'16.3н'!G73)/3</f>
        <v>0</v>
      </c>
      <c r="H73" s="91">
        <f>('16.1н'!H73+'16.2н'!H73+'16.3н'!H73)/3</f>
        <v>0</v>
      </c>
      <c r="I73" s="91">
        <f>('16.1н'!I73+'16.2н'!I73+'16.3н'!I73)/3</f>
        <v>0</v>
      </c>
      <c r="J73" s="91">
        <f>('16.1н'!J73+'16.2н'!J73+'16.3н'!J73)/3</f>
        <v>0</v>
      </c>
      <c r="K73" s="91">
        <f>('16.1н'!K73+'16.2н'!K73+'16.3н'!K73)/3</f>
        <v>0</v>
      </c>
      <c r="L73" s="91">
        <f>('16.1н'!L73+'16.2н'!L73+'16.3н'!L73)/3</f>
        <v>0</v>
      </c>
      <c r="M73" s="91">
        <f>('16.1н'!M73+'16.2н'!M73+'16.3н'!M73)/3</f>
        <v>0</v>
      </c>
      <c r="N73" s="91">
        <f>('16.1н'!N73+'16.2н'!N73+'16.3н'!N73)/3</f>
        <v>0</v>
      </c>
      <c r="O73" s="91">
        <f>('16.1н'!O73+'16.2н'!O73+'16.3н'!O73)/3</f>
        <v>0</v>
      </c>
      <c r="P73" s="91">
        <f>('16.1н'!P73+'16.2н'!P73+'16.3н'!P73)/3</f>
        <v>0</v>
      </c>
      <c r="Q73" s="91">
        <f>('16.1н'!Q73+'16.2н'!Q73+'16.3н'!Q73)/3</f>
        <v>0</v>
      </c>
      <c r="R73" s="91">
        <f>('16.1н'!B73+'16.2н'!B73+'16.3н'!B73)/3</f>
        <v>0.39760669282219324</v>
      </c>
    </row>
    <row r="74" spans="1:18" x14ac:dyDescent="0.25">
      <c r="A74" s="84">
        <v>73</v>
      </c>
      <c r="B74" s="84" t="s">
        <v>72</v>
      </c>
      <c r="C74" s="91" t="e">
        <f>('16.1н'!#REF!+'16.2н'!#REF!+'16.3н'!#REF!)/3</f>
        <v>#REF!</v>
      </c>
      <c r="D74" s="91" t="e">
        <f>('16.1н'!#REF!+'16.2н'!#REF!+'16.3н'!#REF!)/3</f>
        <v>#REF!</v>
      </c>
      <c r="E74" s="91">
        <f>('16.1н'!E74+'16.2н'!E74+'16.3н'!E74)/3</f>
        <v>0</v>
      </c>
      <c r="F74" s="91">
        <f>('16.1н'!F74+'16.2н'!F74+'16.3н'!F74)/3</f>
        <v>0</v>
      </c>
      <c r="G74" s="91">
        <f>('16.1н'!G74+'16.2н'!G74+'16.3н'!G74)/3</f>
        <v>0</v>
      </c>
      <c r="H74" s="91">
        <f>('16.1н'!H74+'16.2н'!H74+'16.3н'!H74)/3</f>
        <v>0</v>
      </c>
      <c r="I74" s="91">
        <f>('16.1н'!I74+'16.2н'!I74+'16.3н'!I74)/3</f>
        <v>0</v>
      </c>
      <c r="J74" s="91">
        <f>('16.1н'!J74+'16.2н'!J74+'16.3н'!J74)/3</f>
        <v>0</v>
      </c>
      <c r="K74" s="91">
        <f>('16.1н'!K74+'16.2н'!K74+'16.3н'!K74)/3</f>
        <v>0</v>
      </c>
      <c r="L74" s="91">
        <f>('16.1н'!L74+'16.2н'!L74+'16.3н'!L74)/3</f>
        <v>0</v>
      </c>
      <c r="M74" s="91">
        <f>('16.1н'!M74+'16.2н'!M74+'16.3н'!M74)/3</f>
        <v>0</v>
      </c>
      <c r="N74" s="91">
        <f>('16.1н'!N74+'16.2н'!N74+'16.3н'!N74)/3</f>
        <v>0</v>
      </c>
      <c r="O74" s="91">
        <f>('16.1н'!O74+'16.2н'!O74+'16.3н'!O74)/3</f>
        <v>0</v>
      </c>
      <c r="P74" s="91">
        <f>('16.1н'!P74+'16.2н'!P74+'16.3н'!P74)/3</f>
        <v>0</v>
      </c>
      <c r="Q74" s="91">
        <f>('16.1н'!Q74+'16.2н'!Q74+'16.3н'!Q74)/3</f>
        <v>0</v>
      </c>
      <c r="R74" s="91">
        <f>('16.1н'!B74+'16.2н'!B74+'16.3н'!B74)/3</f>
        <v>0.43576349886947741</v>
      </c>
    </row>
    <row r="75" spans="1:18" x14ac:dyDescent="0.25">
      <c r="A75" s="84">
        <v>74</v>
      </c>
      <c r="B75" s="84" t="s">
        <v>74</v>
      </c>
      <c r="C75" s="91" t="e">
        <f>('16.1н'!#REF!+'16.2н'!#REF!+'16.3н'!#REF!)/3</f>
        <v>#REF!</v>
      </c>
      <c r="D75" s="91" t="e">
        <f>('16.1н'!#REF!+'16.2н'!#REF!+'16.3н'!#REF!)/3</f>
        <v>#REF!</v>
      </c>
      <c r="E75" s="91">
        <f>('16.1н'!E75+'16.2н'!E75+'16.3н'!E75)/3</f>
        <v>0</v>
      </c>
      <c r="F75" s="91">
        <f>('16.1н'!F75+'16.2н'!F75+'16.3н'!F75)/3</f>
        <v>0</v>
      </c>
      <c r="G75" s="91">
        <f>('16.1н'!G75+'16.2н'!G75+'16.3н'!G75)/3</f>
        <v>0</v>
      </c>
      <c r="H75" s="91">
        <f>('16.1н'!H75+'16.2н'!H75+'16.3н'!H75)/3</f>
        <v>0</v>
      </c>
      <c r="I75" s="91">
        <f>('16.1н'!I75+'16.2н'!I75+'16.3н'!I75)/3</f>
        <v>0</v>
      </c>
      <c r="J75" s="91">
        <f>('16.1н'!J75+'16.2н'!J75+'16.3н'!J75)/3</f>
        <v>0</v>
      </c>
      <c r="K75" s="91">
        <f>('16.1н'!K75+'16.2н'!K75+'16.3н'!K75)/3</f>
        <v>0</v>
      </c>
      <c r="L75" s="91">
        <f>('16.1н'!L75+'16.2н'!L75+'16.3н'!L75)/3</f>
        <v>0</v>
      </c>
      <c r="M75" s="91">
        <f>('16.1н'!M75+'16.2н'!M75+'16.3н'!M75)/3</f>
        <v>0</v>
      </c>
      <c r="N75" s="91">
        <f>('16.1н'!N75+'16.2н'!N75+'16.3н'!N75)/3</f>
        <v>0</v>
      </c>
      <c r="O75" s="91">
        <f>('16.1н'!O75+'16.2н'!O75+'16.3н'!O75)/3</f>
        <v>0</v>
      </c>
      <c r="P75" s="91">
        <f>('16.1н'!P75+'16.2н'!P75+'16.3н'!P75)/3</f>
        <v>0</v>
      </c>
      <c r="Q75" s="91">
        <f>('16.1н'!Q75+'16.2н'!Q75+'16.3н'!Q75)/3</f>
        <v>0</v>
      </c>
      <c r="R75" s="91">
        <f>('16.1н'!B75+'16.2н'!B75+'16.3н'!B75)/3</f>
        <v>0.477571758986163</v>
      </c>
    </row>
    <row r="76" spans="1:18" x14ac:dyDescent="0.25">
      <c r="A76" s="84">
        <v>75</v>
      </c>
      <c r="B76" s="84" t="s">
        <v>75</v>
      </c>
      <c r="C76" s="91" t="e">
        <f>('16.1н'!#REF!+'16.2н'!#REF!+'16.3н'!#REF!)/3</f>
        <v>#REF!</v>
      </c>
      <c r="D76" s="91" t="e">
        <f>('16.1н'!#REF!+'16.2н'!#REF!+'16.3н'!#REF!)/3</f>
        <v>#REF!</v>
      </c>
      <c r="E76" s="91">
        <f>('16.1н'!E76+'16.2н'!E76+'16.3н'!E76)/3</f>
        <v>0</v>
      </c>
      <c r="F76" s="91">
        <f>('16.1н'!F76+'16.2н'!F76+'16.3н'!F76)/3</f>
        <v>0</v>
      </c>
      <c r="G76" s="91">
        <f>('16.1н'!G76+'16.2н'!G76+'16.3н'!G76)/3</f>
        <v>0</v>
      </c>
      <c r="H76" s="91">
        <f>('16.1н'!H76+'16.2н'!H76+'16.3н'!H76)/3</f>
        <v>0</v>
      </c>
      <c r="I76" s="91">
        <f>('16.1н'!I76+'16.2н'!I76+'16.3н'!I76)/3</f>
        <v>0</v>
      </c>
      <c r="J76" s="91">
        <f>('16.1н'!J76+'16.2н'!J76+'16.3н'!J76)/3</f>
        <v>0</v>
      </c>
      <c r="K76" s="91">
        <f>('16.1н'!K76+'16.2н'!K76+'16.3н'!K76)/3</f>
        <v>0</v>
      </c>
      <c r="L76" s="91">
        <f>('16.1н'!L76+'16.2н'!L76+'16.3н'!L76)/3</f>
        <v>0</v>
      </c>
      <c r="M76" s="91">
        <f>('16.1н'!M76+'16.2н'!M76+'16.3н'!M76)/3</f>
        <v>0</v>
      </c>
      <c r="N76" s="91">
        <f>('16.1н'!N76+'16.2н'!N76+'16.3н'!N76)/3</f>
        <v>0</v>
      </c>
      <c r="O76" s="91">
        <f>('16.1н'!O76+'16.2н'!O76+'16.3н'!O76)/3</f>
        <v>0</v>
      </c>
      <c r="P76" s="91">
        <f>('16.1н'!P76+'16.2н'!P76+'16.3н'!P76)/3</f>
        <v>0</v>
      </c>
      <c r="Q76" s="91">
        <f>('16.1н'!Q76+'16.2н'!Q76+'16.3н'!Q76)/3</f>
        <v>0</v>
      </c>
      <c r="R76" s="91">
        <f>('16.1н'!B76+'16.2н'!B76+'16.3н'!B76)/3</f>
        <v>0.39686388371412368</v>
      </c>
    </row>
    <row r="77" spans="1:18" x14ac:dyDescent="0.25">
      <c r="A77" s="84">
        <v>76</v>
      </c>
      <c r="B77" s="84" t="s">
        <v>76</v>
      </c>
      <c r="C77" s="91" t="e">
        <f>('16.1н'!#REF!+'16.2н'!#REF!+'16.3н'!#REF!)/3</f>
        <v>#REF!</v>
      </c>
      <c r="D77" s="91" t="e">
        <f>('16.1н'!#REF!+'16.2н'!#REF!+'16.3н'!#REF!)/3</f>
        <v>#REF!</v>
      </c>
      <c r="E77" s="91">
        <f>('16.1н'!E77+'16.2н'!E77+'16.3н'!E77)/3</f>
        <v>0</v>
      </c>
      <c r="F77" s="91">
        <f>('16.1н'!F77+'16.2н'!F77+'16.3н'!F77)/3</f>
        <v>0</v>
      </c>
      <c r="G77" s="91">
        <f>('16.1н'!G77+'16.2н'!G77+'16.3н'!G77)/3</f>
        <v>0</v>
      </c>
      <c r="H77" s="91">
        <f>('16.1н'!H77+'16.2н'!H77+'16.3н'!H77)/3</f>
        <v>0</v>
      </c>
      <c r="I77" s="91">
        <f>('16.1н'!I77+'16.2н'!I77+'16.3н'!I77)/3</f>
        <v>0</v>
      </c>
      <c r="J77" s="91">
        <f>('16.1н'!J77+'16.2н'!J77+'16.3н'!J77)/3</f>
        <v>0</v>
      </c>
      <c r="K77" s="91">
        <f>('16.1н'!K77+'16.2н'!K77+'16.3н'!K77)/3</f>
        <v>0</v>
      </c>
      <c r="L77" s="91">
        <f>('16.1н'!L77+'16.2н'!L77+'16.3н'!L77)/3</f>
        <v>0</v>
      </c>
      <c r="M77" s="91">
        <f>('16.1н'!M77+'16.2н'!M77+'16.3н'!M77)/3</f>
        <v>0</v>
      </c>
      <c r="N77" s="91">
        <f>('16.1н'!N77+'16.2н'!N77+'16.3н'!N77)/3</f>
        <v>0</v>
      </c>
      <c r="O77" s="91">
        <f>('16.1н'!O77+'16.2н'!O77+'16.3н'!O77)/3</f>
        <v>0</v>
      </c>
      <c r="P77" s="91">
        <f>('16.1н'!P77+'16.2н'!P77+'16.3н'!P77)/3</f>
        <v>0</v>
      </c>
      <c r="Q77" s="91">
        <f>('16.1н'!Q77+'16.2н'!Q77+'16.3н'!Q77)/3</f>
        <v>0</v>
      </c>
      <c r="R77" s="91">
        <f>('16.1н'!B77+'16.2н'!B77+'16.3н'!B77)/3</f>
        <v>0.40409717474687951</v>
      </c>
    </row>
    <row r="78" spans="1:18" x14ac:dyDescent="0.25">
      <c r="A78" s="84">
        <v>77</v>
      </c>
      <c r="B78" s="84" t="s">
        <v>77</v>
      </c>
      <c r="C78" s="91" t="e">
        <f>('16.1н'!#REF!+'16.2н'!#REF!+'16.3н'!#REF!)/3</f>
        <v>#REF!</v>
      </c>
      <c r="D78" s="91" t="e">
        <f>('16.1н'!#REF!+'16.2н'!#REF!+'16.3н'!#REF!)/3</f>
        <v>#REF!</v>
      </c>
      <c r="E78" s="91">
        <f>('16.1н'!E78+'16.2н'!E78+'16.3н'!E78)/3</f>
        <v>0</v>
      </c>
      <c r="F78" s="91">
        <f>('16.1н'!F78+'16.2н'!F78+'16.3н'!F78)/3</f>
        <v>0</v>
      </c>
      <c r="G78" s="91">
        <f>('16.1н'!G78+'16.2н'!G78+'16.3н'!G78)/3</f>
        <v>0</v>
      </c>
      <c r="H78" s="91">
        <f>('16.1н'!H78+'16.2н'!H78+'16.3н'!H78)/3</f>
        <v>0</v>
      </c>
      <c r="I78" s="91">
        <f>('16.1н'!I78+'16.2н'!I78+'16.3н'!I78)/3</f>
        <v>0</v>
      </c>
      <c r="J78" s="91">
        <f>('16.1н'!J78+'16.2н'!J78+'16.3н'!J78)/3</f>
        <v>0</v>
      </c>
      <c r="K78" s="91">
        <f>('16.1н'!K78+'16.2н'!K78+'16.3н'!K78)/3</f>
        <v>0</v>
      </c>
      <c r="L78" s="91">
        <f>('16.1н'!L78+'16.2н'!L78+'16.3н'!L78)/3</f>
        <v>0</v>
      </c>
      <c r="M78" s="91">
        <f>('16.1н'!M78+'16.2н'!M78+'16.3н'!M78)/3</f>
        <v>0</v>
      </c>
      <c r="N78" s="91">
        <f>('16.1н'!N78+'16.2н'!N78+'16.3н'!N78)/3</f>
        <v>0</v>
      </c>
      <c r="O78" s="91">
        <f>('16.1н'!O78+'16.2н'!O78+'16.3н'!O78)/3</f>
        <v>0</v>
      </c>
      <c r="P78" s="91">
        <f>('16.1н'!P78+'16.2н'!P78+'16.3н'!P78)/3</f>
        <v>0</v>
      </c>
      <c r="Q78" s="91">
        <f>('16.1н'!Q78+'16.2н'!Q78+'16.3н'!Q78)/3</f>
        <v>0</v>
      </c>
      <c r="R78" s="91">
        <f>('16.1н'!B78+'16.2н'!B78+'16.3н'!B78)/3</f>
        <v>0.36448337917577361</v>
      </c>
    </row>
    <row r="79" spans="1:18" x14ac:dyDescent="0.25">
      <c r="A79" s="84">
        <v>78</v>
      </c>
      <c r="B79" s="84" t="s">
        <v>78</v>
      </c>
      <c r="C79" s="91" t="e">
        <f>('16.1н'!#REF!+'16.2н'!#REF!+'16.3н'!#REF!)/3</f>
        <v>#REF!</v>
      </c>
      <c r="D79" s="91" t="e">
        <f>('16.1н'!#REF!+'16.2н'!#REF!+'16.3н'!#REF!)/3</f>
        <v>#REF!</v>
      </c>
      <c r="E79" s="91">
        <f>('16.1н'!E79+'16.2н'!E79+'16.3н'!E79)/3</f>
        <v>0</v>
      </c>
      <c r="F79" s="91">
        <f>('16.1н'!F79+'16.2н'!F79+'16.3н'!F79)/3</f>
        <v>0</v>
      </c>
      <c r="G79" s="91">
        <f>('16.1н'!G79+'16.2н'!G79+'16.3н'!G79)/3</f>
        <v>0</v>
      </c>
      <c r="H79" s="91">
        <f>('16.1н'!H79+'16.2н'!H79+'16.3н'!H79)/3</f>
        <v>0</v>
      </c>
      <c r="I79" s="91">
        <f>('16.1н'!I79+'16.2н'!I79+'16.3н'!I79)/3</f>
        <v>0</v>
      </c>
      <c r="J79" s="91">
        <f>('16.1н'!J79+'16.2н'!J79+'16.3н'!J79)/3</f>
        <v>0</v>
      </c>
      <c r="K79" s="91">
        <f>('16.1н'!K79+'16.2н'!K79+'16.3н'!K79)/3</f>
        <v>0</v>
      </c>
      <c r="L79" s="91">
        <f>('16.1н'!L79+'16.2н'!L79+'16.3н'!L79)/3</f>
        <v>0</v>
      </c>
      <c r="M79" s="91">
        <f>('16.1н'!M79+'16.2н'!M79+'16.3н'!M79)/3</f>
        <v>0</v>
      </c>
      <c r="N79" s="91">
        <f>('16.1н'!N79+'16.2н'!N79+'16.3н'!N79)/3</f>
        <v>0</v>
      </c>
      <c r="O79" s="91">
        <f>('16.1н'!O79+'16.2н'!O79+'16.3н'!O79)/3</f>
        <v>0</v>
      </c>
      <c r="P79" s="91">
        <f>('16.1н'!P79+'16.2н'!P79+'16.3н'!P79)/3</f>
        <v>0</v>
      </c>
      <c r="Q79" s="91">
        <f>('16.1н'!Q79+'16.2н'!Q79+'16.3н'!Q79)/3</f>
        <v>0</v>
      </c>
      <c r="R79" s="91">
        <f>('16.1н'!B79+'16.2н'!B79+'16.3н'!B79)/3</f>
        <v>0.36701436016604988</v>
      </c>
    </row>
    <row r="80" spans="1:18" x14ac:dyDescent="0.25">
      <c r="A80" s="84">
        <v>79</v>
      </c>
      <c r="B80" s="84" t="s">
        <v>79</v>
      </c>
      <c r="C80" s="91" t="e">
        <f>('16.1н'!#REF!+'16.2н'!#REF!+'16.3н'!#REF!)/3</f>
        <v>#REF!</v>
      </c>
      <c r="D80" s="91" t="e">
        <f>('16.1н'!#REF!+'16.2н'!#REF!+'16.3н'!#REF!)/3</f>
        <v>#REF!</v>
      </c>
      <c r="E80" s="91">
        <f>('16.1н'!E80+'16.2н'!E80+'16.3н'!E80)/3</f>
        <v>0</v>
      </c>
      <c r="F80" s="91">
        <f>('16.1н'!F80+'16.2н'!F80+'16.3н'!F80)/3</f>
        <v>0</v>
      </c>
      <c r="G80" s="91">
        <f>('16.1н'!G80+'16.2н'!G80+'16.3н'!G80)/3</f>
        <v>0</v>
      </c>
      <c r="H80" s="91">
        <f>('16.1н'!H80+'16.2н'!H80+'16.3н'!H80)/3</f>
        <v>0</v>
      </c>
      <c r="I80" s="91">
        <f>('16.1н'!I80+'16.2н'!I80+'16.3н'!I80)/3</f>
        <v>0</v>
      </c>
      <c r="J80" s="91">
        <f>('16.1н'!J80+'16.2н'!J80+'16.3н'!J80)/3</f>
        <v>0</v>
      </c>
      <c r="K80" s="91">
        <f>('16.1н'!K80+'16.2н'!K80+'16.3н'!K80)/3</f>
        <v>0</v>
      </c>
      <c r="L80" s="91">
        <f>('16.1н'!L80+'16.2н'!L80+'16.3н'!L80)/3</f>
        <v>0</v>
      </c>
      <c r="M80" s="91">
        <f>('16.1н'!M80+'16.2н'!M80+'16.3н'!M80)/3</f>
        <v>0</v>
      </c>
      <c r="N80" s="91">
        <f>('16.1н'!N80+'16.2н'!N80+'16.3н'!N80)/3</f>
        <v>0</v>
      </c>
      <c r="O80" s="91">
        <f>('16.1н'!O80+'16.2н'!O80+'16.3н'!O80)/3</f>
        <v>0</v>
      </c>
      <c r="P80" s="91">
        <f>('16.1н'!P80+'16.2н'!P80+'16.3н'!P80)/3</f>
        <v>0</v>
      </c>
      <c r="Q80" s="91">
        <f>('16.1н'!Q80+'16.2н'!Q80+'16.3н'!Q80)/3</f>
        <v>0</v>
      </c>
      <c r="R80" s="91">
        <f>('16.1н'!B80+'16.2н'!B80+'16.3н'!B80)/3</f>
        <v>0.37072066164115797</v>
      </c>
    </row>
    <row r="81" spans="1:18" x14ac:dyDescent="0.25">
      <c r="A81" s="84">
        <v>80</v>
      </c>
      <c r="B81" s="84" t="s">
        <v>80</v>
      </c>
      <c r="C81" s="91" t="e">
        <f>('16.1н'!#REF!+'16.2н'!#REF!+'16.3н'!#REF!)/3</f>
        <v>#REF!</v>
      </c>
      <c r="D81" s="91" t="e">
        <f>('16.1н'!#REF!+'16.2н'!#REF!+'16.3н'!#REF!)/3</f>
        <v>#REF!</v>
      </c>
      <c r="E81" s="91">
        <f>('16.1н'!E81+'16.2н'!E81+'16.3н'!E81)/3</f>
        <v>0</v>
      </c>
      <c r="F81" s="91">
        <f>('16.1н'!F81+'16.2н'!F81+'16.3н'!F81)/3</f>
        <v>0</v>
      </c>
      <c r="G81" s="91">
        <f>('16.1н'!G81+'16.2н'!G81+'16.3н'!G81)/3</f>
        <v>0</v>
      </c>
      <c r="H81" s="91">
        <f>('16.1н'!H81+'16.2н'!H81+'16.3н'!H81)/3</f>
        <v>0</v>
      </c>
      <c r="I81" s="91">
        <f>('16.1н'!I81+'16.2н'!I81+'16.3н'!I81)/3</f>
        <v>0</v>
      </c>
      <c r="J81" s="91">
        <f>('16.1н'!J81+'16.2н'!J81+'16.3н'!J81)/3</f>
        <v>0</v>
      </c>
      <c r="K81" s="91">
        <f>('16.1н'!K81+'16.2н'!K81+'16.3н'!K81)/3</f>
        <v>0</v>
      </c>
      <c r="L81" s="91">
        <f>('16.1н'!L81+'16.2н'!L81+'16.3н'!L81)/3</f>
        <v>0</v>
      </c>
      <c r="M81" s="91">
        <f>('16.1н'!M81+'16.2н'!M81+'16.3н'!M81)/3</f>
        <v>0</v>
      </c>
      <c r="N81" s="91">
        <f>('16.1н'!N81+'16.2н'!N81+'16.3н'!N81)/3</f>
        <v>0</v>
      </c>
      <c r="O81" s="91">
        <f>('16.1н'!O81+'16.2н'!O81+'16.3н'!O81)/3</f>
        <v>0</v>
      </c>
      <c r="P81" s="91">
        <f>('16.1н'!P81+'16.2н'!P81+'16.3н'!P81)/3</f>
        <v>0</v>
      </c>
      <c r="Q81" s="91">
        <f>('16.1н'!Q81+'16.2н'!Q81+'16.3н'!Q81)/3</f>
        <v>0</v>
      </c>
      <c r="R81" s="91">
        <f>('16.1н'!B81+'16.2н'!B81+'16.3н'!B81)/3</f>
        <v>0.51149957316241823</v>
      </c>
    </row>
    <row r="82" spans="1:18" x14ac:dyDescent="0.25">
      <c r="A82" s="84">
        <v>81</v>
      </c>
      <c r="B82" s="84" t="s">
        <v>81</v>
      </c>
      <c r="C82" s="91" t="e">
        <f>('16.1н'!#REF!+'16.2н'!#REF!+'16.3н'!#REF!)/3</f>
        <v>#REF!</v>
      </c>
      <c r="D82" s="91" t="e">
        <f>('16.1н'!#REF!+'16.2н'!#REF!+'16.3н'!#REF!)/3</f>
        <v>#REF!</v>
      </c>
      <c r="E82" s="91">
        <f>('16.1н'!E82+'16.2н'!E82+'16.3н'!E82)/3</f>
        <v>0</v>
      </c>
      <c r="F82" s="91">
        <f>('16.1н'!F82+'16.2н'!F82+'16.3н'!F82)/3</f>
        <v>0</v>
      </c>
      <c r="G82" s="91">
        <f>('16.1н'!G82+'16.2н'!G82+'16.3н'!G82)/3</f>
        <v>0</v>
      </c>
      <c r="H82" s="91">
        <f>('16.1н'!H82+'16.2н'!H82+'16.3н'!H82)/3</f>
        <v>0</v>
      </c>
      <c r="I82" s="91">
        <f>('16.1н'!I82+'16.2н'!I82+'16.3н'!I82)/3</f>
        <v>0</v>
      </c>
      <c r="J82" s="91">
        <f>('16.1н'!J82+'16.2н'!J82+'16.3н'!J82)/3</f>
        <v>0</v>
      </c>
      <c r="K82" s="91">
        <f>('16.1н'!K82+'16.2н'!K82+'16.3н'!K82)/3</f>
        <v>0</v>
      </c>
      <c r="L82" s="91">
        <f>('16.1н'!L82+'16.2н'!L82+'16.3н'!L82)/3</f>
        <v>0</v>
      </c>
      <c r="M82" s="91">
        <f>('16.1н'!M82+'16.2н'!M82+'16.3н'!M82)/3</f>
        <v>0</v>
      </c>
      <c r="N82" s="91">
        <f>('16.1н'!N82+'16.2н'!N82+'16.3н'!N82)/3</f>
        <v>0</v>
      </c>
      <c r="O82" s="91">
        <f>('16.1н'!O82+'16.2н'!O82+'16.3н'!O82)/3</f>
        <v>0</v>
      </c>
      <c r="P82" s="91">
        <f>('16.1н'!P82+'16.2н'!P82+'16.3н'!P82)/3</f>
        <v>0</v>
      </c>
      <c r="Q82" s="91">
        <f>('16.1н'!Q82+'16.2н'!Q82+'16.3н'!Q82)/3</f>
        <v>0</v>
      </c>
      <c r="R82" s="91">
        <f>('16.1н'!B82+'16.2н'!B82+'16.3н'!B82)/3</f>
        <v>0.30188840059135441</v>
      </c>
    </row>
    <row r="83" spans="1:18" x14ac:dyDescent="0.25">
      <c r="A83" s="84">
        <v>82</v>
      </c>
      <c r="B83" s="84" t="s">
        <v>82</v>
      </c>
      <c r="C83" s="91" t="e">
        <f>('16.1н'!#REF!+'16.2н'!#REF!+'16.3н'!#REF!)/3</f>
        <v>#REF!</v>
      </c>
      <c r="D83" s="91" t="e">
        <f>('16.1н'!#REF!+'16.2н'!#REF!+'16.3н'!#REF!)/3</f>
        <v>#REF!</v>
      </c>
      <c r="E83" s="91">
        <f>('16.1н'!E83+'16.2н'!E83+'16.3н'!E83)/3</f>
        <v>0</v>
      </c>
      <c r="F83" s="91">
        <f>('16.1н'!F83+'16.2н'!F83+'16.3н'!F83)/3</f>
        <v>0</v>
      </c>
      <c r="G83" s="91">
        <f>('16.1н'!G83+'16.2н'!G83+'16.3н'!G83)/3</f>
        <v>0</v>
      </c>
      <c r="H83" s="91">
        <f>('16.1н'!H83+'16.2н'!H83+'16.3н'!H83)/3</f>
        <v>0</v>
      </c>
      <c r="I83" s="91">
        <f>('16.1н'!I83+'16.2н'!I83+'16.3н'!I83)/3</f>
        <v>0</v>
      </c>
      <c r="J83" s="91">
        <f>('16.1н'!J83+'16.2н'!J83+'16.3н'!J83)/3</f>
        <v>0</v>
      </c>
      <c r="K83" s="91">
        <f>('16.1н'!K83+'16.2н'!K83+'16.3н'!K83)/3</f>
        <v>0</v>
      </c>
      <c r="L83" s="91">
        <f>('16.1н'!L83+'16.2н'!L83+'16.3н'!L83)/3</f>
        <v>0</v>
      </c>
      <c r="M83" s="91">
        <f>('16.1н'!M83+'16.2н'!M83+'16.3н'!M83)/3</f>
        <v>0</v>
      </c>
      <c r="N83" s="91">
        <f>('16.1н'!N83+'16.2н'!N83+'16.3н'!N83)/3</f>
        <v>0</v>
      </c>
      <c r="O83" s="91">
        <f>('16.1н'!O83+'16.2н'!O83+'16.3н'!O83)/3</f>
        <v>0</v>
      </c>
      <c r="P83" s="91">
        <f>('16.1н'!P83+'16.2н'!P83+'16.3н'!P83)/3</f>
        <v>0</v>
      </c>
      <c r="Q83" s="91">
        <f>('16.1н'!Q83+'16.2н'!Q83+'16.3н'!Q83)/3</f>
        <v>0</v>
      </c>
      <c r="R83" s="91">
        <f>('16.1н'!B83+'16.2н'!B83+'16.3н'!B83)/3</f>
        <v>0.3341803509206116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6"/>
  <sheetViews>
    <sheetView zoomScaleNormal="100" workbookViewId="0"/>
  </sheetViews>
  <sheetFormatPr defaultRowHeight="15" x14ac:dyDescent="0.25"/>
  <cols>
    <col min="1" max="1" width="50" customWidth="1"/>
  </cols>
  <sheetData>
    <row r="1" spans="1:1" ht="18.75" customHeight="1" x14ac:dyDescent="0.25">
      <c r="A1" s="168"/>
    </row>
    <row r="6" spans="1:1" x14ac:dyDescent="0.25">
      <c r="A6" s="16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59999389629810485"/>
  </sheetPr>
  <dimension ref="A1:Q85"/>
  <sheetViews>
    <sheetView workbookViewId="0">
      <selection activeCell="R24" sqref="R24"/>
    </sheetView>
  </sheetViews>
  <sheetFormatPr defaultRowHeight="15" x14ac:dyDescent="0.25"/>
  <cols>
    <col min="1" max="1" width="35" customWidth="1"/>
    <col min="6" max="14" width="0" hidden="1" customWidth="1"/>
  </cols>
  <sheetData>
    <row r="1" spans="1:17" x14ac:dyDescent="0.25">
      <c r="B1">
        <v>2005</v>
      </c>
      <c r="C1">
        <v>2006</v>
      </c>
      <c r="D1">
        <v>2007</v>
      </c>
      <c r="E1">
        <v>2008</v>
      </c>
      <c r="F1">
        <v>2009</v>
      </c>
      <c r="G1" s="6">
        <v>2010</v>
      </c>
      <c r="H1" s="6">
        <v>2011</v>
      </c>
      <c r="I1" s="6">
        <v>2012</v>
      </c>
      <c r="J1" s="6">
        <v>2013</v>
      </c>
      <c r="K1" s="6">
        <v>2014</v>
      </c>
      <c r="L1" s="6">
        <v>2015</v>
      </c>
      <c r="M1" s="6">
        <v>2016</v>
      </c>
      <c r="N1" s="7">
        <v>2017</v>
      </c>
      <c r="O1" s="6">
        <v>2018</v>
      </c>
      <c r="P1" s="6">
        <v>2019</v>
      </c>
      <c r="Q1" s="6">
        <v>2020</v>
      </c>
    </row>
    <row r="2" spans="1:17" x14ac:dyDescent="0.25">
      <c r="A2" t="s">
        <v>1</v>
      </c>
      <c r="B2" s="9">
        <v>13641</v>
      </c>
      <c r="C2" s="9">
        <v>17409</v>
      </c>
      <c r="D2" s="9">
        <v>22575</v>
      </c>
      <c r="E2" s="9">
        <v>30666</v>
      </c>
      <c r="F2" s="9">
        <v>37793</v>
      </c>
      <c r="G2" s="9">
        <v>44437</v>
      </c>
      <c r="H2" s="9">
        <v>49776</v>
      </c>
      <c r="I2" s="9">
        <v>53115</v>
      </c>
      <c r="J2" s="10">
        <v>64115</v>
      </c>
      <c r="K2" s="10">
        <v>70453</v>
      </c>
      <c r="L2" s="10">
        <v>74393</v>
      </c>
      <c r="M2" s="10">
        <v>77677</v>
      </c>
      <c r="N2" s="10">
        <v>80858</v>
      </c>
      <c r="O2" s="10">
        <v>83389</v>
      </c>
      <c r="P2" s="9">
        <v>87983</v>
      </c>
      <c r="Q2" s="9">
        <v>86734</v>
      </c>
    </row>
    <row r="3" spans="1:17" x14ac:dyDescent="0.25">
      <c r="A3" t="s">
        <v>2</v>
      </c>
      <c r="B3" s="9">
        <v>13747</v>
      </c>
      <c r="C3" s="9">
        <v>17107</v>
      </c>
      <c r="D3" s="9">
        <v>20630</v>
      </c>
      <c r="E3" s="9">
        <v>24723</v>
      </c>
      <c r="F3" s="9">
        <v>26946</v>
      </c>
      <c r="G3" s="9">
        <v>30111</v>
      </c>
      <c r="H3" s="9">
        <v>34125</v>
      </c>
      <c r="I3" s="9">
        <v>36157</v>
      </c>
      <c r="J3" s="10">
        <v>40064</v>
      </c>
      <c r="K3" s="10">
        <v>42682</v>
      </c>
      <c r="L3" s="10">
        <v>45074</v>
      </c>
      <c r="M3" s="10">
        <v>47410</v>
      </c>
      <c r="N3" s="10">
        <v>49891</v>
      </c>
      <c r="O3" s="10">
        <v>53159</v>
      </c>
      <c r="P3" s="9">
        <v>56116</v>
      </c>
      <c r="Q3" s="9">
        <v>52269</v>
      </c>
    </row>
    <row r="4" spans="1:17" x14ac:dyDescent="0.25">
      <c r="A4" t="s">
        <v>3</v>
      </c>
      <c r="B4" s="9">
        <v>13992</v>
      </c>
      <c r="C4" s="9">
        <v>17835</v>
      </c>
      <c r="D4" s="9">
        <v>22617</v>
      </c>
      <c r="E4" s="9">
        <v>27066</v>
      </c>
      <c r="F4" s="9">
        <v>33495</v>
      </c>
      <c r="G4" s="9">
        <v>38780</v>
      </c>
      <c r="H4" s="9">
        <v>43514</v>
      </c>
      <c r="I4" s="9">
        <v>49433</v>
      </c>
      <c r="J4" s="10">
        <v>59776</v>
      </c>
      <c r="K4" s="10">
        <v>64011</v>
      </c>
      <c r="L4" s="10">
        <v>66909</v>
      </c>
      <c r="M4" s="10">
        <v>66896</v>
      </c>
      <c r="N4" s="10">
        <v>68739</v>
      </c>
      <c r="O4" s="10">
        <v>69816</v>
      </c>
      <c r="P4" s="9">
        <v>72135</v>
      </c>
      <c r="Q4" s="9">
        <v>68050</v>
      </c>
    </row>
    <row r="5" spans="1:17" x14ac:dyDescent="0.25">
      <c r="A5" t="s">
        <v>4</v>
      </c>
      <c r="B5" s="9">
        <v>21108</v>
      </c>
      <c r="C5" s="9">
        <v>26667</v>
      </c>
      <c r="D5" s="9">
        <v>32512</v>
      </c>
      <c r="E5" s="9">
        <v>39737</v>
      </c>
      <c r="F5" s="9">
        <v>48503</v>
      </c>
      <c r="G5" s="9">
        <v>59386</v>
      </c>
      <c r="H5" s="9">
        <v>68502</v>
      </c>
      <c r="I5" s="9">
        <v>77445</v>
      </c>
      <c r="J5" s="10">
        <v>90948</v>
      </c>
      <c r="K5" s="10">
        <v>99564</v>
      </c>
      <c r="L5" s="10">
        <v>110399</v>
      </c>
      <c r="M5" s="10">
        <v>118238</v>
      </c>
      <c r="N5" s="10">
        <v>124816</v>
      </c>
      <c r="O5" s="10">
        <v>129070</v>
      </c>
      <c r="P5" s="9">
        <v>134410</v>
      </c>
      <c r="Q5" s="9">
        <v>115645</v>
      </c>
    </row>
    <row r="6" spans="1:17" x14ac:dyDescent="0.25">
      <c r="A6" t="s">
        <v>5</v>
      </c>
      <c r="B6" s="9">
        <v>9990</v>
      </c>
      <c r="C6" s="9">
        <v>11742</v>
      </c>
      <c r="D6" s="9">
        <v>14350</v>
      </c>
      <c r="E6" s="9">
        <v>16815</v>
      </c>
      <c r="F6" s="9">
        <v>19681</v>
      </c>
      <c r="G6" s="9">
        <v>23032</v>
      </c>
      <c r="H6" s="9">
        <v>26236</v>
      </c>
      <c r="I6" s="9">
        <v>28351</v>
      </c>
      <c r="J6" s="10">
        <v>32582</v>
      </c>
      <c r="K6" s="10">
        <v>36921</v>
      </c>
      <c r="L6" s="10">
        <v>38453</v>
      </c>
      <c r="M6" s="10">
        <v>40152</v>
      </c>
      <c r="N6" s="10">
        <v>41799</v>
      </c>
      <c r="O6" s="10">
        <v>43856</v>
      </c>
      <c r="P6" s="9">
        <v>45725</v>
      </c>
      <c r="Q6" s="9">
        <v>41306</v>
      </c>
    </row>
    <row r="7" spans="1:17" x14ac:dyDescent="0.25">
      <c r="A7" t="s">
        <v>6</v>
      </c>
      <c r="B7" s="9">
        <v>10549</v>
      </c>
      <c r="C7" s="9">
        <v>13593</v>
      </c>
      <c r="D7" s="9">
        <v>17149</v>
      </c>
      <c r="E7" s="9">
        <v>20961</v>
      </c>
      <c r="F7" s="9">
        <v>24135</v>
      </c>
      <c r="G7" s="9">
        <v>27030</v>
      </c>
      <c r="H7" s="9">
        <v>30237</v>
      </c>
      <c r="I7" s="9">
        <v>33168</v>
      </c>
      <c r="J7" s="10">
        <v>37991</v>
      </c>
      <c r="K7" s="10">
        <v>41291</v>
      </c>
      <c r="L7" s="10">
        <v>43478</v>
      </c>
      <c r="M7" s="10">
        <v>45272</v>
      </c>
      <c r="N7" s="10">
        <v>47060</v>
      </c>
      <c r="O7" s="10">
        <v>49224</v>
      </c>
      <c r="P7" s="9">
        <v>52556</v>
      </c>
      <c r="Q7" s="9">
        <v>48566</v>
      </c>
    </row>
    <row r="8" spans="1:17" x14ac:dyDescent="0.25">
      <c r="A8" t="s">
        <v>7</v>
      </c>
      <c r="B8" s="9">
        <v>5524</v>
      </c>
      <c r="C8" s="9">
        <v>6987</v>
      </c>
      <c r="D8" s="9">
        <v>8930</v>
      </c>
      <c r="E8" s="9">
        <v>10067</v>
      </c>
      <c r="F8" s="9">
        <v>11102</v>
      </c>
      <c r="G8" s="9">
        <v>14584</v>
      </c>
      <c r="H8" s="9">
        <v>16524</v>
      </c>
      <c r="I8" s="9">
        <v>18079</v>
      </c>
      <c r="J8" s="10">
        <v>21009</v>
      </c>
      <c r="K8" s="10">
        <v>22608</v>
      </c>
      <c r="L8" s="10">
        <v>24043</v>
      </c>
      <c r="M8" s="10">
        <v>24989</v>
      </c>
      <c r="N8" s="10">
        <v>25840</v>
      </c>
      <c r="O8" s="10">
        <v>27084</v>
      </c>
      <c r="P8" s="9">
        <v>28243</v>
      </c>
      <c r="Q8" s="9">
        <v>26765</v>
      </c>
    </row>
    <row r="9" spans="1:17" x14ac:dyDescent="0.25">
      <c r="A9" t="s">
        <v>8</v>
      </c>
      <c r="B9" s="9">
        <v>10819</v>
      </c>
      <c r="C9" s="9">
        <v>15211</v>
      </c>
      <c r="D9" s="9">
        <v>18644</v>
      </c>
      <c r="E9" s="9">
        <v>23828</v>
      </c>
      <c r="F9" s="9">
        <v>26153</v>
      </c>
      <c r="G9" s="9">
        <v>28789</v>
      </c>
      <c r="H9" s="9">
        <v>31263</v>
      </c>
      <c r="I9" s="9">
        <v>34416</v>
      </c>
      <c r="J9" s="10">
        <v>40004</v>
      </c>
      <c r="K9" s="10">
        <v>44707</v>
      </c>
      <c r="L9" s="10">
        <v>48382</v>
      </c>
      <c r="M9" s="10">
        <v>50980</v>
      </c>
      <c r="N9" s="10">
        <v>52532</v>
      </c>
      <c r="O9" s="10">
        <v>54750</v>
      </c>
      <c r="P9" s="9">
        <v>56802</v>
      </c>
      <c r="Q9" s="9">
        <v>52927</v>
      </c>
    </row>
    <row r="10" spans="1:17" x14ac:dyDescent="0.25">
      <c r="A10" t="s">
        <v>9</v>
      </c>
      <c r="B10" s="9">
        <v>11541</v>
      </c>
      <c r="C10" s="9">
        <v>14965</v>
      </c>
      <c r="D10" s="9">
        <v>18143</v>
      </c>
      <c r="E10" s="9">
        <v>22246</v>
      </c>
      <c r="F10" s="9">
        <v>26091</v>
      </c>
      <c r="G10" s="9">
        <v>30928</v>
      </c>
      <c r="H10" s="9">
        <v>35229</v>
      </c>
      <c r="I10" s="9">
        <v>39464</v>
      </c>
      <c r="J10" s="10">
        <v>45833</v>
      </c>
      <c r="K10" s="10">
        <v>50959</v>
      </c>
      <c r="L10" s="10">
        <v>55228</v>
      </c>
      <c r="M10" s="10">
        <v>59430</v>
      </c>
      <c r="N10" s="10">
        <v>63056</v>
      </c>
      <c r="O10" s="10">
        <v>65897</v>
      </c>
      <c r="P10" s="9">
        <v>69561</v>
      </c>
      <c r="Q10" s="9">
        <v>64030</v>
      </c>
    </row>
    <row r="11" spans="1:17" x14ac:dyDescent="0.25">
      <c r="A11" t="s">
        <v>10</v>
      </c>
      <c r="B11" s="9">
        <v>108058</v>
      </c>
      <c r="C11" s="9">
        <v>136295</v>
      </c>
      <c r="D11" s="9">
        <v>167028</v>
      </c>
      <c r="E11" s="9">
        <v>205158</v>
      </c>
      <c r="F11" s="9">
        <v>223657</v>
      </c>
      <c r="G11" s="9">
        <v>258156</v>
      </c>
      <c r="H11" s="9">
        <v>285879</v>
      </c>
      <c r="I11" s="9">
        <v>305363</v>
      </c>
      <c r="J11" s="10">
        <v>404496</v>
      </c>
      <c r="K11" s="10">
        <v>427558</v>
      </c>
      <c r="L11" s="10">
        <v>452056</v>
      </c>
      <c r="M11" s="10">
        <v>468005</v>
      </c>
      <c r="N11" s="10">
        <v>491240</v>
      </c>
      <c r="O11" s="10">
        <v>508439</v>
      </c>
      <c r="P11" s="9">
        <v>546951</v>
      </c>
      <c r="Q11" s="9">
        <v>475915</v>
      </c>
    </row>
    <row r="12" spans="1:17" x14ac:dyDescent="0.25">
      <c r="A12" t="s">
        <v>11</v>
      </c>
      <c r="B12" s="9">
        <v>7524</v>
      </c>
      <c r="C12" s="9">
        <v>8666</v>
      </c>
      <c r="D12" s="9">
        <v>10024</v>
      </c>
      <c r="E12" s="9">
        <v>11528</v>
      </c>
      <c r="F12" s="9">
        <v>14616</v>
      </c>
      <c r="G12" s="9">
        <v>16888</v>
      </c>
      <c r="H12" s="9">
        <v>20061</v>
      </c>
      <c r="I12" s="9">
        <v>22342</v>
      </c>
      <c r="J12" s="10">
        <v>26025</v>
      </c>
      <c r="K12" s="10">
        <v>28261</v>
      </c>
      <c r="L12" s="10">
        <v>30770</v>
      </c>
      <c r="M12" s="10">
        <v>32630</v>
      </c>
      <c r="N12" s="10">
        <v>34288</v>
      </c>
      <c r="O12" s="10">
        <v>34630</v>
      </c>
      <c r="P12" s="9">
        <v>35924</v>
      </c>
      <c r="Q12" s="9">
        <v>32577</v>
      </c>
    </row>
    <row r="13" spans="1:17" x14ac:dyDescent="0.25">
      <c r="A13" t="s">
        <v>12</v>
      </c>
      <c r="B13" s="9">
        <v>10700</v>
      </c>
      <c r="C13" s="9">
        <v>13208</v>
      </c>
      <c r="D13" s="9">
        <v>16136</v>
      </c>
      <c r="E13" s="9">
        <v>19362</v>
      </c>
      <c r="F13" s="9">
        <v>22364</v>
      </c>
      <c r="G13" s="9">
        <v>27073</v>
      </c>
      <c r="H13" s="9">
        <v>30230</v>
      </c>
      <c r="I13" s="9">
        <v>32291</v>
      </c>
      <c r="J13" s="10">
        <v>35332</v>
      </c>
      <c r="K13" s="10">
        <v>37909</v>
      </c>
      <c r="L13" s="10">
        <v>39834</v>
      </c>
      <c r="M13" s="10">
        <v>43071</v>
      </c>
      <c r="N13" s="10">
        <v>46087</v>
      </c>
      <c r="O13" s="10">
        <v>49497</v>
      </c>
      <c r="P13" s="9">
        <v>52052</v>
      </c>
      <c r="Q13" s="9">
        <v>49805</v>
      </c>
    </row>
    <row r="14" spans="1:17" x14ac:dyDescent="0.25">
      <c r="A14" t="s">
        <v>13</v>
      </c>
      <c r="B14" s="9">
        <v>9060</v>
      </c>
      <c r="C14" s="9">
        <v>11151</v>
      </c>
      <c r="D14" s="9">
        <v>13937</v>
      </c>
      <c r="E14" s="9">
        <v>16238</v>
      </c>
      <c r="F14" s="9">
        <v>17258</v>
      </c>
      <c r="G14" s="9">
        <v>19828</v>
      </c>
      <c r="H14" s="9">
        <v>22551</v>
      </c>
      <c r="I14" s="9">
        <v>24020</v>
      </c>
      <c r="J14" s="10">
        <v>26785</v>
      </c>
      <c r="K14" s="10">
        <v>30038</v>
      </c>
      <c r="L14" s="10">
        <v>31238</v>
      </c>
      <c r="M14" s="10">
        <v>32079</v>
      </c>
      <c r="N14" s="10">
        <v>33546</v>
      </c>
      <c r="O14" s="10">
        <v>34791</v>
      </c>
      <c r="P14" s="9">
        <v>35867</v>
      </c>
      <c r="Q14" s="9">
        <v>32664</v>
      </c>
    </row>
    <row r="15" spans="1:17" x14ac:dyDescent="0.25">
      <c r="A15" t="s">
        <v>14</v>
      </c>
      <c r="B15" s="9">
        <v>10680</v>
      </c>
      <c r="C15" s="9">
        <v>12997</v>
      </c>
      <c r="D15" s="9">
        <v>16257</v>
      </c>
      <c r="E15" s="9">
        <v>21579</v>
      </c>
      <c r="F15" s="9">
        <v>24337</v>
      </c>
      <c r="G15" s="9">
        <v>26894</v>
      </c>
      <c r="H15" s="9">
        <v>29933</v>
      </c>
      <c r="I15" s="9">
        <v>33599</v>
      </c>
      <c r="J15" s="10">
        <v>38694</v>
      </c>
      <c r="K15" s="10">
        <v>42425</v>
      </c>
      <c r="L15" s="10">
        <v>44634</v>
      </c>
      <c r="M15" s="10">
        <v>46764</v>
      </c>
      <c r="N15" s="10">
        <v>48096</v>
      </c>
      <c r="O15" s="10">
        <v>49813</v>
      </c>
      <c r="P15" s="9">
        <v>52297</v>
      </c>
      <c r="Q15" s="9">
        <v>47625</v>
      </c>
    </row>
    <row r="16" spans="1:17" x14ac:dyDescent="0.25">
      <c r="A16" t="s">
        <v>15</v>
      </c>
      <c r="B16" s="9">
        <v>16451</v>
      </c>
      <c r="C16" s="9">
        <v>20180</v>
      </c>
      <c r="D16" s="9">
        <v>24958</v>
      </c>
      <c r="E16" s="9">
        <v>28600</v>
      </c>
      <c r="F16" s="9">
        <v>30462</v>
      </c>
      <c r="G16" s="9">
        <v>30556</v>
      </c>
      <c r="H16" s="9">
        <v>33784</v>
      </c>
      <c r="I16" s="9">
        <v>37402</v>
      </c>
      <c r="J16" s="10">
        <v>41490</v>
      </c>
      <c r="K16" s="10">
        <v>42023</v>
      </c>
      <c r="L16" s="10">
        <v>46361</v>
      </c>
      <c r="M16" s="10">
        <v>49674</v>
      </c>
      <c r="N16" s="10">
        <v>52048</v>
      </c>
      <c r="O16" s="10">
        <v>55654</v>
      </c>
      <c r="P16" s="9">
        <v>59228</v>
      </c>
      <c r="Q16" s="9">
        <v>56034</v>
      </c>
    </row>
    <row r="17" spans="1:17" x14ac:dyDescent="0.25">
      <c r="A17" t="s">
        <v>16</v>
      </c>
      <c r="B17" s="9">
        <v>16967</v>
      </c>
      <c r="C17" s="9">
        <v>21101</v>
      </c>
      <c r="D17" s="9">
        <v>25272</v>
      </c>
      <c r="E17" s="9">
        <v>30846</v>
      </c>
      <c r="F17" s="9">
        <v>34931</v>
      </c>
      <c r="G17" s="9">
        <v>38616</v>
      </c>
      <c r="H17" s="9">
        <v>45056</v>
      </c>
      <c r="I17" s="9">
        <v>49520</v>
      </c>
      <c r="J17" s="10">
        <v>55353</v>
      </c>
      <c r="K17" s="10">
        <v>59851</v>
      </c>
      <c r="L17" s="10">
        <v>64389</v>
      </c>
      <c r="M17" s="10">
        <v>66019</v>
      </c>
      <c r="N17" s="10">
        <v>69594</v>
      </c>
      <c r="O17" s="10">
        <v>72838</v>
      </c>
      <c r="P17" s="9">
        <v>75372</v>
      </c>
      <c r="Q17" s="9">
        <v>71993</v>
      </c>
    </row>
    <row r="18" spans="1:17" x14ac:dyDescent="0.25">
      <c r="A18" t="s">
        <v>17</v>
      </c>
      <c r="B18" s="9">
        <v>17239</v>
      </c>
      <c r="C18" s="9">
        <v>23348</v>
      </c>
      <c r="D18" s="9">
        <v>28489</v>
      </c>
      <c r="E18" s="9">
        <v>27359</v>
      </c>
      <c r="F18" s="9">
        <v>31184</v>
      </c>
      <c r="G18" s="9">
        <v>32219</v>
      </c>
      <c r="H18" s="9">
        <v>35406</v>
      </c>
      <c r="I18" s="9">
        <v>37998</v>
      </c>
      <c r="J18" s="10">
        <v>41597</v>
      </c>
      <c r="K18" s="10">
        <v>46012</v>
      </c>
      <c r="L18" s="10">
        <v>48324</v>
      </c>
      <c r="M18" s="10">
        <v>52024</v>
      </c>
      <c r="N18" s="10">
        <v>54972</v>
      </c>
      <c r="O18" s="10">
        <v>59625</v>
      </c>
      <c r="P18" s="9">
        <v>64436</v>
      </c>
      <c r="Q18" s="9">
        <v>59712</v>
      </c>
    </row>
    <row r="19" spans="1:17" x14ac:dyDescent="0.25">
      <c r="A19" t="s">
        <v>18</v>
      </c>
      <c r="B19" s="9">
        <v>550932</v>
      </c>
      <c r="C19" s="9">
        <v>659198</v>
      </c>
      <c r="D19" s="9">
        <v>784336</v>
      </c>
      <c r="E19" s="9">
        <v>887217</v>
      </c>
      <c r="F19" s="9">
        <v>930389</v>
      </c>
      <c r="G19" s="9">
        <v>953986</v>
      </c>
      <c r="H19" s="9">
        <v>1033906</v>
      </c>
      <c r="I19" s="9">
        <v>1104958</v>
      </c>
      <c r="J19" s="10">
        <v>1238055</v>
      </c>
      <c r="K19" s="10">
        <v>1324156</v>
      </c>
      <c r="L19" s="10">
        <v>1428114</v>
      </c>
      <c r="M19" s="10">
        <v>1657841</v>
      </c>
      <c r="N19" s="10">
        <v>1795769</v>
      </c>
      <c r="O19" s="10">
        <v>1863432</v>
      </c>
      <c r="P19" s="9">
        <v>2008958</v>
      </c>
      <c r="Q19" s="9">
        <v>1581945</v>
      </c>
    </row>
    <row r="20" spans="1:17" x14ac:dyDescent="0.25">
      <c r="A20" t="s">
        <v>19</v>
      </c>
      <c r="B20" s="9">
        <v>9029</v>
      </c>
      <c r="C20" s="9">
        <v>10907</v>
      </c>
      <c r="D20" s="9">
        <v>13187</v>
      </c>
      <c r="E20" s="9">
        <v>13994</v>
      </c>
      <c r="F20" s="9">
        <v>15726</v>
      </c>
      <c r="G20" s="9">
        <v>18320</v>
      </c>
      <c r="H20" s="9">
        <v>20255</v>
      </c>
      <c r="I20" s="9">
        <v>22656</v>
      </c>
      <c r="J20" s="10">
        <v>25094</v>
      </c>
      <c r="K20" s="10">
        <v>27318</v>
      </c>
      <c r="L20" s="10">
        <v>28843</v>
      </c>
      <c r="M20" s="10">
        <v>30796</v>
      </c>
      <c r="N20" s="10">
        <v>33410</v>
      </c>
      <c r="O20" s="10">
        <v>35069</v>
      </c>
      <c r="P20" s="9">
        <v>37156</v>
      </c>
      <c r="Q20" s="9">
        <v>35670</v>
      </c>
    </row>
    <row r="21" spans="1:17" x14ac:dyDescent="0.25">
      <c r="A21" t="s">
        <v>20</v>
      </c>
      <c r="B21" s="9">
        <v>16508</v>
      </c>
      <c r="C21" s="9">
        <v>20395</v>
      </c>
      <c r="D21" s="9">
        <v>24379</v>
      </c>
      <c r="E21" s="9">
        <v>28728</v>
      </c>
      <c r="F21" s="9">
        <v>32129</v>
      </c>
      <c r="G21" s="9">
        <v>34826</v>
      </c>
      <c r="H21" s="9">
        <v>38124</v>
      </c>
      <c r="I21" s="9">
        <v>40449</v>
      </c>
      <c r="J21" s="10">
        <v>44460</v>
      </c>
      <c r="K21" s="10">
        <v>45735</v>
      </c>
      <c r="L21" s="10">
        <v>45899</v>
      </c>
      <c r="M21" s="10">
        <v>47153</v>
      </c>
      <c r="N21" s="10">
        <v>48515</v>
      </c>
      <c r="O21" s="10">
        <v>50019</v>
      </c>
      <c r="P21" s="9">
        <v>52465</v>
      </c>
      <c r="Q21" s="9">
        <v>46801</v>
      </c>
    </row>
    <row r="22" spans="1:17" x14ac:dyDescent="0.25">
      <c r="A22" t="s">
        <v>21</v>
      </c>
      <c r="B22" s="9">
        <v>18066</v>
      </c>
      <c r="C22" s="9">
        <v>23670</v>
      </c>
      <c r="D22" s="9">
        <v>32227</v>
      </c>
      <c r="E22" s="9">
        <v>39265</v>
      </c>
      <c r="F22" s="9">
        <v>44019</v>
      </c>
      <c r="G22" s="9">
        <v>46664</v>
      </c>
      <c r="H22" s="9">
        <v>52495</v>
      </c>
      <c r="I22" s="9">
        <v>57539</v>
      </c>
      <c r="J22" s="10">
        <v>54294</v>
      </c>
      <c r="K22" s="10">
        <v>59625</v>
      </c>
      <c r="L22" s="10">
        <v>63710</v>
      </c>
      <c r="M22" s="10">
        <v>65824</v>
      </c>
      <c r="N22" s="10">
        <v>68478</v>
      </c>
      <c r="O22" s="10">
        <v>71279</v>
      </c>
      <c r="P22" s="9">
        <v>76194</v>
      </c>
      <c r="Q22" s="9">
        <v>64449</v>
      </c>
    </row>
    <row r="23" spans="1:17" x14ac:dyDescent="0.25">
      <c r="A23" t="s">
        <v>22</v>
      </c>
      <c r="B23" s="9">
        <v>15945</v>
      </c>
      <c r="C23" s="9">
        <v>20545</v>
      </c>
      <c r="D23" s="9">
        <v>24581</v>
      </c>
      <c r="E23" s="9">
        <v>29268</v>
      </c>
      <c r="F23" s="9">
        <v>31681</v>
      </c>
      <c r="G23" s="9">
        <v>34793</v>
      </c>
      <c r="H23" s="9">
        <v>39310</v>
      </c>
      <c r="I23" s="9">
        <v>41259</v>
      </c>
      <c r="J23" s="10">
        <v>46323</v>
      </c>
      <c r="K23" s="10">
        <v>50739</v>
      </c>
      <c r="L23" s="10">
        <v>53308</v>
      </c>
      <c r="M23" s="10">
        <v>54554</v>
      </c>
      <c r="N23" s="10">
        <v>55811</v>
      </c>
      <c r="O23" s="10">
        <v>57847</v>
      </c>
      <c r="P23" s="9">
        <v>62761</v>
      </c>
      <c r="Q23" s="9">
        <v>60482</v>
      </c>
    </row>
    <row r="24" spans="1:17" x14ac:dyDescent="0.25">
      <c r="A24" t="s">
        <v>23</v>
      </c>
      <c r="B24" s="9">
        <v>12041</v>
      </c>
      <c r="C24" s="9">
        <v>15814</v>
      </c>
      <c r="D24" s="9">
        <v>19685</v>
      </c>
      <c r="E24" s="9">
        <v>23915</v>
      </c>
      <c r="F24" s="9">
        <v>26736</v>
      </c>
      <c r="G24" s="9">
        <v>29769</v>
      </c>
      <c r="H24" s="9">
        <v>31658</v>
      </c>
      <c r="I24" s="9">
        <v>34252</v>
      </c>
      <c r="J24" s="10">
        <v>37991</v>
      </c>
      <c r="K24" s="10">
        <v>41852</v>
      </c>
      <c r="L24" s="10">
        <v>45810</v>
      </c>
      <c r="M24" s="10">
        <v>51268</v>
      </c>
      <c r="N24" s="10">
        <v>56102</v>
      </c>
      <c r="O24" s="10">
        <v>59596</v>
      </c>
      <c r="P24" s="9">
        <v>62952</v>
      </c>
      <c r="Q24" s="9">
        <v>56206</v>
      </c>
    </row>
    <row r="25" spans="1:17" x14ac:dyDescent="0.25">
      <c r="A25" t="s">
        <v>24</v>
      </c>
      <c r="B25" s="9">
        <v>14823</v>
      </c>
      <c r="C25" s="9">
        <v>18488</v>
      </c>
      <c r="D25" s="9">
        <v>21535</v>
      </c>
      <c r="E25" s="9">
        <v>25616</v>
      </c>
      <c r="F25" s="9">
        <v>31178</v>
      </c>
      <c r="G25" s="9">
        <v>36702</v>
      </c>
      <c r="H25" s="9">
        <v>41774</v>
      </c>
      <c r="I25" s="9">
        <v>46800</v>
      </c>
      <c r="J25" s="10">
        <v>53906</v>
      </c>
      <c r="K25" s="10">
        <v>57997</v>
      </c>
      <c r="L25" s="10">
        <v>63004</v>
      </c>
      <c r="M25" s="10">
        <v>69067</v>
      </c>
      <c r="N25" s="10">
        <v>73632</v>
      </c>
      <c r="O25" s="10">
        <v>78538</v>
      </c>
      <c r="P25" s="9">
        <v>83249</v>
      </c>
      <c r="Q25" s="9">
        <v>80402</v>
      </c>
    </row>
    <row r="26" spans="1:17" x14ac:dyDescent="0.25">
      <c r="A26" t="s">
        <v>25</v>
      </c>
      <c r="B26" s="9">
        <v>22941</v>
      </c>
      <c r="C26" s="9">
        <v>27717</v>
      </c>
      <c r="D26" s="9">
        <v>31580</v>
      </c>
      <c r="E26" s="9">
        <v>35383</v>
      </c>
      <c r="F26" s="9">
        <v>39200</v>
      </c>
      <c r="G26" s="9">
        <v>37795</v>
      </c>
      <c r="H26" s="9">
        <v>40237</v>
      </c>
      <c r="I26" s="9">
        <v>43145</v>
      </c>
      <c r="J26" s="10">
        <v>50682</v>
      </c>
      <c r="K26" s="10">
        <v>54788</v>
      </c>
      <c r="L26" s="10">
        <v>54962</v>
      </c>
      <c r="M26" s="10">
        <v>56778</v>
      </c>
      <c r="N26" s="10">
        <v>56470</v>
      </c>
      <c r="O26" s="10">
        <v>59851</v>
      </c>
      <c r="P26" s="9">
        <v>63302</v>
      </c>
      <c r="Q26" s="9">
        <v>58157</v>
      </c>
    </row>
    <row r="27" spans="1:17" x14ac:dyDescent="0.25">
      <c r="A27" t="s">
        <v>26</v>
      </c>
      <c r="B27" s="9">
        <v>8072</v>
      </c>
      <c r="C27" s="9">
        <v>9758</v>
      </c>
      <c r="D27" s="9">
        <v>11759</v>
      </c>
      <c r="E27" s="9">
        <v>14310</v>
      </c>
      <c r="F27" s="9">
        <v>16488</v>
      </c>
      <c r="G27" s="9">
        <v>19426</v>
      </c>
      <c r="H27" s="9">
        <v>22769</v>
      </c>
      <c r="I27" s="9">
        <v>26213</v>
      </c>
      <c r="J27" s="10">
        <v>28870</v>
      </c>
      <c r="K27" s="10">
        <v>31721</v>
      </c>
      <c r="L27" s="10">
        <v>33070</v>
      </c>
      <c r="M27" s="10">
        <v>33025</v>
      </c>
      <c r="N27" s="10">
        <v>32209</v>
      </c>
      <c r="O27" s="10">
        <v>32604</v>
      </c>
      <c r="P27" s="9">
        <v>33204</v>
      </c>
      <c r="Q27" s="9">
        <v>29084</v>
      </c>
    </row>
    <row r="28" spans="1:17" x14ac:dyDescent="0.25">
      <c r="A28" t="s">
        <v>27</v>
      </c>
      <c r="B28" s="9">
        <v>7173</v>
      </c>
      <c r="C28" s="9">
        <v>9117</v>
      </c>
      <c r="D28" s="9">
        <v>10686</v>
      </c>
      <c r="E28" s="9">
        <v>12709</v>
      </c>
      <c r="F28" s="9">
        <v>14763</v>
      </c>
      <c r="G28" s="9">
        <v>16330</v>
      </c>
      <c r="H28" s="9">
        <v>18285</v>
      </c>
      <c r="I28" s="9">
        <v>19429</v>
      </c>
      <c r="J28" s="10">
        <v>19786</v>
      </c>
      <c r="K28" s="10">
        <v>21039</v>
      </c>
      <c r="L28" s="10">
        <v>23489</v>
      </c>
      <c r="M28" s="10">
        <v>24693</v>
      </c>
      <c r="N28" s="10">
        <v>25635</v>
      </c>
      <c r="O28" s="10">
        <v>26893</v>
      </c>
      <c r="P28" s="9">
        <v>28306</v>
      </c>
      <c r="Q28" s="9">
        <v>26256</v>
      </c>
    </row>
    <row r="29" spans="1:17" x14ac:dyDescent="0.25">
      <c r="A29" t="s">
        <v>28</v>
      </c>
      <c r="B29" s="9">
        <v>126367</v>
      </c>
      <c r="C29" s="9">
        <v>151461</v>
      </c>
      <c r="D29" s="9">
        <v>190066</v>
      </c>
      <c r="E29" s="9">
        <v>228811</v>
      </c>
      <c r="F29" s="9">
        <v>241367</v>
      </c>
      <c r="G29" s="9">
        <v>281338</v>
      </c>
      <c r="H29" s="9">
        <v>316308</v>
      </c>
      <c r="I29" s="9">
        <v>343769</v>
      </c>
      <c r="J29" s="10">
        <v>372674</v>
      </c>
      <c r="K29" s="10">
        <v>386444</v>
      </c>
      <c r="L29" s="10">
        <v>414069</v>
      </c>
      <c r="M29" s="10">
        <v>447412</v>
      </c>
      <c r="N29" s="10">
        <v>494145</v>
      </c>
      <c r="O29" s="10">
        <v>538497</v>
      </c>
      <c r="P29" s="9">
        <v>554377</v>
      </c>
      <c r="Q29" s="9">
        <v>471283</v>
      </c>
    </row>
    <row r="30" spans="1:17" x14ac:dyDescent="0.25">
      <c r="A30" t="s">
        <v>29</v>
      </c>
      <c r="B30" s="9">
        <v>3145</v>
      </c>
      <c r="C30" s="9">
        <v>3368</v>
      </c>
      <c r="D30" s="9">
        <v>4024</v>
      </c>
      <c r="E30" s="9">
        <v>5254</v>
      </c>
      <c r="F30" s="9">
        <v>6017</v>
      </c>
      <c r="G30" s="9">
        <v>6281</v>
      </c>
      <c r="H30" s="9">
        <v>7373</v>
      </c>
      <c r="I30" s="9">
        <v>8451</v>
      </c>
      <c r="J30" s="10">
        <v>10176</v>
      </c>
      <c r="K30" s="10">
        <v>11243</v>
      </c>
      <c r="L30" s="10">
        <v>11515</v>
      </c>
      <c r="M30" s="10">
        <v>12679</v>
      </c>
      <c r="N30" s="10">
        <v>13304</v>
      </c>
      <c r="O30" s="10">
        <v>13495</v>
      </c>
      <c r="P30" s="9">
        <v>14479</v>
      </c>
      <c r="Q30" s="9">
        <v>14237</v>
      </c>
    </row>
    <row r="31" spans="1:17" x14ac:dyDescent="0.25">
      <c r="A31" t="s">
        <v>30</v>
      </c>
      <c r="B31" s="9">
        <v>1152</v>
      </c>
      <c r="C31" s="9">
        <v>1790</v>
      </c>
      <c r="D31" s="9">
        <v>2120</v>
      </c>
      <c r="E31" s="9">
        <v>2611</v>
      </c>
      <c r="F31" s="9">
        <v>2830</v>
      </c>
      <c r="G31" s="9">
        <v>3111</v>
      </c>
      <c r="H31" s="9">
        <v>3455</v>
      </c>
      <c r="I31" s="9">
        <v>3875</v>
      </c>
      <c r="J31" s="10">
        <v>4290</v>
      </c>
      <c r="K31" s="10">
        <v>4608</v>
      </c>
      <c r="L31" s="10">
        <v>4869</v>
      </c>
      <c r="M31" s="10">
        <v>5030</v>
      </c>
      <c r="N31" s="10">
        <v>5458</v>
      </c>
      <c r="O31" s="10">
        <v>5853</v>
      </c>
      <c r="P31" s="9">
        <v>6170</v>
      </c>
      <c r="Q31" s="9">
        <v>5883</v>
      </c>
    </row>
    <row r="32" spans="1:17" x14ac:dyDescent="0.25">
      <c r="A32" t="s">
        <v>31</v>
      </c>
      <c r="B32" s="117"/>
      <c r="C32" s="117"/>
      <c r="D32" s="117"/>
      <c r="E32" s="117"/>
      <c r="F32" s="117"/>
      <c r="G32" s="117"/>
      <c r="H32" s="117"/>
      <c r="I32" s="117"/>
      <c r="J32" s="118"/>
      <c r="K32" s="10">
        <v>8624</v>
      </c>
      <c r="L32" s="10">
        <v>73772</v>
      </c>
      <c r="M32" s="10">
        <v>80103</v>
      </c>
      <c r="N32" s="10">
        <v>85415</v>
      </c>
      <c r="O32" s="10">
        <v>86498</v>
      </c>
      <c r="P32" s="9">
        <v>90739</v>
      </c>
      <c r="Q32" s="9">
        <v>85718</v>
      </c>
    </row>
    <row r="33" spans="1:17" x14ac:dyDescent="0.25">
      <c r="A33" t="s">
        <v>32</v>
      </c>
      <c r="B33" s="9">
        <v>74197</v>
      </c>
      <c r="C33" s="9">
        <v>87159</v>
      </c>
      <c r="D33" s="9">
        <v>115689</v>
      </c>
      <c r="E33" s="9">
        <v>137868</v>
      </c>
      <c r="F33" s="9">
        <v>161787</v>
      </c>
      <c r="G33" s="9">
        <v>186095</v>
      </c>
      <c r="H33" s="9">
        <v>214282</v>
      </c>
      <c r="I33" s="9">
        <v>241536</v>
      </c>
      <c r="J33" s="10">
        <v>315014</v>
      </c>
      <c r="K33" s="10">
        <v>360832</v>
      </c>
      <c r="L33" s="10">
        <v>408126</v>
      </c>
      <c r="M33" s="10">
        <v>446299</v>
      </c>
      <c r="N33" s="10">
        <v>479806</v>
      </c>
      <c r="O33" s="10">
        <v>522335</v>
      </c>
      <c r="P33" s="9">
        <v>531837</v>
      </c>
      <c r="Q33" s="9">
        <v>527739</v>
      </c>
    </row>
    <row r="34" spans="1:17" x14ac:dyDescent="0.25">
      <c r="A34" t="s">
        <v>33</v>
      </c>
      <c r="B34" s="9">
        <v>10761</v>
      </c>
      <c r="C34" s="9">
        <v>13216</v>
      </c>
      <c r="D34" s="9">
        <v>15361</v>
      </c>
      <c r="E34" s="9">
        <v>18457</v>
      </c>
      <c r="F34" s="9">
        <v>21710</v>
      </c>
      <c r="G34" s="9">
        <v>24510</v>
      </c>
      <c r="H34" s="9">
        <v>26858</v>
      </c>
      <c r="I34" s="9">
        <v>29077</v>
      </c>
      <c r="J34" s="10">
        <v>31705</v>
      </c>
      <c r="K34" s="10">
        <v>34874</v>
      </c>
      <c r="L34" s="10">
        <v>35691</v>
      </c>
      <c r="M34" s="10">
        <v>37082</v>
      </c>
      <c r="N34" s="10">
        <v>39255</v>
      </c>
      <c r="O34" s="10">
        <v>41241</v>
      </c>
      <c r="P34" s="9">
        <v>42678</v>
      </c>
      <c r="Q34" s="9">
        <v>38967</v>
      </c>
    </row>
    <row r="35" spans="1:17" x14ac:dyDescent="0.25">
      <c r="A35" t="s">
        <v>34</v>
      </c>
      <c r="B35" s="9">
        <v>32539</v>
      </c>
      <c r="C35" s="9">
        <v>45612</v>
      </c>
      <c r="D35" s="9">
        <v>57988</v>
      </c>
      <c r="E35" s="9">
        <v>70985</v>
      </c>
      <c r="F35" s="9">
        <v>82646</v>
      </c>
      <c r="G35" s="9">
        <v>85380</v>
      </c>
      <c r="H35" s="9">
        <v>95780</v>
      </c>
      <c r="I35" s="9">
        <v>107893</v>
      </c>
      <c r="J35" s="10">
        <v>113897</v>
      </c>
      <c r="K35" s="10">
        <v>120535</v>
      </c>
      <c r="L35" s="10">
        <v>131504</v>
      </c>
      <c r="M35" s="10">
        <v>125910</v>
      </c>
      <c r="N35" s="10">
        <v>133057</v>
      </c>
      <c r="O35" s="10">
        <v>139625</v>
      </c>
      <c r="P35" s="9">
        <v>147835</v>
      </c>
      <c r="Q35" s="9">
        <v>132389</v>
      </c>
    </row>
    <row r="36" spans="1:17" x14ac:dyDescent="0.25">
      <c r="A36" t="s">
        <v>35</v>
      </c>
      <c r="B36" s="9">
        <v>49317</v>
      </c>
      <c r="C36" s="9">
        <v>62036</v>
      </c>
      <c r="D36" s="9">
        <v>72830</v>
      </c>
      <c r="E36" s="9">
        <v>88118</v>
      </c>
      <c r="F36" s="9">
        <v>96904</v>
      </c>
      <c r="G36" s="9">
        <v>109822</v>
      </c>
      <c r="H36" s="9">
        <v>122106</v>
      </c>
      <c r="I36" s="9">
        <v>132267</v>
      </c>
      <c r="J36" s="10">
        <v>154525</v>
      </c>
      <c r="K36" s="10">
        <v>171447</v>
      </c>
      <c r="L36" s="10">
        <v>187603</v>
      </c>
      <c r="M36" s="10">
        <v>201235</v>
      </c>
      <c r="N36" s="10">
        <v>214510</v>
      </c>
      <c r="O36" s="10">
        <v>230824</v>
      </c>
      <c r="P36" s="9">
        <v>247599</v>
      </c>
      <c r="Q36" s="9">
        <v>229869</v>
      </c>
    </row>
    <row r="37" spans="1:17" x14ac:dyDescent="0.25">
      <c r="A37" t="s">
        <v>36</v>
      </c>
      <c r="B37" s="117"/>
      <c r="C37" s="117"/>
      <c r="D37" s="117"/>
      <c r="E37" s="117"/>
      <c r="F37" s="117"/>
      <c r="G37" s="117"/>
      <c r="H37" s="117"/>
      <c r="I37" s="117"/>
      <c r="J37" s="118"/>
      <c r="K37" s="10">
        <v>2306</v>
      </c>
      <c r="L37" s="10">
        <v>21126</v>
      </c>
      <c r="M37" s="10">
        <v>30054</v>
      </c>
      <c r="N37" s="10">
        <v>33533</v>
      </c>
      <c r="O37" s="10">
        <v>35928</v>
      </c>
      <c r="P37" s="9">
        <v>37497</v>
      </c>
      <c r="Q37" s="9">
        <v>35462</v>
      </c>
    </row>
    <row r="38" spans="1:17" x14ac:dyDescent="0.25">
      <c r="A38" t="s">
        <v>37</v>
      </c>
      <c r="B38" s="9">
        <v>19384</v>
      </c>
      <c r="C38" s="9">
        <v>25333</v>
      </c>
      <c r="D38" s="9">
        <v>33774</v>
      </c>
      <c r="E38" s="9">
        <v>43800</v>
      </c>
      <c r="F38" s="9">
        <v>53467</v>
      </c>
      <c r="G38" s="9">
        <v>60776</v>
      </c>
      <c r="H38" s="9">
        <v>66957</v>
      </c>
      <c r="I38" s="9">
        <v>73655</v>
      </c>
      <c r="J38" s="10">
        <v>85806</v>
      </c>
      <c r="K38" s="10">
        <v>96396</v>
      </c>
      <c r="L38" s="10">
        <v>105899</v>
      </c>
      <c r="M38" s="10">
        <v>109131</v>
      </c>
      <c r="N38" s="10">
        <v>118943</v>
      </c>
      <c r="O38" s="10">
        <v>123177</v>
      </c>
      <c r="P38" s="9">
        <v>132062</v>
      </c>
      <c r="Q38" s="9">
        <v>123401</v>
      </c>
    </row>
    <row r="39" spans="1:17" x14ac:dyDescent="0.25">
      <c r="A39" t="s">
        <v>38</v>
      </c>
      <c r="B39" s="117"/>
      <c r="C39" s="117"/>
      <c r="D39" s="117"/>
      <c r="E39" s="117"/>
      <c r="F39" s="117"/>
      <c r="G39" s="117"/>
      <c r="H39" s="117"/>
      <c r="I39" s="117"/>
      <c r="J39" s="10">
        <v>9050</v>
      </c>
      <c r="K39" s="10">
        <v>9583</v>
      </c>
      <c r="L39" s="10">
        <v>9938</v>
      </c>
      <c r="M39" s="10">
        <v>9991</v>
      </c>
      <c r="N39" s="10">
        <v>11363</v>
      </c>
      <c r="O39" s="10">
        <v>11605</v>
      </c>
      <c r="P39" s="9">
        <v>11074</v>
      </c>
      <c r="Q39" s="9">
        <v>9406</v>
      </c>
    </row>
    <row r="40" spans="1:17" x14ac:dyDescent="0.25">
      <c r="A40" t="s">
        <v>42</v>
      </c>
      <c r="B40" s="9">
        <v>6790</v>
      </c>
      <c r="C40" s="9">
        <v>7955</v>
      </c>
      <c r="D40" s="9">
        <v>8984</v>
      </c>
      <c r="E40" s="9">
        <v>10795</v>
      </c>
      <c r="F40" s="9">
        <v>12727</v>
      </c>
      <c r="G40" s="9">
        <v>14925</v>
      </c>
      <c r="H40" s="9">
        <v>17368</v>
      </c>
      <c r="I40" s="9">
        <v>18973</v>
      </c>
      <c r="J40" s="10">
        <v>21881</v>
      </c>
      <c r="K40" s="10">
        <v>24030</v>
      </c>
      <c r="L40" s="10">
        <v>26198</v>
      </c>
      <c r="M40" s="10">
        <v>27762</v>
      </c>
      <c r="N40" s="10">
        <v>29356</v>
      </c>
      <c r="O40" s="10">
        <v>31437</v>
      </c>
      <c r="P40" s="9">
        <v>33492</v>
      </c>
      <c r="Q40" s="9">
        <v>31688</v>
      </c>
    </row>
    <row r="41" spans="1:17" x14ac:dyDescent="0.25">
      <c r="A41" t="s">
        <v>39</v>
      </c>
      <c r="B41" s="9">
        <v>3047</v>
      </c>
      <c r="C41" s="9">
        <v>4103</v>
      </c>
      <c r="D41" s="9">
        <v>4705</v>
      </c>
      <c r="E41" s="9">
        <v>6062</v>
      </c>
      <c r="F41" s="9">
        <v>6802</v>
      </c>
      <c r="G41" s="9">
        <v>8452</v>
      </c>
      <c r="H41" s="9">
        <v>9286</v>
      </c>
      <c r="I41" s="9">
        <v>10175</v>
      </c>
      <c r="J41" s="10">
        <v>11246</v>
      </c>
      <c r="K41" s="10">
        <v>11758</v>
      </c>
      <c r="L41" s="10">
        <v>12224</v>
      </c>
      <c r="M41" s="10">
        <v>12970</v>
      </c>
      <c r="N41" s="10">
        <v>13681</v>
      </c>
      <c r="O41" s="10">
        <v>14403</v>
      </c>
      <c r="P41" s="9">
        <v>15519</v>
      </c>
      <c r="Q41" s="9">
        <v>15057</v>
      </c>
    </row>
    <row r="42" spans="1:17" x14ac:dyDescent="0.25">
      <c r="A42" t="s">
        <v>43</v>
      </c>
      <c r="B42" s="9">
        <v>6869</v>
      </c>
      <c r="C42" s="9">
        <v>9080</v>
      </c>
      <c r="D42" s="9">
        <v>10672</v>
      </c>
      <c r="E42" s="9">
        <v>12517</v>
      </c>
      <c r="F42" s="9">
        <v>14549</v>
      </c>
      <c r="G42" s="9">
        <v>16359</v>
      </c>
      <c r="H42" s="9">
        <v>19129</v>
      </c>
      <c r="I42" s="9">
        <v>20459</v>
      </c>
      <c r="J42" s="10">
        <v>21887</v>
      </c>
      <c r="K42" s="10">
        <v>23268</v>
      </c>
      <c r="L42" s="10">
        <v>24970</v>
      </c>
      <c r="M42" s="10">
        <v>25976</v>
      </c>
      <c r="N42" s="10">
        <v>27255</v>
      </c>
      <c r="O42" s="10">
        <v>28627</v>
      </c>
      <c r="P42" s="9">
        <v>26920</v>
      </c>
      <c r="Q42" s="9">
        <v>23425</v>
      </c>
    </row>
    <row r="43" spans="1:17" x14ac:dyDescent="0.25">
      <c r="A43" t="s">
        <v>40</v>
      </c>
      <c r="B43" s="117"/>
      <c r="C43" s="117"/>
      <c r="D43" s="117"/>
      <c r="E43" s="117"/>
      <c r="F43" s="117"/>
      <c r="G43" s="117"/>
      <c r="H43" s="117"/>
      <c r="I43" s="117"/>
      <c r="J43" s="10">
        <v>29862</v>
      </c>
      <c r="K43" s="10">
        <v>37771</v>
      </c>
      <c r="L43" s="10">
        <v>42838</v>
      </c>
      <c r="M43" s="10">
        <v>47020</v>
      </c>
      <c r="N43" s="10">
        <v>52712</v>
      </c>
      <c r="O43" s="10">
        <v>55794</v>
      </c>
      <c r="P43" s="9">
        <v>58037</v>
      </c>
      <c r="Q43" s="9">
        <v>55769</v>
      </c>
    </row>
    <row r="44" spans="1:17" x14ac:dyDescent="0.25">
      <c r="A44" t="s">
        <v>41</v>
      </c>
      <c r="B44" s="9">
        <v>35309</v>
      </c>
      <c r="C44" s="9">
        <v>41371</v>
      </c>
      <c r="D44" s="9">
        <v>50362</v>
      </c>
      <c r="E44" s="9">
        <v>57175</v>
      </c>
      <c r="F44" s="9">
        <v>65134</v>
      </c>
      <c r="G44" s="9">
        <v>73988</v>
      </c>
      <c r="H44" s="9">
        <v>85285</v>
      </c>
      <c r="I44" s="9">
        <v>96849</v>
      </c>
      <c r="J44" s="10">
        <v>118757</v>
      </c>
      <c r="K44" s="10">
        <v>130279</v>
      </c>
      <c r="L44" s="10">
        <v>140009</v>
      </c>
      <c r="M44" s="10">
        <v>145417</v>
      </c>
      <c r="N44" s="10">
        <v>152087</v>
      </c>
      <c r="O44" s="10">
        <v>159238</v>
      </c>
      <c r="P44" s="9">
        <v>166734</v>
      </c>
      <c r="Q44" s="9">
        <v>144336</v>
      </c>
    </row>
    <row r="45" spans="1:17" x14ac:dyDescent="0.25">
      <c r="A45" t="s">
        <v>44</v>
      </c>
      <c r="B45" s="9">
        <v>59692</v>
      </c>
      <c r="C45" s="9">
        <v>75725</v>
      </c>
      <c r="D45" s="9">
        <v>96393</v>
      </c>
      <c r="E45" s="9">
        <v>127399</v>
      </c>
      <c r="F45" s="9">
        <v>143225</v>
      </c>
      <c r="G45" s="9">
        <v>143714</v>
      </c>
      <c r="H45" s="9">
        <v>160604</v>
      </c>
      <c r="I45" s="9">
        <v>178964</v>
      </c>
      <c r="J45" s="10">
        <v>196575</v>
      </c>
      <c r="K45" s="10">
        <v>218848</v>
      </c>
      <c r="L45" s="10">
        <v>231570</v>
      </c>
      <c r="M45" s="10">
        <v>240019</v>
      </c>
      <c r="N45" s="10">
        <v>249900</v>
      </c>
      <c r="O45" s="10">
        <v>261351</v>
      </c>
      <c r="P45" s="9">
        <v>271680</v>
      </c>
      <c r="Q45" s="9">
        <v>221945</v>
      </c>
    </row>
    <row r="46" spans="1:17" x14ac:dyDescent="0.25">
      <c r="A46" t="s">
        <v>45</v>
      </c>
      <c r="B46" s="9">
        <v>5497</v>
      </c>
      <c r="C46" s="9">
        <v>7072</v>
      </c>
      <c r="D46" s="9">
        <v>8920</v>
      </c>
      <c r="E46" s="9">
        <v>10899</v>
      </c>
      <c r="F46" s="9">
        <v>12773</v>
      </c>
      <c r="G46" s="9">
        <v>14150</v>
      </c>
      <c r="H46" s="9">
        <v>15817</v>
      </c>
      <c r="I46" s="9">
        <v>17155</v>
      </c>
      <c r="J46" s="10">
        <v>18589</v>
      </c>
      <c r="K46" s="10">
        <v>19613</v>
      </c>
      <c r="L46" s="10">
        <v>20463</v>
      </c>
      <c r="M46" s="10">
        <v>21122</v>
      </c>
      <c r="N46" s="10">
        <v>22689</v>
      </c>
      <c r="O46" s="10">
        <v>24064</v>
      </c>
      <c r="P46" s="9">
        <v>24835</v>
      </c>
      <c r="Q46" s="9">
        <v>22884</v>
      </c>
    </row>
    <row r="47" spans="1:17" x14ac:dyDescent="0.25">
      <c r="A47" t="s">
        <v>46</v>
      </c>
      <c r="B47" s="9">
        <v>5828</v>
      </c>
      <c r="C47" s="9">
        <v>7274</v>
      </c>
      <c r="D47" s="9">
        <v>8974</v>
      </c>
      <c r="E47" s="9">
        <v>11019</v>
      </c>
      <c r="F47" s="9">
        <v>13262</v>
      </c>
      <c r="G47" s="9">
        <v>15663</v>
      </c>
      <c r="H47" s="9">
        <v>17408</v>
      </c>
      <c r="I47" s="9">
        <v>18980</v>
      </c>
      <c r="J47" s="10">
        <v>20775</v>
      </c>
      <c r="K47" s="10">
        <v>22187</v>
      </c>
      <c r="L47" s="10">
        <v>23200</v>
      </c>
      <c r="M47" s="10">
        <v>24095</v>
      </c>
      <c r="N47" s="10">
        <v>25052</v>
      </c>
      <c r="O47" s="10">
        <v>26021</v>
      </c>
      <c r="P47" s="9">
        <v>27173</v>
      </c>
      <c r="Q47" s="9">
        <v>25466</v>
      </c>
    </row>
    <row r="48" spans="1:17" x14ac:dyDescent="0.25">
      <c r="A48" t="s">
        <v>47</v>
      </c>
      <c r="B48" s="9">
        <v>54915</v>
      </c>
      <c r="C48" s="9">
        <v>69612</v>
      </c>
      <c r="D48" s="9">
        <v>93326</v>
      </c>
      <c r="E48" s="9">
        <v>118482</v>
      </c>
      <c r="F48" s="9">
        <v>132939</v>
      </c>
      <c r="G48" s="9">
        <v>154128</v>
      </c>
      <c r="H48" s="9">
        <v>176247</v>
      </c>
      <c r="I48" s="9">
        <v>191120</v>
      </c>
      <c r="J48" s="10">
        <v>212334</v>
      </c>
      <c r="K48" s="10">
        <v>229760</v>
      </c>
      <c r="L48" s="10">
        <v>247693</v>
      </c>
      <c r="M48" s="10">
        <v>259238</v>
      </c>
      <c r="N48" s="10">
        <v>267910</v>
      </c>
      <c r="O48" s="10">
        <v>278504</v>
      </c>
      <c r="P48" s="9">
        <v>291618</v>
      </c>
      <c r="Q48" s="9">
        <v>262738</v>
      </c>
    </row>
    <row r="49" spans="1:17" x14ac:dyDescent="0.25">
      <c r="A49" t="s">
        <v>48</v>
      </c>
      <c r="B49" s="9">
        <v>15102</v>
      </c>
      <c r="C49" s="9">
        <v>18713</v>
      </c>
      <c r="D49" s="9">
        <v>22828</v>
      </c>
      <c r="E49" s="9">
        <v>26999</v>
      </c>
      <c r="F49" s="9">
        <v>29398</v>
      </c>
      <c r="G49" s="9">
        <v>33774</v>
      </c>
      <c r="H49" s="9">
        <v>37298</v>
      </c>
      <c r="I49" s="9">
        <v>40843</v>
      </c>
      <c r="J49" s="10">
        <v>48991</v>
      </c>
      <c r="K49" s="10">
        <v>52495</v>
      </c>
      <c r="L49" s="10">
        <v>53793</v>
      </c>
      <c r="M49" s="10">
        <v>58791</v>
      </c>
      <c r="N49" s="10">
        <v>63152</v>
      </c>
      <c r="O49" s="10">
        <v>65785</v>
      </c>
      <c r="P49" s="9">
        <v>67749</v>
      </c>
      <c r="Q49" s="9">
        <v>63653</v>
      </c>
    </row>
    <row r="50" spans="1:17" x14ac:dyDescent="0.25">
      <c r="A50" t="s">
        <v>49</v>
      </c>
      <c r="B50" s="9">
        <v>12628</v>
      </c>
      <c r="C50" s="9">
        <v>15706</v>
      </c>
      <c r="D50" s="9">
        <v>19586</v>
      </c>
      <c r="E50" s="9">
        <v>23699</v>
      </c>
      <c r="F50" s="9">
        <v>25953</v>
      </c>
      <c r="G50" s="9">
        <v>28158</v>
      </c>
      <c r="H50" s="9">
        <v>31560</v>
      </c>
      <c r="I50" s="9">
        <v>34350</v>
      </c>
      <c r="J50" s="10">
        <v>38003</v>
      </c>
      <c r="K50" s="10">
        <v>39945</v>
      </c>
      <c r="L50" s="10">
        <v>42141</v>
      </c>
      <c r="M50" s="10">
        <v>45127</v>
      </c>
      <c r="N50" s="10">
        <v>48213</v>
      </c>
      <c r="O50" s="10">
        <v>50791</v>
      </c>
      <c r="P50" s="9">
        <v>53814</v>
      </c>
      <c r="Q50" s="9">
        <v>49378</v>
      </c>
    </row>
    <row r="51" spans="1:17" x14ac:dyDescent="0.25">
      <c r="A51" t="s">
        <v>50</v>
      </c>
      <c r="B51" s="9">
        <v>39333</v>
      </c>
      <c r="C51" s="9">
        <v>46168</v>
      </c>
      <c r="D51" s="9">
        <v>56287</v>
      </c>
      <c r="E51" s="9">
        <v>68629</v>
      </c>
      <c r="F51" s="9">
        <v>78574</v>
      </c>
      <c r="G51" s="9">
        <v>90668</v>
      </c>
      <c r="H51" s="9">
        <v>102887</v>
      </c>
      <c r="I51" s="9">
        <v>112432</v>
      </c>
      <c r="J51" s="10">
        <v>124279</v>
      </c>
      <c r="K51" s="10">
        <v>130984</v>
      </c>
      <c r="L51" s="10">
        <v>133268</v>
      </c>
      <c r="M51" s="10">
        <v>140123</v>
      </c>
      <c r="N51" s="10">
        <v>151610</v>
      </c>
      <c r="O51" s="10">
        <v>160204</v>
      </c>
      <c r="P51" s="9">
        <v>167961</v>
      </c>
      <c r="Q51" s="9">
        <v>145755</v>
      </c>
    </row>
    <row r="52" spans="1:17" x14ac:dyDescent="0.25">
      <c r="A52" t="s">
        <v>51</v>
      </c>
      <c r="B52" s="9">
        <v>13825</v>
      </c>
      <c r="C52" s="9">
        <v>16353</v>
      </c>
      <c r="D52" s="9">
        <v>21370</v>
      </c>
      <c r="E52" s="9">
        <v>26692</v>
      </c>
      <c r="F52" s="9">
        <v>30404</v>
      </c>
      <c r="G52" s="9">
        <v>31849</v>
      </c>
      <c r="H52" s="9">
        <v>35678</v>
      </c>
      <c r="I52" s="9">
        <v>38212</v>
      </c>
      <c r="J52" s="10">
        <v>45133</v>
      </c>
      <c r="K52" s="10">
        <v>48022</v>
      </c>
      <c r="L52" s="10">
        <v>49647</v>
      </c>
      <c r="M52" s="10">
        <v>51519</v>
      </c>
      <c r="N52" s="10">
        <v>54205</v>
      </c>
      <c r="O52" s="10">
        <v>56607</v>
      </c>
      <c r="P52" s="9">
        <v>59993</v>
      </c>
      <c r="Q52" s="9">
        <v>57153</v>
      </c>
    </row>
    <row r="53" spans="1:17" x14ac:dyDescent="0.25">
      <c r="A53" t="s">
        <v>52</v>
      </c>
      <c r="B53" s="9">
        <v>34160</v>
      </c>
      <c r="C53" s="9">
        <v>43905</v>
      </c>
      <c r="D53" s="9">
        <v>53393</v>
      </c>
      <c r="E53" s="9">
        <v>67500</v>
      </c>
      <c r="F53" s="9">
        <v>78817</v>
      </c>
      <c r="G53" s="9">
        <v>88733</v>
      </c>
      <c r="H53" s="9">
        <v>100010</v>
      </c>
      <c r="I53" s="9">
        <v>112624</v>
      </c>
      <c r="J53" s="10">
        <v>140759</v>
      </c>
      <c r="K53" s="10">
        <v>149206</v>
      </c>
      <c r="L53" s="10">
        <v>153966</v>
      </c>
      <c r="M53" s="10">
        <v>160786</v>
      </c>
      <c r="N53" s="10">
        <v>173518</v>
      </c>
      <c r="O53" s="10">
        <v>183945</v>
      </c>
      <c r="P53" s="9">
        <v>195898</v>
      </c>
      <c r="Q53" s="9">
        <v>176473</v>
      </c>
    </row>
    <row r="54" spans="1:17" x14ac:dyDescent="0.25">
      <c r="A54" t="s">
        <v>53</v>
      </c>
      <c r="B54" s="9">
        <v>19634</v>
      </c>
      <c r="C54" s="9">
        <v>23135</v>
      </c>
      <c r="D54" s="9">
        <v>30122</v>
      </c>
      <c r="E54" s="9">
        <v>40151</v>
      </c>
      <c r="F54" s="9">
        <v>47419</v>
      </c>
      <c r="G54" s="9">
        <v>52167</v>
      </c>
      <c r="H54" s="9">
        <v>58717</v>
      </c>
      <c r="I54" s="9">
        <v>64753</v>
      </c>
      <c r="J54" s="10">
        <v>73812</v>
      </c>
      <c r="K54" s="10">
        <v>80014</v>
      </c>
      <c r="L54" s="10">
        <v>83888</v>
      </c>
      <c r="M54" s="10">
        <v>80524</v>
      </c>
      <c r="N54" s="10">
        <v>83377</v>
      </c>
      <c r="O54" s="10">
        <v>88928</v>
      </c>
      <c r="P54" s="9">
        <v>92811</v>
      </c>
      <c r="Q54" s="9">
        <v>87646</v>
      </c>
    </row>
    <row r="55" spans="1:17" x14ac:dyDescent="0.25">
      <c r="A55" t="s">
        <v>54</v>
      </c>
      <c r="B55" s="9">
        <v>13033</v>
      </c>
      <c r="C55" s="9">
        <v>16100</v>
      </c>
      <c r="D55" s="9">
        <v>19518</v>
      </c>
      <c r="E55" s="9">
        <v>23627</v>
      </c>
      <c r="F55" s="9">
        <v>26375</v>
      </c>
      <c r="G55" s="9">
        <v>28951</v>
      </c>
      <c r="H55" s="9">
        <v>31468</v>
      </c>
      <c r="I55" s="9">
        <v>34477</v>
      </c>
      <c r="J55" s="10">
        <v>40372</v>
      </c>
      <c r="K55" s="10">
        <v>43358</v>
      </c>
      <c r="L55" s="10">
        <v>47723</v>
      </c>
      <c r="M55" s="10">
        <v>49744</v>
      </c>
      <c r="N55" s="10">
        <v>52932</v>
      </c>
      <c r="O55" s="10">
        <v>55237</v>
      </c>
      <c r="P55" s="9">
        <v>59267</v>
      </c>
      <c r="Q55" s="9">
        <v>54505</v>
      </c>
    </row>
    <row r="56" spans="1:17" x14ac:dyDescent="0.25">
      <c r="A56" t="s">
        <v>55</v>
      </c>
      <c r="B56" s="9">
        <v>52534</v>
      </c>
      <c r="C56" s="9">
        <v>66003</v>
      </c>
      <c r="D56" s="9">
        <v>81728</v>
      </c>
      <c r="E56" s="9">
        <v>95585</v>
      </c>
      <c r="F56" s="9">
        <v>106470</v>
      </c>
      <c r="G56" s="9">
        <v>112061</v>
      </c>
      <c r="H56" s="9">
        <v>121926</v>
      </c>
      <c r="I56" s="9">
        <v>125341</v>
      </c>
      <c r="J56" s="10">
        <v>135874</v>
      </c>
      <c r="K56" s="10">
        <v>144819</v>
      </c>
      <c r="L56" s="10">
        <v>152111</v>
      </c>
      <c r="M56" s="10">
        <v>157723</v>
      </c>
      <c r="N56" s="10">
        <v>166824</v>
      </c>
      <c r="O56" s="10">
        <v>175150</v>
      </c>
      <c r="P56" s="9">
        <v>181553</v>
      </c>
      <c r="Q56" s="9">
        <v>162311</v>
      </c>
    </row>
    <row r="57" spans="1:17" x14ac:dyDescent="0.25">
      <c r="A57" t="s">
        <v>56</v>
      </c>
      <c r="B57" s="9">
        <v>22987</v>
      </c>
      <c r="C57" s="9">
        <v>27937</v>
      </c>
      <c r="D57" s="9">
        <v>33750</v>
      </c>
      <c r="E57" s="9">
        <v>40774</v>
      </c>
      <c r="F57" s="9">
        <v>45949</v>
      </c>
      <c r="G57" s="9">
        <v>53774</v>
      </c>
      <c r="H57" s="9">
        <v>65078</v>
      </c>
      <c r="I57" s="9">
        <v>68356</v>
      </c>
      <c r="J57" s="10">
        <v>76135</v>
      </c>
      <c r="K57" s="10">
        <v>78938</v>
      </c>
      <c r="L57" s="10">
        <v>81001</v>
      </c>
      <c r="M57" s="10">
        <v>86511</v>
      </c>
      <c r="N57" s="10">
        <v>93278</v>
      </c>
      <c r="O57" s="10">
        <v>98104</v>
      </c>
      <c r="P57" s="9">
        <v>103881</v>
      </c>
      <c r="Q57" s="9">
        <v>97794</v>
      </c>
    </row>
    <row r="58" spans="1:17" x14ac:dyDescent="0.25">
      <c r="A58" t="s">
        <v>57</v>
      </c>
      <c r="B58" s="9">
        <v>13976</v>
      </c>
      <c r="C58" s="9">
        <v>16781</v>
      </c>
      <c r="D58" s="9">
        <v>20244</v>
      </c>
      <c r="E58" s="9">
        <v>24199</v>
      </c>
      <c r="F58" s="9">
        <v>26209</v>
      </c>
      <c r="G58" s="9">
        <v>30236</v>
      </c>
      <c r="H58" s="9">
        <v>34207</v>
      </c>
      <c r="I58" s="9">
        <v>37880</v>
      </c>
      <c r="J58" s="10">
        <v>42159</v>
      </c>
      <c r="K58" s="10">
        <v>44894</v>
      </c>
      <c r="L58" s="10">
        <v>47890</v>
      </c>
      <c r="M58" s="10">
        <v>49824</v>
      </c>
      <c r="N58" s="10">
        <v>52025</v>
      </c>
      <c r="O58" s="10">
        <v>54571</v>
      </c>
      <c r="P58" s="9">
        <v>57967</v>
      </c>
      <c r="Q58" s="9">
        <v>54342</v>
      </c>
    </row>
    <row r="59" spans="1:17" x14ac:dyDescent="0.25">
      <c r="A59" t="s">
        <v>58</v>
      </c>
      <c r="B59" s="9">
        <v>7193</v>
      </c>
      <c r="C59" s="9">
        <v>9146</v>
      </c>
      <c r="D59" s="9">
        <v>11825</v>
      </c>
      <c r="E59" s="9">
        <v>14851</v>
      </c>
      <c r="F59" s="9">
        <v>18283</v>
      </c>
      <c r="G59" s="9">
        <v>18757</v>
      </c>
      <c r="H59" s="9">
        <v>22192</v>
      </c>
      <c r="I59" s="9">
        <v>23466</v>
      </c>
      <c r="J59" s="10">
        <v>26225</v>
      </c>
      <c r="K59" s="10">
        <v>27001</v>
      </c>
      <c r="L59" s="10">
        <v>28218</v>
      </c>
      <c r="M59" s="10">
        <v>28937</v>
      </c>
      <c r="N59" s="10">
        <v>30297</v>
      </c>
      <c r="O59" s="10">
        <v>31230</v>
      </c>
      <c r="P59" s="9">
        <v>32913</v>
      </c>
      <c r="Q59" s="9">
        <v>28432</v>
      </c>
    </row>
    <row r="60" spans="1:17" x14ac:dyDescent="0.25">
      <c r="A60" t="s">
        <v>59</v>
      </c>
      <c r="B60" s="9">
        <v>68646</v>
      </c>
      <c r="C60" s="9">
        <v>89764</v>
      </c>
      <c r="D60" s="9">
        <v>109754</v>
      </c>
      <c r="E60" s="9">
        <v>134881</v>
      </c>
      <c r="F60" s="9">
        <v>154652</v>
      </c>
      <c r="G60" s="9">
        <v>175515</v>
      </c>
      <c r="H60" s="9">
        <v>199656</v>
      </c>
      <c r="I60" s="9">
        <v>214996</v>
      </c>
      <c r="J60" s="10">
        <v>253271</v>
      </c>
      <c r="K60" s="10">
        <v>281071</v>
      </c>
      <c r="L60" s="10">
        <v>312042</v>
      </c>
      <c r="M60" s="10">
        <v>334386</v>
      </c>
      <c r="N60" s="10">
        <v>359375</v>
      </c>
      <c r="O60" s="10">
        <v>391509</v>
      </c>
      <c r="P60" s="9">
        <v>404273</v>
      </c>
      <c r="Q60" s="9">
        <v>326169</v>
      </c>
    </row>
    <row r="61" spans="1:17" x14ac:dyDescent="0.25">
      <c r="A61" t="s">
        <v>60</v>
      </c>
      <c r="B61" s="9">
        <v>66478</v>
      </c>
      <c r="C61" s="9">
        <v>83320</v>
      </c>
      <c r="D61" s="9">
        <v>101898</v>
      </c>
      <c r="E61" s="9">
        <v>122475</v>
      </c>
      <c r="F61" s="9">
        <v>134943</v>
      </c>
      <c r="G61" s="9">
        <v>139295</v>
      </c>
      <c r="H61" s="9">
        <v>154093</v>
      </c>
      <c r="I61" s="9">
        <v>167741</v>
      </c>
      <c r="J61" s="10">
        <v>181280</v>
      </c>
      <c r="K61" s="10">
        <v>195974</v>
      </c>
      <c r="L61" s="10">
        <v>210513</v>
      </c>
      <c r="M61" s="10">
        <v>222374</v>
      </c>
      <c r="N61" s="10">
        <v>238210</v>
      </c>
      <c r="O61" s="10">
        <v>251132</v>
      </c>
      <c r="P61" s="9">
        <v>264172</v>
      </c>
      <c r="Q61" s="9">
        <v>239027</v>
      </c>
    </row>
    <row r="62" spans="1:17" x14ac:dyDescent="0.25">
      <c r="A62" t="s">
        <v>61</v>
      </c>
      <c r="B62" s="9">
        <v>41009</v>
      </c>
      <c r="C62" s="9">
        <v>52063</v>
      </c>
      <c r="D62" s="9">
        <v>64684</v>
      </c>
      <c r="E62" s="9">
        <v>76204</v>
      </c>
      <c r="F62" s="9">
        <v>74805</v>
      </c>
      <c r="G62" s="9">
        <v>82304</v>
      </c>
      <c r="H62" s="9">
        <v>105863</v>
      </c>
      <c r="I62" s="9">
        <v>112471</v>
      </c>
      <c r="J62" s="10">
        <v>125784</v>
      </c>
      <c r="K62" s="10">
        <v>134026</v>
      </c>
      <c r="L62" s="10">
        <v>137762</v>
      </c>
      <c r="M62" s="10">
        <v>142110</v>
      </c>
      <c r="N62" s="10">
        <v>151221</v>
      </c>
      <c r="O62" s="10">
        <v>164241</v>
      </c>
      <c r="P62" s="9">
        <v>178714</v>
      </c>
      <c r="Q62" s="9">
        <v>173387</v>
      </c>
    </row>
    <row r="63" spans="1:17" x14ac:dyDescent="0.25">
      <c r="A63" t="s">
        <v>62</v>
      </c>
      <c r="B63" s="9">
        <v>1011</v>
      </c>
      <c r="C63" s="9">
        <v>1222</v>
      </c>
      <c r="D63" s="9">
        <v>1531</v>
      </c>
      <c r="E63" s="9">
        <v>1972</v>
      </c>
      <c r="F63" s="9">
        <v>2347</v>
      </c>
      <c r="G63" s="9">
        <v>2650</v>
      </c>
      <c r="H63" s="9">
        <v>2956</v>
      </c>
      <c r="I63" s="9">
        <v>3266</v>
      </c>
      <c r="J63" s="10">
        <v>3615</v>
      </c>
      <c r="K63" s="10">
        <v>3935</v>
      </c>
      <c r="L63" s="10">
        <v>4571</v>
      </c>
      <c r="M63" s="10">
        <v>4941</v>
      </c>
      <c r="N63" s="10">
        <v>5322</v>
      </c>
      <c r="O63" s="10">
        <v>5964</v>
      </c>
      <c r="P63" s="9">
        <v>6497</v>
      </c>
      <c r="Q63" s="9">
        <v>6552</v>
      </c>
    </row>
    <row r="64" spans="1:17" x14ac:dyDescent="0.25">
      <c r="A64" t="s">
        <v>63</v>
      </c>
      <c r="B64" s="9">
        <v>8930</v>
      </c>
      <c r="C64" s="9">
        <v>11421</v>
      </c>
      <c r="D64" s="9">
        <v>13643</v>
      </c>
      <c r="E64" s="9">
        <v>16899</v>
      </c>
      <c r="F64" s="9">
        <v>19082</v>
      </c>
      <c r="G64" s="9">
        <v>20723</v>
      </c>
      <c r="H64" s="9">
        <v>24130</v>
      </c>
      <c r="I64" s="9">
        <v>27055</v>
      </c>
      <c r="J64" s="10">
        <v>35885</v>
      </c>
      <c r="K64" s="10">
        <v>38748</v>
      </c>
      <c r="L64" s="10">
        <v>41944</v>
      </c>
      <c r="M64" s="10">
        <v>43435</v>
      </c>
      <c r="N64" s="10">
        <v>44860</v>
      </c>
      <c r="O64" s="10">
        <v>45344</v>
      </c>
      <c r="P64" s="9">
        <v>46027</v>
      </c>
      <c r="Q64" s="9">
        <v>42365</v>
      </c>
    </row>
    <row r="65" spans="1:17" x14ac:dyDescent="0.25">
      <c r="A65" t="s">
        <v>64</v>
      </c>
      <c r="B65" s="9">
        <v>1416</v>
      </c>
      <c r="C65" s="9">
        <v>1747</v>
      </c>
      <c r="D65" s="9">
        <v>2207</v>
      </c>
      <c r="E65" s="9">
        <v>2694</v>
      </c>
      <c r="F65" s="9">
        <v>3088</v>
      </c>
      <c r="G65" s="9">
        <v>3602</v>
      </c>
      <c r="H65" s="9">
        <v>4063</v>
      </c>
      <c r="I65" s="9">
        <v>4549</v>
      </c>
      <c r="J65" s="10">
        <v>5120</v>
      </c>
      <c r="K65" s="10">
        <v>5275</v>
      </c>
      <c r="L65" s="10">
        <v>5594</v>
      </c>
      <c r="M65" s="10">
        <v>5785</v>
      </c>
      <c r="N65" s="10">
        <v>6025</v>
      </c>
      <c r="O65" s="10">
        <v>6486</v>
      </c>
      <c r="P65" s="9">
        <v>6945</v>
      </c>
      <c r="Q65" s="9">
        <v>6520</v>
      </c>
    </row>
    <row r="66" spans="1:17" x14ac:dyDescent="0.25">
      <c r="A66" t="s">
        <v>65</v>
      </c>
      <c r="B66" s="9">
        <v>5821</v>
      </c>
      <c r="C66" s="9">
        <v>7010</v>
      </c>
      <c r="D66" s="9">
        <v>8496</v>
      </c>
      <c r="E66" s="9">
        <v>9844</v>
      </c>
      <c r="F66" s="9">
        <v>10758</v>
      </c>
      <c r="G66" s="9">
        <v>11595</v>
      </c>
      <c r="H66" s="9">
        <v>13117</v>
      </c>
      <c r="I66" s="9">
        <v>14006</v>
      </c>
      <c r="J66" s="10">
        <v>14913</v>
      </c>
      <c r="K66" s="10">
        <v>15787</v>
      </c>
      <c r="L66" s="10">
        <v>16586</v>
      </c>
      <c r="M66" s="10">
        <v>16777</v>
      </c>
      <c r="N66" s="10">
        <v>17706</v>
      </c>
      <c r="O66" s="10">
        <v>18085</v>
      </c>
      <c r="P66" s="9">
        <v>19303</v>
      </c>
      <c r="Q66" s="9">
        <v>19265</v>
      </c>
    </row>
    <row r="67" spans="1:17" x14ac:dyDescent="0.25">
      <c r="A67" t="s">
        <v>66</v>
      </c>
      <c r="B67" s="9">
        <v>22934</v>
      </c>
      <c r="C67" s="9">
        <v>27858</v>
      </c>
      <c r="D67" s="9">
        <v>34530</v>
      </c>
      <c r="E67" s="9">
        <v>43657</v>
      </c>
      <c r="F67" s="9">
        <v>47317</v>
      </c>
      <c r="G67" s="9">
        <v>50944</v>
      </c>
      <c r="H67" s="9">
        <v>56760</v>
      </c>
      <c r="I67" s="9">
        <v>60409</v>
      </c>
      <c r="J67" s="10">
        <v>65891</v>
      </c>
      <c r="K67" s="10">
        <v>72008</v>
      </c>
      <c r="L67" s="10">
        <v>79761</v>
      </c>
      <c r="M67" s="10">
        <v>84543</v>
      </c>
      <c r="N67" s="10">
        <v>88834</v>
      </c>
      <c r="O67" s="10">
        <v>94504</v>
      </c>
      <c r="P67" s="9">
        <v>101564</v>
      </c>
      <c r="Q67" s="9">
        <v>97094</v>
      </c>
    </row>
    <row r="68" spans="1:17" x14ac:dyDescent="0.25">
      <c r="A68" t="s">
        <v>73</v>
      </c>
      <c r="B68" s="9">
        <v>9396</v>
      </c>
      <c r="C68" s="9">
        <v>11635</v>
      </c>
      <c r="D68" s="9">
        <v>14065</v>
      </c>
      <c r="E68" s="9">
        <v>17138</v>
      </c>
      <c r="F68" s="9">
        <v>19754</v>
      </c>
      <c r="G68" s="9">
        <v>22605</v>
      </c>
      <c r="H68" s="9">
        <v>26635</v>
      </c>
      <c r="I68" s="9">
        <v>30488</v>
      </c>
      <c r="J68" s="10">
        <v>36347</v>
      </c>
      <c r="K68" s="10">
        <v>38839</v>
      </c>
      <c r="L68" s="10">
        <v>41056</v>
      </c>
      <c r="M68" s="10">
        <v>42619</v>
      </c>
      <c r="N68" s="10">
        <v>44098</v>
      </c>
      <c r="O68" s="10">
        <v>45924</v>
      </c>
      <c r="P68" s="9">
        <v>49375</v>
      </c>
      <c r="Q68" s="9">
        <v>46771</v>
      </c>
    </row>
    <row r="69" spans="1:17" x14ac:dyDescent="0.25">
      <c r="A69" t="s">
        <v>67</v>
      </c>
      <c r="B69" s="9">
        <v>42926</v>
      </c>
      <c r="C69" s="9">
        <v>52732</v>
      </c>
      <c r="D69" s="9">
        <v>63016</v>
      </c>
      <c r="E69" s="9">
        <v>72936</v>
      </c>
      <c r="F69" s="9">
        <v>77675</v>
      </c>
      <c r="G69" s="9">
        <v>87785</v>
      </c>
      <c r="H69" s="9">
        <v>96365</v>
      </c>
      <c r="I69" s="9">
        <v>106584</v>
      </c>
      <c r="J69" s="10">
        <v>128221</v>
      </c>
      <c r="K69" s="10">
        <v>130324</v>
      </c>
      <c r="L69" s="10">
        <v>136815</v>
      </c>
      <c r="M69" s="10">
        <v>141580</v>
      </c>
      <c r="N69" s="10">
        <v>156940</v>
      </c>
      <c r="O69" s="10">
        <v>164815</v>
      </c>
      <c r="P69" s="9">
        <v>175723</v>
      </c>
      <c r="Q69" s="9">
        <v>164790</v>
      </c>
    </row>
    <row r="70" spans="1:17" x14ac:dyDescent="0.25">
      <c r="A70" t="s">
        <v>68</v>
      </c>
      <c r="B70" s="9">
        <v>29946</v>
      </c>
      <c r="C70" s="9">
        <v>35353</v>
      </c>
      <c r="D70" s="9">
        <v>43338</v>
      </c>
      <c r="E70" s="9">
        <v>51017</v>
      </c>
      <c r="F70" s="9">
        <v>54878</v>
      </c>
      <c r="G70" s="9">
        <v>63253</v>
      </c>
      <c r="H70" s="9">
        <v>68372</v>
      </c>
      <c r="I70" s="9">
        <v>74600</v>
      </c>
      <c r="J70" s="10">
        <v>81575</v>
      </c>
      <c r="K70" s="10">
        <v>84474</v>
      </c>
      <c r="L70" s="10">
        <v>82919</v>
      </c>
      <c r="M70" s="10">
        <v>90502</v>
      </c>
      <c r="N70" s="10">
        <v>99687</v>
      </c>
      <c r="O70" s="10">
        <v>106203</v>
      </c>
      <c r="P70" s="9">
        <v>114868</v>
      </c>
      <c r="Q70" s="9">
        <v>101045</v>
      </c>
    </row>
    <row r="71" spans="1:17" x14ac:dyDescent="0.25">
      <c r="A71" t="s">
        <v>69</v>
      </c>
      <c r="B71" s="9">
        <v>28858</v>
      </c>
      <c r="C71" s="9">
        <v>35158</v>
      </c>
      <c r="D71" s="9">
        <v>44092</v>
      </c>
      <c r="E71" s="9">
        <v>54054</v>
      </c>
      <c r="F71" s="9">
        <v>57873</v>
      </c>
      <c r="G71" s="9">
        <v>59870</v>
      </c>
      <c r="H71" s="9">
        <v>67565</v>
      </c>
      <c r="I71" s="9">
        <v>76632</v>
      </c>
      <c r="J71" s="10">
        <v>86763</v>
      </c>
      <c r="K71" s="10">
        <v>91910</v>
      </c>
      <c r="L71" s="10">
        <v>97234</v>
      </c>
      <c r="M71" s="10">
        <v>101304</v>
      </c>
      <c r="N71" s="10">
        <v>109795</v>
      </c>
      <c r="O71" s="10">
        <v>116987</v>
      </c>
      <c r="P71" s="9">
        <v>126005</v>
      </c>
      <c r="Q71" s="9">
        <v>121818</v>
      </c>
    </row>
    <row r="72" spans="1:17" x14ac:dyDescent="0.25">
      <c r="A72" t="s">
        <v>70</v>
      </c>
      <c r="B72" s="9">
        <v>43944</v>
      </c>
      <c r="C72" s="9">
        <v>52440</v>
      </c>
      <c r="D72" s="9">
        <v>55348</v>
      </c>
      <c r="E72" s="9">
        <v>66868</v>
      </c>
      <c r="F72" s="9">
        <v>67535</v>
      </c>
      <c r="G72" s="9">
        <v>76492</v>
      </c>
      <c r="H72" s="9">
        <v>88928</v>
      </c>
      <c r="I72" s="9">
        <v>102134</v>
      </c>
      <c r="J72" s="10">
        <v>121334</v>
      </c>
      <c r="K72" s="10">
        <v>129952</v>
      </c>
      <c r="L72" s="10">
        <v>133320</v>
      </c>
      <c r="M72" s="10">
        <v>144465</v>
      </c>
      <c r="N72" s="10">
        <v>151580</v>
      </c>
      <c r="O72" s="10">
        <v>160743</v>
      </c>
      <c r="P72" s="9">
        <v>172951</v>
      </c>
      <c r="Q72" s="9">
        <v>156128</v>
      </c>
    </row>
    <row r="73" spans="1:17" x14ac:dyDescent="0.25">
      <c r="A73" t="s">
        <v>71</v>
      </c>
      <c r="B73" s="9">
        <v>24107</v>
      </c>
      <c r="C73" s="9">
        <v>30717</v>
      </c>
      <c r="D73" s="9">
        <v>37734</v>
      </c>
      <c r="E73" s="9">
        <v>44037</v>
      </c>
      <c r="F73" s="9">
        <v>48447</v>
      </c>
      <c r="G73" s="9">
        <v>53534</v>
      </c>
      <c r="H73" s="9">
        <v>59985</v>
      </c>
      <c r="I73" s="9">
        <v>64510</v>
      </c>
      <c r="J73" s="10">
        <v>71804</v>
      </c>
      <c r="K73" s="10">
        <v>77460</v>
      </c>
      <c r="L73" s="10">
        <v>82945</v>
      </c>
      <c r="M73" s="10">
        <v>88509</v>
      </c>
      <c r="N73" s="10">
        <v>94882</v>
      </c>
      <c r="O73" s="10">
        <v>99731</v>
      </c>
      <c r="P73" s="9">
        <v>106612</v>
      </c>
      <c r="Q73" s="9">
        <v>95901</v>
      </c>
    </row>
    <row r="74" spans="1:17" x14ac:dyDescent="0.25">
      <c r="A74" t="s">
        <v>72</v>
      </c>
      <c r="B74" s="9">
        <v>19460</v>
      </c>
      <c r="C74" s="9">
        <v>22930</v>
      </c>
      <c r="D74" s="9">
        <v>27801</v>
      </c>
      <c r="E74" s="9">
        <v>31880</v>
      </c>
      <c r="F74" s="9">
        <v>33087</v>
      </c>
      <c r="G74" s="9">
        <v>30829</v>
      </c>
      <c r="H74" s="9">
        <v>31989</v>
      </c>
      <c r="I74" s="9">
        <v>34432</v>
      </c>
      <c r="J74" s="10">
        <v>39887</v>
      </c>
      <c r="K74" s="10">
        <v>42020</v>
      </c>
      <c r="L74" s="10">
        <v>45857</v>
      </c>
      <c r="M74" s="10">
        <v>46866</v>
      </c>
      <c r="N74" s="10">
        <v>49425</v>
      </c>
      <c r="O74" s="10">
        <v>51910</v>
      </c>
      <c r="P74" s="9">
        <v>55160</v>
      </c>
      <c r="Q74" s="9">
        <v>51952</v>
      </c>
    </row>
    <row r="75" spans="1:17" x14ac:dyDescent="0.25">
      <c r="A75" t="s">
        <v>74</v>
      </c>
      <c r="B75" s="9">
        <v>20834</v>
      </c>
      <c r="C75" s="9">
        <v>25658</v>
      </c>
      <c r="D75" s="9">
        <v>30621</v>
      </c>
      <c r="E75" s="9">
        <v>35916</v>
      </c>
      <c r="F75" s="9">
        <v>40788</v>
      </c>
      <c r="G75" s="9">
        <v>46736</v>
      </c>
      <c r="H75" s="9">
        <v>52011</v>
      </c>
      <c r="I75" s="9">
        <v>55107</v>
      </c>
      <c r="J75" s="10">
        <v>62172</v>
      </c>
      <c r="K75" s="10">
        <v>67745</v>
      </c>
      <c r="L75" s="10">
        <v>70771</v>
      </c>
      <c r="M75" s="10">
        <v>76823</v>
      </c>
      <c r="N75" s="10">
        <v>81826</v>
      </c>
      <c r="O75" s="10">
        <v>89395</v>
      </c>
      <c r="P75" s="9">
        <v>93568</v>
      </c>
      <c r="Q75" s="9">
        <v>75539</v>
      </c>
    </row>
    <row r="76" spans="1:17" x14ac:dyDescent="0.25">
      <c r="A76" t="s">
        <v>75</v>
      </c>
      <c r="B76" s="9">
        <v>6814</v>
      </c>
      <c r="C76" s="9">
        <v>8657</v>
      </c>
      <c r="D76" s="9">
        <v>10659</v>
      </c>
      <c r="E76" s="9">
        <v>12297</v>
      </c>
      <c r="F76" s="9">
        <v>14846</v>
      </c>
      <c r="G76" s="9">
        <v>16646</v>
      </c>
      <c r="H76" s="9">
        <v>19412</v>
      </c>
      <c r="I76" s="9">
        <v>21760</v>
      </c>
      <c r="J76" s="10">
        <v>26137</v>
      </c>
      <c r="K76" s="10">
        <v>27105</v>
      </c>
      <c r="L76" s="10">
        <v>27067</v>
      </c>
      <c r="M76" s="10">
        <v>28363</v>
      </c>
      <c r="N76" s="10">
        <v>30712</v>
      </c>
      <c r="O76" s="10">
        <v>30279</v>
      </c>
      <c r="P76" s="9">
        <v>32039</v>
      </c>
      <c r="Q76" s="9">
        <v>29149</v>
      </c>
    </row>
    <row r="77" spans="1:17" x14ac:dyDescent="0.25">
      <c r="A77" t="s">
        <v>76</v>
      </c>
      <c r="B77" s="9">
        <v>35136</v>
      </c>
      <c r="C77" s="9">
        <v>44411</v>
      </c>
      <c r="D77" s="9">
        <v>52126</v>
      </c>
      <c r="E77" s="9">
        <v>63783</v>
      </c>
      <c r="F77" s="9">
        <v>71069</v>
      </c>
      <c r="G77" s="9">
        <v>81419</v>
      </c>
      <c r="H77" s="9">
        <v>96371</v>
      </c>
      <c r="I77" s="9">
        <v>114686</v>
      </c>
      <c r="J77" s="10">
        <v>131731</v>
      </c>
      <c r="K77" s="10">
        <v>138157</v>
      </c>
      <c r="L77" s="10">
        <v>131538</v>
      </c>
      <c r="M77" s="10">
        <v>133156</v>
      </c>
      <c r="N77" s="10">
        <v>146401</v>
      </c>
      <c r="O77" s="10">
        <v>156990</v>
      </c>
      <c r="P77" s="9">
        <v>163241</v>
      </c>
      <c r="Q77" s="9">
        <v>133937</v>
      </c>
    </row>
    <row r="78" spans="1:17" x14ac:dyDescent="0.25">
      <c r="A78" t="s">
        <v>77</v>
      </c>
      <c r="B78" s="9">
        <v>38344</v>
      </c>
      <c r="C78" s="9">
        <v>46241</v>
      </c>
      <c r="D78" s="9">
        <v>53844</v>
      </c>
      <c r="E78" s="9">
        <v>62888</v>
      </c>
      <c r="F78" s="9">
        <v>71315</v>
      </c>
      <c r="G78" s="9">
        <v>80300</v>
      </c>
      <c r="H78" s="9">
        <v>90356</v>
      </c>
      <c r="I78" s="9">
        <v>98034</v>
      </c>
      <c r="J78" s="10">
        <v>109646</v>
      </c>
      <c r="K78" s="10">
        <v>118596</v>
      </c>
      <c r="L78" s="10">
        <v>125494</v>
      </c>
      <c r="M78" s="10">
        <v>135420</v>
      </c>
      <c r="N78" s="10">
        <v>140378</v>
      </c>
      <c r="O78" s="10">
        <v>147227</v>
      </c>
      <c r="P78" s="9">
        <v>146640</v>
      </c>
      <c r="Q78" s="9">
        <v>119302</v>
      </c>
    </row>
    <row r="79" spans="1:17" x14ac:dyDescent="0.25">
      <c r="A79" t="s">
        <v>78</v>
      </c>
      <c r="B79" s="9">
        <v>10674</v>
      </c>
      <c r="C79" s="9">
        <v>12660</v>
      </c>
      <c r="D79" s="9">
        <v>14333</v>
      </c>
      <c r="E79" s="9">
        <v>17783</v>
      </c>
      <c r="F79" s="9">
        <v>19901</v>
      </c>
      <c r="G79" s="9">
        <v>24750</v>
      </c>
      <c r="H79" s="9">
        <v>29039</v>
      </c>
      <c r="I79" s="9">
        <v>30812</v>
      </c>
      <c r="J79" s="10">
        <v>36852</v>
      </c>
      <c r="K79" s="10">
        <v>38511</v>
      </c>
      <c r="L79" s="10">
        <v>41107</v>
      </c>
      <c r="M79" s="10">
        <v>42752</v>
      </c>
      <c r="N79" s="10">
        <v>44051</v>
      </c>
      <c r="O79" s="10">
        <v>46436</v>
      </c>
      <c r="P79" s="9">
        <v>48753</v>
      </c>
      <c r="Q79" s="9">
        <v>47279</v>
      </c>
    </row>
    <row r="80" spans="1:17" x14ac:dyDescent="0.25">
      <c r="A80" t="s">
        <v>79</v>
      </c>
      <c r="B80" s="9">
        <v>4083</v>
      </c>
      <c r="C80" s="9">
        <v>5152</v>
      </c>
      <c r="D80" s="9">
        <v>6178</v>
      </c>
      <c r="E80" s="9">
        <v>7944</v>
      </c>
      <c r="F80" s="9">
        <v>9569</v>
      </c>
      <c r="G80" s="9">
        <v>9559</v>
      </c>
      <c r="H80" s="9">
        <v>10928</v>
      </c>
      <c r="I80" s="9">
        <v>12431</v>
      </c>
      <c r="J80" s="10">
        <v>12922</v>
      </c>
      <c r="K80" s="10">
        <v>13137</v>
      </c>
      <c r="L80" s="10">
        <v>13830</v>
      </c>
      <c r="M80" s="10">
        <v>15061</v>
      </c>
      <c r="N80" s="10">
        <v>16009</v>
      </c>
      <c r="O80" s="10">
        <v>16386</v>
      </c>
      <c r="P80" s="9">
        <v>16934</v>
      </c>
      <c r="Q80" s="9">
        <v>14758</v>
      </c>
    </row>
    <row r="81" spans="1:17" x14ac:dyDescent="0.25">
      <c r="A81" t="s">
        <v>80</v>
      </c>
      <c r="B81" s="9">
        <v>14385</v>
      </c>
      <c r="C81" s="9">
        <v>18503</v>
      </c>
      <c r="D81" s="9">
        <v>23358</v>
      </c>
      <c r="E81" s="9">
        <v>28259</v>
      </c>
      <c r="F81" s="9">
        <v>32390</v>
      </c>
      <c r="G81" s="9">
        <v>34171</v>
      </c>
      <c r="H81" s="9">
        <v>39276</v>
      </c>
      <c r="I81" s="9">
        <v>43674</v>
      </c>
      <c r="J81" s="10">
        <v>42725</v>
      </c>
      <c r="K81" s="10">
        <v>44552</v>
      </c>
      <c r="L81" s="10">
        <v>48677</v>
      </c>
      <c r="M81" s="10">
        <v>51232</v>
      </c>
      <c r="N81" s="10">
        <v>51223</v>
      </c>
      <c r="O81" s="10">
        <v>53384</v>
      </c>
      <c r="P81" s="9">
        <v>55644</v>
      </c>
      <c r="Q81" s="9">
        <v>49332</v>
      </c>
    </row>
    <row r="82" spans="1:17" x14ac:dyDescent="0.25">
      <c r="A82" t="s">
        <v>81</v>
      </c>
      <c r="B82" s="9">
        <v>1754</v>
      </c>
      <c r="C82" s="9">
        <v>2130</v>
      </c>
      <c r="D82" s="9">
        <v>2648</v>
      </c>
      <c r="E82" s="9">
        <v>3272</v>
      </c>
      <c r="F82" s="9">
        <v>3874</v>
      </c>
      <c r="G82" s="9">
        <v>4465</v>
      </c>
      <c r="H82" s="9">
        <v>5180</v>
      </c>
      <c r="I82" s="9">
        <v>5595</v>
      </c>
      <c r="J82" s="10">
        <v>7077</v>
      </c>
      <c r="K82" s="10">
        <v>7364</v>
      </c>
      <c r="L82" s="10">
        <v>7879</v>
      </c>
      <c r="M82" s="10">
        <v>8302</v>
      </c>
      <c r="N82" s="10">
        <v>8668</v>
      </c>
      <c r="O82" s="10">
        <v>8846</v>
      </c>
      <c r="P82" s="9">
        <v>9110</v>
      </c>
      <c r="Q82" s="9">
        <v>8493</v>
      </c>
    </row>
    <row r="83" spans="1:17" x14ac:dyDescent="0.25">
      <c r="A83" t="s">
        <v>82</v>
      </c>
      <c r="B83" s="9">
        <v>1391</v>
      </c>
      <c r="C83" s="9">
        <v>1570</v>
      </c>
      <c r="D83" s="9">
        <v>1611</v>
      </c>
      <c r="E83" s="9">
        <v>1810</v>
      </c>
      <c r="F83" s="9">
        <v>2333</v>
      </c>
      <c r="G83" s="9">
        <v>2665</v>
      </c>
      <c r="H83" s="9">
        <v>2922</v>
      </c>
      <c r="I83" s="9">
        <v>2785</v>
      </c>
      <c r="J83" s="10">
        <v>4196</v>
      </c>
      <c r="K83" s="10">
        <v>4229</v>
      </c>
      <c r="L83" s="10">
        <v>4428</v>
      </c>
      <c r="M83" s="10">
        <v>4509</v>
      </c>
      <c r="N83" s="10">
        <v>4860</v>
      </c>
      <c r="O83" s="10">
        <v>5106</v>
      </c>
      <c r="P83" s="9">
        <v>5228</v>
      </c>
      <c r="Q83" s="9">
        <v>4194</v>
      </c>
    </row>
    <row r="84" spans="1:17" x14ac:dyDescent="0.25">
      <c r="I84">
        <f>SUM(I2:I83)</f>
        <v>6013552</v>
      </c>
    </row>
    <row r="85" spans="1:17" x14ac:dyDescent="0.25">
      <c r="I85">
        <f>I84/Население!J84</f>
        <v>41.95101397308629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59999389629810485"/>
  </sheetPr>
  <dimension ref="A1:R86"/>
  <sheetViews>
    <sheetView workbookViewId="0">
      <selection activeCell="Q21" sqref="Q21"/>
    </sheetView>
  </sheetViews>
  <sheetFormatPr defaultRowHeight="15" x14ac:dyDescent="0.25"/>
  <cols>
    <col min="1" max="1" width="5.140625" customWidth="1"/>
    <col min="2" max="2" width="26" customWidth="1"/>
    <col min="3" max="7" width="9.5703125" bestFit="1" customWidth="1"/>
    <col min="8" max="15" width="9.5703125" hidden="1" customWidth="1"/>
    <col min="16" max="17" width="9.5703125" bestFit="1" customWidth="1"/>
    <col min="18" max="18" width="9.5703125" customWidth="1"/>
  </cols>
  <sheetData>
    <row r="1" spans="1:18" x14ac:dyDescent="0.25">
      <c r="A1" t="s">
        <v>0</v>
      </c>
      <c r="B1" t="s">
        <v>83</v>
      </c>
      <c r="C1">
        <v>2005</v>
      </c>
      <c r="D1">
        <v>2006</v>
      </c>
      <c r="E1">
        <v>2007</v>
      </c>
      <c r="F1">
        <v>2008</v>
      </c>
      <c r="G1">
        <v>2009</v>
      </c>
      <c r="H1" s="6">
        <v>2010</v>
      </c>
      <c r="I1" s="6">
        <v>2011</v>
      </c>
      <c r="J1" s="6">
        <v>2012</v>
      </c>
      <c r="K1" s="6">
        <v>2013</v>
      </c>
      <c r="L1" s="6">
        <v>2014</v>
      </c>
      <c r="M1" s="6">
        <v>2015</v>
      </c>
      <c r="N1" s="6">
        <v>2016</v>
      </c>
      <c r="O1" s="7">
        <v>2017</v>
      </c>
      <c r="P1" s="6">
        <v>2018</v>
      </c>
      <c r="Q1" s="6">
        <v>2019</v>
      </c>
      <c r="R1" s="6">
        <v>2020</v>
      </c>
    </row>
    <row r="2" spans="1:18" x14ac:dyDescent="0.25">
      <c r="A2">
        <v>1</v>
      </c>
      <c r="B2" t="s">
        <v>1</v>
      </c>
      <c r="C2" s="73">
        <f>30178</f>
        <v>30178</v>
      </c>
      <c r="D2" s="73">
        <v>41398</v>
      </c>
      <c r="E2" s="73">
        <v>55488</v>
      </c>
      <c r="F2" s="73">
        <v>74651</v>
      </c>
      <c r="G2" s="73">
        <v>82217</v>
      </c>
      <c r="H2" s="73">
        <v>93527</v>
      </c>
      <c r="I2" s="73">
        <v>108563</v>
      </c>
      <c r="J2" s="73">
        <v>129904</v>
      </c>
      <c r="K2" s="73">
        <v>144992</v>
      </c>
      <c r="L2" s="73">
        <v>164079</v>
      </c>
      <c r="M2" s="73">
        <v>178097</v>
      </c>
      <c r="N2" s="73">
        <v>192504</v>
      </c>
      <c r="O2" s="74">
        <v>203298</v>
      </c>
      <c r="P2" s="74">
        <v>217059</v>
      </c>
      <c r="Q2" s="74">
        <v>230704</v>
      </c>
      <c r="R2" s="74">
        <v>237076</v>
      </c>
    </row>
    <row r="3" spans="1:18" ht="15.75" thickBot="1" x14ac:dyDescent="0.3">
      <c r="A3">
        <v>2</v>
      </c>
      <c r="B3" t="s">
        <v>2</v>
      </c>
      <c r="C3" s="73">
        <f>28827</f>
        <v>28827</v>
      </c>
      <c r="D3" s="73">
        <v>36395</v>
      </c>
      <c r="E3" s="73">
        <v>48264</v>
      </c>
      <c r="F3" s="73">
        <v>64714</v>
      </c>
      <c r="G3" s="73">
        <v>72374</v>
      </c>
      <c r="H3" s="73">
        <v>86568</v>
      </c>
      <c r="I3" s="73">
        <v>106940</v>
      </c>
      <c r="J3" s="73">
        <v>121136</v>
      </c>
      <c r="K3" s="73">
        <v>138669</v>
      </c>
      <c r="L3" s="73">
        <v>158501</v>
      </c>
      <c r="M3" s="73">
        <v>177048</v>
      </c>
      <c r="N3" s="73">
        <v>179767</v>
      </c>
      <c r="O3" s="74">
        <v>192775</v>
      </c>
      <c r="P3" s="74">
        <v>209987</v>
      </c>
      <c r="Q3" s="74">
        <v>225818</v>
      </c>
      <c r="R3" s="74">
        <v>225643</v>
      </c>
    </row>
    <row r="4" spans="1:18" x14ac:dyDescent="0.25">
      <c r="A4" s="1">
        <v>3</v>
      </c>
      <c r="B4" t="s">
        <v>3</v>
      </c>
      <c r="C4" s="73">
        <v>21313</v>
      </c>
      <c r="D4" s="73">
        <v>27775</v>
      </c>
      <c r="E4" s="73">
        <v>42987</v>
      </c>
      <c r="F4" s="73">
        <v>57642</v>
      </c>
      <c r="G4" s="73">
        <v>59697</v>
      </c>
      <c r="H4" s="73">
        <v>67241</v>
      </c>
      <c r="I4" s="73">
        <v>85265</v>
      </c>
      <c r="J4" s="73">
        <v>103848</v>
      </c>
      <c r="K4" s="73">
        <v>116202</v>
      </c>
      <c r="L4" s="73">
        <v>129564</v>
      </c>
      <c r="M4" s="73">
        <v>139408</v>
      </c>
      <c r="N4" s="73">
        <v>143643</v>
      </c>
      <c r="O4" s="74">
        <v>153088</v>
      </c>
      <c r="P4" s="74">
        <v>164519</v>
      </c>
      <c r="Q4" s="74">
        <v>175251</v>
      </c>
      <c r="R4" s="74">
        <v>177680</v>
      </c>
    </row>
    <row r="5" spans="1:18" x14ac:dyDescent="0.25">
      <c r="A5" s="2">
        <v>4</v>
      </c>
      <c r="B5" t="s">
        <v>4</v>
      </c>
      <c r="C5" s="73">
        <v>35836</v>
      </c>
      <c r="D5" s="73">
        <v>40609</v>
      </c>
      <c r="E5" s="73">
        <v>51046</v>
      </c>
      <c r="F5" s="73">
        <v>66108</v>
      </c>
      <c r="G5" s="73">
        <v>74441</v>
      </c>
      <c r="H5" s="73">
        <v>82613</v>
      </c>
      <c r="I5" s="73">
        <v>113305</v>
      </c>
      <c r="J5" s="73">
        <v>139133</v>
      </c>
      <c r="K5" s="73">
        <v>158218</v>
      </c>
      <c r="L5" s="73">
        <v>181499</v>
      </c>
      <c r="M5" s="73">
        <v>198814</v>
      </c>
      <c r="N5" s="73">
        <v>208638</v>
      </c>
      <c r="O5" s="74">
        <v>221302</v>
      </c>
      <c r="P5" s="74">
        <v>236953</v>
      </c>
      <c r="Q5" s="74">
        <v>251882</v>
      </c>
      <c r="R5" s="74">
        <v>252416</v>
      </c>
    </row>
    <row r="6" spans="1:18" x14ac:dyDescent="0.25">
      <c r="A6" s="2">
        <v>5</v>
      </c>
      <c r="B6" t="s">
        <v>5</v>
      </c>
      <c r="C6" s="73">
        <v>19097</v>
      </c>
      <c r="D6" s="73">
        <v>26859</v>
      </c>
      <c r="E6" s="73">
        <v>35041</v>
      </c>
      <c r="F6" s="73">
        <v>53751</v>
      </c>
      <c r="G6" s="73">
        <v>55299</v>
      </c>
      <c r="H6" s="73">
        <v>66664</v>
      </c>
      <c r="I6" s="73">
        <v>86035</v>
      </c>
      <c r="J6" s="73">
        <v>109822</v>
      </c>
      <c r="K6" s="73">
        <v>121813</v>
      </c>
      <c r="L6" s="73">
        <v>138185</v>
      </c>
      <c r="M6" s="73">
        <v>143349</v>
      </c>
      <c r="N6" s="73">
        <v>143568</v>
      </c>
      <c r="O6" s="74">
        <v>153993</v>
      </c>
      <c r="P6" s="74">
        <v>163290</v>
      </c>
      <c r="Q6" s="74">
        <v>178517</v>
      </c>
      <c r="R6" s="74">
        <v>180314</v>
      </c>
    </row>
    <row r="7" spans="1:18" x14ac:dyDescent="0.25">
      <c r="A7" s="2">
        <v>6</v>
      </c>
      <c r="B7" t="s">
        <v>6</v>
      </c>
      <c r="C7" s="73">
        <v>38585</v>
      </c>
      <c r="D7" s="73">
        <v>48656</v>
      </c>
      <c r="E7" s="73">
        <v>63074</v>
      </c>
      <c r="F7" s="73">
        <v>80389</v>
      </c>
      <c r="G7" s="73">
        <v>84981</v>
      </c>
      <c r="H7" s="73">
        <v>97647</v>
      </c>
      <c r="I7" s="73">
        <v>118038</v>
      </c>
      <c r="J7" s="73">
        <v>133102</v>
      </c>
      <c r="K7" s="73">
        <v>144553</v>
      </c>
      <c r="L7" s="73">
        <v>161623</v>
      </c>
      <c r="M7" s="73">
        <v>167204</v>
      </c>
      <c r="N7" s="73">
        <v>175286</v>
      </c>
      <c r="O7" s="74">
        <v>183549</v>
      </c>
      <c r="P7" s="74">
        <v>194987</v>
      </c>
      <c r="Q7" s="74">
        <v>210454</v>
      </c>
      <c r="R7" s="74">
        <v>214672</v>
      </c>
    </row>
    <row r="8" spans="1:18" x14ac:dyDescent="0.25">
      <c r="A8" s="2">
        <v>7</v>
      </c>
      <c r="B8" t="s">
        <v>7</v>
      </c>
      <c r="C8" s="73">
        <v>26176</v>
      </c>
      <c r="D8" s="73">
        <v>32303</v>
      </c>
      <c r="E8" s="73">
        <v>41920</v>
      </c>
      <c r="F8" s="73">
        <v>54906</v>
      </c>
      <c r="G8" s="73">
        <v>58441</v>
      </c>
      <c r="H8" s="73">
        <v>68917</v>
      </c>
      <c r="I8" s="73">
        <v>86738</v>
      </c>
      <c r="J8" s="73">
        <v>95792</v>
      </c>
      <c r="K8" s="73">
        <v>104945</v>
      </c>
      <c r="L8" s="73">
        <v>114959</v>
      </c>
      <c r="M8" s="73">
        <v>131002</v>
      </c>
      <c r="N8" s="73">
        <v>144117</v>
      </c>
      <c r="O8" s="74">
        <v>150715</v>
      </c>
      <c r="P8" s="74">
        <v>159014</v>
      </c>
      <c r="Q8" s="74">
        <v>171567</v>
      </c>
      <c r="R8" s="74">
        <v>179587</v>
      </c>
    </row>
    <row r="9" spans="1:18" x14ac:dyDescent="0.25">
      <c r="A9" s="2">
        <v>8</v>
      </c>
      <c r="B9" t="s">
        <v>8</v>
      </c>
      <c r="C9" s="73">
        <v>31113</v>
      </c>
      <c r="D9" s="73">
        <v>41462</v>
      </c>
      <c r="E9" s="73">
        <v>54229</v>
      </c>
      <c r="F9" s="73">
        <v>68852</v>
      </c>
      <c r="G9" s="73">
        <v>75467</v>
      </c>
      <c r="H9" s="73">
        <v>86584</v>
      </c>
      <c r="I9" s="73">
        <v>103221</v>
      </c>
      <c r="J9" s="73">
        <v>117703</v>
      </c>
      <c r="K9" s="73">
        <v>130337</v>
      </c>
      <c r="L9" s="73">
        <v>146850</v>
      </c>
      <c r="M9" s="73">
        <v>160712</v>
      </c>
      <c r="N9" s="73">
        <v>169082</v>
      </c>
      <c r="O9" s="74">
        <v>176208</v>
      </c>
      <c r="P9" s="74">
        <v>191945</v>
      </c>
      <c r="Q9" s="74">
        <v>206829</v>
      </c>
      <c r="R9" s="74">
        <v>207134</v>
      </c>
    </row>
    <row r="10" spans="1:18" x14ac:dyDescent="0.25">
      <c r="A10" s="2">
        <v>9</v>
      </c>
      <c r="B10" t="s">
        <v>9</v>
      </c>
      <c r="C10" s="73">
        <v>35444</v>
      </c>
      <c r="D10" s="73">
        <v>45121</v>
      </c>
      <c r="E10" s="73">
        <v>58669</v>
      </c>
      <c r="F10" s="73">
        <v>80076</v>
      </c>
      <c r="G10" s="73">
        <v>89975</v>
      </c>
      <c r="H10" s="73">
        <v>100290</v>
      </c>
      <c r="I10" s="73">
        <v>118546</v>
      </c>
      <c r="J10" s="73">
        <v>134049</v>
      </c>
      <c r="K10" s="73">
        <v>151358</v>
      </c>
      <c r="L10" s="73">
        <v>171096</v>
      </c>
      <c r="M10" s="73">
        <v>186603</v>
      </c>
      <c r="N10" s="73">
        <v>195514</v>
      </c>
      <c r="O10" s="74">
        <v>205496</v>
      </c>
      <c r="P10" s="74">
        <v>223731</v>
      </c>
      <c r="Q10" s="74">
        <v>241566</v>
      </c>
      <c r="R10" s="74">
        <v>236552</v>
      </c>
    </row>
    <row r="11" spans="1:18" x14ac:dyDescent="0.25">
      <c r="A11" s="2">
        <v>10</v>
      </c>
      <c r="B11" t="s">
        <v>10</v>
      </c>
      <c r="C11" s="73">
        <v>55806</v>
      </c>
      <c r="D11" s="73">
        <v>74666</v>
      </c>
      <c r="E11" s="73">
        <v>99224</v>
      </c>
      <c r="F11" s="73">
        <v>132595</v>
      </c>
      <c r="G11" s="73">
        <v>132766</v>
      </c>
      <c r="H11" s="73">
        <v>143579</v>
      </c>
      <c r="I11" s="73">
        <v>168863</v>
      </c>
      <c r="J11" s="73">
        <v>179869</v>
      </c>
      <c r="K11" s="73">
        <v>191797</v>
      </c>
      <c r="L11" s="73">
        <v>220314</v>
      </c>
      <c r="M11" s="73">
        <v>237152</v>
      </c>
      <c r="N11" s="73">
        <v>257951</v>
      </c>
      <c r="O11" s="74">
        <v>280515</v>
      </c>
      <c r="P11" s="74">
        <v>311893</v>
      </c>
      <c r="Q11" s="74">
        <v>337814</v>
      </c>
      <c r="R11" s="74">
        <v>347566</v>
      </c>
    </row>
    <row r="12" spans="1:18" x14ac:dyDescent="0.25">
      <c r="A12" s="2">
        <v>11</v>
      </c>
      <c r="B12" t="s">
        <v>11</v>
      </c>
      <c r="C12" s="73">
        <v>31121</v>
      </c>
      <c r="D12" s="73">
        <v>35432</v>
      </c>
      <c r="E12" s="73">
        <v>46793</v>
      </c>
      <c r="F12" s="73">
        <v>64321</v>
      </c>
      <c r="G12" s="73">
        <v>65835</v>
      </c>
      <c r="H12" s="73">
        <v>79642</v>
      </c>
      <c r="I12" s="73">
        <v>94270</v>
      </c>
      <c r="J12" s="73">
        <v>105501</v>
      </c>
      <c r="K12" s="73">
        <v>116988</v>
      </c>
      <c r="L12" s="73">
        <v>131430</v>
      </c>
      <c r="M12" s="73">
        <v>150709</v>
      </c>
      <c r="N12" s="73">
        <v>156328</v>
      </c>
      <c r="O12" s="74">
        <v>166013</v>
      </c>
      <c r="P12" s="74">
        <v>177758</v>
      </c>
      <c r="Q12" s="74">
        <v>188964</v>
      </c>
      <c r="R12" s="74">
        <v>194977</v>
      </c>
    </row>
    <row r="13" spans="1:18" x14ac:dyDescent="0.25">
      <c r="A13" s="2">
        <v>12</v>
      </c>
      <c r="B13" t="s">
        <v>12</v>
      </c>
      <c r="C13" s="73">
        <v>30550</v>
      </c>
      <c r="D13" s="73">
        <v>37843</v>
      </c>
      <c r="E13" s="73">
        <v>50622</v>
      </c>
      <c r="F13" s="73">
        <v>71305</v>
      </c>
      <c r="G13" s="73">
        <v>76756</v>
      </c>
      <c r="H13" s="73">
        <v>83906</v>
      </c>
      <c r="I13" s="73">
        <v>98147</v>
      </c>
      <c r="J13" s="73">
        <v>112985</v>
      </c>
      <c r="K13" s="73">
        <v>123656</v>
      </c>
      <c r="L13" s="73">
        <v>140026</v>
      </c>
      <c r="M13" s="73">
        <v>148687</v>
      </c>
      <c r="N13" s="73">
        <v>151049</v>
      </c>
      <c r="O13" s="74">
        <v>160126</v>
      </c>
      <c r="P13" s="74">
        <v>172854</v>
      </c>
      <c r="Q13" s="74">
        <v>186792</v>
      </c>
      <c r="R13" s="74">
        <v>196393</v>
      </c>
    </row>
    <row r="14" spans="1:18" x14ac:dyDescent="0.25">
      <c r="A14" s="2">
        <v>13</v>
      </c>
      <c r="B14" t="s">
        <v>13</v>
      </c>
      <c r="C14" s="73">
        <v>38551</v>
      </c>
      <c r="D14" s="73">
        <v>46895</v>
      </c>
      <c r="E14" s="73">
        <v>58987</v>
      </c>
      <c r="F14" s="73">
        <v>78967</v>
      </c>
      <c r="G14" s="73">
        <v>87947</v>
      </c>
      <c r="H14" s="73">
        <v>103123</v>
      </c>
      <c r="I14" s="73">
        <v>111641</v>
      </c>
      <c r="J14" s="73">
        <v>123289</v>
      </c>
      <c r="K14" s="73">
        <v>134889</v>
      </c>
      <c r="L14" s="73">
        <v>150008</v>
      </c>
      <c r="M14" s="73">
        <v>163628</v>
      </c>
      <c r="N14" s="73">
        <v>159968</v>
      </c>
      <c r="O14" s="74">
        <v>166359</v>
      </c>
      <c r="P14" s="74">
        <v>179437</v>
      </c>
      <c r="Q14" s="74">
        <v>188805</v>
      </c>
      <c r="R14" s="74">
        <v>186156</v>
      </c>
    </row>
    <row r="15" spans="1:18" x14ac:dyDescent="0.25">
      <c r="A15" s="2">
        <v>14</v>
      </c>
      <c r="B15" t="s">
        <v>14</v>
      </c>
      <c r="C15" s="73">
        <v>34135</v>
      </c>
      <c r="D15" s="73">
        <v>42954</v>
      </c>
      <c r="E15" s="73">
        <v>56326</v>
      </c>
      <c r="F15" s="73">
        <v>77290</v>
      </c>
      <c r="G15" s="73">
        <v>82239</v>
      </c>
      <c r="H15" s="73">
        <v>89786</v>
      </c>
      <c r="I15" s="73">
        <v>105913</v>
      </c>
      <c r="J15" s="73">
        <v>122576</v>
      </c>
      <c r="K15" s="73">
        <v>139912</v>
      </c>
      <c r="L15" s="73">
        <v>157556</v>
      </c>
      <c r="M15" s="73">
        <v>172696</v>
      </c>
      <c r="N15" s="73">
        <v>181666</v>
      </c>
      <c r="O15" s="74">
        <v>187776</v>
      </c>
      <c r="P15" s="74">
        <v>195612</v>
      </c>
      <c r="Q15" s="74">
        <v>209132</v>
      </c>
      <c r="R15" s="74">
        <v>198282</v>
      </c>
    </row>
    <row r="16" spans="1:18" x14ac:dyDescent="0.25">
      <c r="A16" s="2">
        <v>15</v>
      </c>
      <c r="B16" t="s">
        <v>15</v>
      </c>
      <c r="C16" s="73">
        <v>41311</v>
      </c>
      <c r="D16" s="73">
        <v>50208</v>
      </c>
      <c r="E16" s="73">
        <v>57846</v>
      </c>
      <c r="F16" s="73">
        <v>75570</v>
      </c>
      <c r="G16" s="73">
        <v>81598</v>
      </c>
      <c r="H16" s="73">
        <v>93443</v>
      </c>
      <c r="I16" s="73">
        <v>105711</v>
      </c>
      <c r="J16" s="73">
        <v>120844</v>
      </c>
      <c r="K16" s="73">
        <v>133177</v>
      </c>
      <c r="L16" s="73">
        <v>153135</v>
      </c>
      <c r="M16" s="73">
        <v>161161</v>
      </c>
      <c r="N16" s="73">
        <v>164635</v>
      </c>
      <c r="O16" s="74">
        <v>167510</v>
      </c>
      <c r="P16" s="74">
        <v>175212</v>
      </c>
      <c r="Q16" s="74">
        <v>192877</v>
      </c>
      <c r="R16" s="74">
        <v>199736</v>
      </c>
    </row>
    <row r="17" spans="1:18" x14ac:dyDescent="0.25">
      <c r="A17" s="2">
        <v>16</v>
      </c>
      <c r="B17" t="s">
        <v>16</v>
      </c>
      <c r="C17" s="73">
        <v>30103</v>
      </c>
      <c r="D17" s="73">
        <v>38451</v>
      </c>
      <c r="E17" s="73">
        <v>53535</v>
      </c>
      <c r="F17" s="73">
        <v>75722</v>
      </c>
      <c r="G17" s="73">
        <v>82324</v>
      </c>
      <c r="H17" s="73">
        <v>97149</v>
      </c>
      <c r="I17" s="73">
        <v>110791</v>
      </c>
      <c r="J17" s="73">
        <v>124580</v>
      </c>
      <c r="K17" s="73">
        <v>136909</v>
      </c>
      <c r="L17" s="73">
        <v>152864</v>
      </c>
      <c r="M17" s="73">
        <v>167802</v>
      </c>
      <c r="N17" s="73">
        <v>170725</v>
      </c>
      <c r="O17" s="74">
        <v>182993</v>
      </c>
      <c r="P17" s="74">
        <v>194778</v>
      </c>
      <c r="Q17" s="74">
        <v>208800</v>
      </c>
      <c r="R17" s="74">
        <v>205652</v>
      </c>
    </row>
    <row r="18" spans="1:18" x14ac:dyDescent="0.25">
      <c r="A18" s="2">
        <v>17</v>
      </c>
      <c r="B18" t="s">
        <v>17</v>
      </c>
      <c r="C18" s="73">
        <v>30178</v>
      </c>
      <c r="D18" s="73">
        <v>39782</v>
      </c>
      <c r="E18" s="73">
        <v>51849</v>
      </c>
      <c r="F18" s="73">
        <v>69876</v>
      </c>
      <c r="G18" s="73">
        <v>71238</v>
      </c>
      <c r="H18" s="73">
        <v>82743</v>
      </c>
      <c r="I18" s="73">
        <v>100762</v>
      </c>
      <c r="J18" s="73">
        <v>114121</v>
      </c>
      <c r="K18" s="73">
        <v>131399</v>
      </c>
      <c r="L18" s="73">
        <v>149623</v>
      </c>
      <c r="M18" s="73">
        <v>160850</v>
      </c>
      <c r="N18" s="73">
        <v>161890</v>
      </c>
      <c r="O18" s="74">
        <v>177015</v>
      </c>
      <c r="P18" s="74">
        <v>186662</v>
      </c>
      <c r="Q18" s="74">
        <v>199963</v>
      </c>
      <c r="R18" s="74">
        <v>204406</v>
      </c>
    </row>
    <row r="19" spans="1:18" ht="15.75" thickBot="1" x14ac:dyDescent="0.3">
      <c r="A19" s="3">
        <v>18</v>
      </c>
      <c r="B19" t="s">
        <v>18</v>
      </c>
      <c r="C19" s="73">
        <v>152277</v>
      </c>
      <c r="D19" s="73">
        <v>174218</v>
      </c>
      <c r="E19" s="73">
        <v>195121</v>
      </c>
      <c r="F19" s="73">
        <v>225516</v>
      </c>
      <c r="G19" s="73">
        <v>239898</v>
      </c>
      <c r="H19" s="73">
        <v>250425</v>
      </c>
      <c r="I19" s="73">
        <v>286952</v>
      </c>
      <c r="J19" s="73">
        <v>305395</v>
      </c>
      <c r="K19" s="73">
        <v>333529</v>
      </c>
      <c r="L19" s="73">
        <v>365089</v>
      </c>
      <c r="M19" s="73">
        <v>351448</v>
      </c>
      <c r="N19" s="73">
        <v>346602</v>
      </c>
      <c r="O19" s="74">
        <v>363391</v>
      </c>
      <c r="P19" s="74">
        <v>382016</v>
      </c>
      <c r="Q19" s="74">
        <v>403426</v>
      </c>
      <c r="R19" s="74">
        <v>408674</v>
      </c>
    </row>
    <row r="20" spans="1:18" x14ac:dyDescent="0.25">
      <c r="A20" s="2">
        <v>19</v>
      </c>
      <c r="B20" t="s">
        <v>19</v>
      </c>
      <c r="C20" s="73">
        <v>41171</v>
      </c>
      <c r="D20" s="73">
        <v>50087</v>
      </c>
      <c r="E20" s="73">
        <v>59753</v>
      </c>
      <c r="F20" s="73">
        <v>73685</v>
      </c>
      <c r="G20" s="73">
        <v>77918</v>
      </c>
      <c r="H20" s="73">
        <v>92919</v>
      </c>
      <c r="I20" s="73">
        <v>109057</v>
      </c>
      <c r="J20" s="73">
        <v>122886</v>
      </c>
      <c r="K20" s="73">
        <v>136581</v>
      </c>
      <c r="L20" s="73">
        <v>153651</v>
      </c>
      <c r="M20" s="73">
        <v>164576</v>
      </c>
      <c r="N20" s="73">
        <v>170771</v>
      </c>
      <c r="O20" s="74">
        <v>180295</v>
      </c>
      <c r="P20" s="74">
        <v>196389</v>
      </c>
      <c r="Q20" s="74">
        <v>209593</v>
      </c>
      <c r="R20" s="74">
        <v>226569</v>
      </c>
    </row>
    <row r="21" spans="1:18" x14ac:dyDescent="0.25">
      <c r="A21" s="2">
        <v>20</v>
      </c>
      <c r="B21" t="s">
        <v>20</v>
      </c>
      <c r="C21" s="73">
        <v>68914</v>
      </c>
      <c r="D21" s="73">
        <v>83835</v>
      </c>
      <c r="E21" s="73">
        <v>101076</v>
      </c>
      <c r="F21" s="73">
        <v>118926</v>
      </c>
      <c r="G21" s="73">
        <v>117287</v>
      </c>
      <c r="H21" s="73">
        <v>134030</v>
      </c>
      <c r="I21" s="73">
        <v>141533</v>
      </c>
      <c r="J21" s="73">
        <v>155776</v>
      </c>
      <c r="K21" s="73">
        <v>167697</v>
      </c>
      <c r="L21" s="73">
        <v>181937</v>
      </c>
      <c r="M21" s="73">
        <v>174886</v>
      </c>
      <c r="N21" s="73">
        <v>170979</v>
      </c>
      <c r="O21" s="74">
        <v>177599</v>
      </c>
      <c r="P21" s="74">
        <v>184993</v>
      </c>
      <c r="Q21" s="74">
        <v>196592</v>
      </c>
      <c r="R21" s="74">
        <v>201675</v>
      </c>
    </row>
    <row r="22" spans="1:18" x14ac:dyDescent="0.25">
      <c r="A22" s="2">
        <v>21</v>
      </c>
      <c r="B22" t="s">
        <v>21</v>
      </c>
      <c r="C22" s="73">
        <v>41467</v>
      </c>
      <c r="D22" s="73">
        <v>50326</v>
      </c>
      <c r="E22" s="73">
        <v>60743</v>
      </c>
      <c r="F22" s="73">
        <v>79026</v>
      </c>
      <c r="G22" s="73">
        <v>86625</v>
      </c>
      <c r="H22" s="73">
        <v>97646</v>
      </c>
      <c r="I22" s="75">
        <v>118709</v>
      </c>
      <c r="J22" s="75">
        <v>135625</v>
      </c>
      <c r="K22" s="73">
        <v>154320</v>
      </c>
      <c r="L22" s="73">
        <v>176491</v>
      </c>
      <c r="M22" s="73">
        <v>194266</v>
      </c>
      <c r="N22" s="73">
        <v>203019</v>
      </c>
      <c r="O22" s="74">
        <v>217241</v>
      </c>
      <c r="P22" s="74">
        <v>229576</v>
      </c>
      <c r="Q22" s="74">
        <v>239516</v>
      </c>
      <c r="R22" s="74">
        <v>249101</v>
      </c>
    </row>
    <row r="23" spans="1:18" x14ac:dyDescent="0.25">
      <c r="A23" s="2">
        <v>22</v>
      </c>
      <c r="B23" t="s">
        <v>22</v>
      </c>
      <c r="C23" s="73">
        <v>28598</v>
      </c>
      <c r="D23" s="73">
        <v>36424</v>
      </c>
      <c r="E23" s="73">
        <v>46603</v>
      </c>
      <c r="F23" s="73">
        <v>58043</v>
      </c>
      <c r="G23" s="73">
        <v>57257</v>
      </c>
      <c r="H23" s="73">
        <v>70996</v>
      </c>
      <c r="I23" s="73">
        <v>83363</v>
      </c>
      <c r="J23" s="73">
        <v>104966</v>
      </c>
      <c r="K23" s="73">
        <v>112774</v>
      </c>
      <c r="L23" s="73">
        <v>125014</v>
      </c>
      <c r="M23" s="73">
        <v>132285</v>
      </c>
      <c r="N23" s="73">
        <v>136224</v>
      </c>
      <c r="O23" s="74">
        <v>145711</v>
      </c>
      <c r="P23" s="74">
        <v>159085</v>
      </c>
      <c r="Q23" s="74">
        <v>170174</v>
      </c>
      <c r="R23" s="74">
        <v>182920</v>
      </c>
    </row>
    <row r="24" spans="1:18" x14ac:dyDescent="0.25">
      <c r="A24" s="2">
        <v>23</v>
      </c>
      <c r="B24" t="s">
        <v>23</v>
      </c>
      <c r="C24" s="73">
        <v>38764</v>
      </c>
      <c r="D24" s="73">
        <v>47468</v>
      </c>
      <c r="E24" s="73">
        <v>61512</v>
      </c>
      <c r="F24" s="73">
        <v>81396</v>
      </c>
      <c r="G24" s="73">
        <v>91668</v>
      </c>
      <c r="H24" s="73">
        <v>96244</v>
      </c>
      <c r="I24" s="73">
        <v>106845</v>
      </c>
      <c r="J24" s="73">
        <v>114980</v>
      </c>
      <c r="K24" s="73">
        <v>123113</v>
      </c>
      <c r="L24" s="73">
        <v>136627</v>
      </c>
      <c r="M24" s="73">
        <v>145944</v>
      </c>
      <c r="N24" s="73">
        <v>153165</v>
      </c>
      <c r="O24" s="74">
        <v>158572</v>
      </c>
      <c r="P24" s="74">
        <v>170470</v>
      </c>
      <c r="Q24" s="74">
        <v>179949</v>
      </c>
      <c r="R24" s="74">
        <v>183286</v>
      </c>
    </row>
    <row r="25" spans="1:18" x14ac:dyDescent="0.25">
      <c r="A25" s="2">
        <v>24</v>
      </c>
      <c r="B25" t="s">
        <v>24</v>
      </c>
      <c r="C25" s="73">
        <v>38008</v>
      </c>
      <c r="D25" s="73">
        <v>48248</v>
      </c>
      <c r="E25" s="73">
        <v>61275</v>
      </c>
      <c r="F25" s="73">
        <v>74246</v>
      </c>
      <c r="G25" s="73">
        <v>86656</v>
      </c>
      <c r="H25" s="73">
        <v>98886</v>
      </c>
      <c r="I25" s="73">
        <v>121469</v>
      </c>
      <c r="J25" s="73">
        <v>132297</v>
      </c>
      <c r="K25" s="73">
        <v>141100</v>
      </c>
      <c r="L25" s="73">
        <v>156780</v>
      </c>
      <c r="M25" s="73">
        <v>175173</v>
      </c>
      <c r="N25" s="73">
        <v>191917</v>
      </c>
      <c r="O25" s="74">
        <v>205604</v>
      </c>
      <c r="P25" s="74">
        <v>221479</v>
      </c>
      <c r="Q25" s="74">
        <v>235709</v>
      </c>
      <c r="R25" s="74">
        <v>255646</v>
      </c>
    </row>
    <row r="26" spans="1:18" x14ac:dyDescent="0.25">
      <c r="A26" s="2">
        <v>25</v>
      </c>
      <c r="B26" t="s">
        <v>25</v>
      </c>
      <c r="C26" s="73">
        <v>52542</v>
      </c>
      <c r="D26" s="73">
        <v>61705</v>
      </c>
      <c r="E26" s="73">
        <v>76310</v>
      </c>
      <c r="F26" s="73">
        <v>99524</v>
      </c>
      <c r="G26" s="73">
        <v>109650</v>
      </c>
      <c r="H26" s="73">
        <v>128865</v>
      </c>
      <c r="I26" s="73">
        <v>142539</v>
      </c>
      <c r="J26" s="73">
        <v>157480</v>
      </c>
      <c r="K26" s="73">
        <v>177300</v>
      </c>
      <c r="L26" s="73">
        <v>196946</v>
      </c>
      <c r="M26" s="73">
        <v>201079</v>
      </c>
      <c r="N26" s="73">
        <v>203655</v>
      </c>
      <c r="O26" s="74">
        <v>216425</v>
      </c>
      <c r="P26" s="74">
        <v>225992</v>
      </c>
      <c r="Q26" s="74">
        <v>240353</v>
      </c>
      <c r="R26" s="74">
        <v>242844</v>
      </c>
    </row>
    <row r="27" spans="1:18" x14ac:dyDescent="0.25">
      <c r="A27" s="2">
        <v>26</v>
      </c>
      <c r="B27" t="s">
        <v>26</v>
      </c>
      <c r="C27" s="73">
        <v>33324</v>
      </c>
      <c r="D27" s="73">
        <v>41408</v>
      </c>
      <c r="E27" s="73">
        <v>52522</v>
      </c>
      <c r="F27" s="73">
        <v>74135</v>
      </c>
      <c r="G27" s="73">
        <v>84384</v>
      </c>
      <c r="H27" s="73">
        <v>94036</v>
      </c>
      <c r="I27" s="73">
        <v>107316</v>
      </c>
      <c r="J27" s="73">
        <v>122628</v>
      </c>
      <c r="K27" s="73">
        <v>136772</v>
      </c>
      <c r="L27" s="73">
        <v>155324</v>
      </c>
      <c r="M27" s="73">
        <v>173380</v>
      </c>
      <c r="N27" s="73">
        <v>176740</v>
      </c>
      <c r="O27" s="74">
        <v>183565</v>
      </c>
      <c r="P27" s="74">
        <v>191135</v>
      </c>
      <c r="Q27" s="74">
        <v>201392</v>
      </c>
      <c r="R27" s="74">
        <v>204547</v>
      </c>
    </row>
    <row r="28" spans="1:18" x14ac:dyDescent="0.25">
      <c r="A28" s="2">
        <v>27</v>
      </c>
      <c r="B28" t="s">
        <v>27</v>
      </c>
      <c r="C28" s="73">
        <v>38659</v>
      </c>
      <c r="D28" s="73">
        <v>46122</v>
      </c>
      <c r="E28" s="73">
        <v>54984</v>
      </c>
      <c r="F28" s="73">
        <v>72669</v>
      </c>
      <c r="G28" s="73">
        <v>76161</v>
      </c>
      <c r="H28" s="73">
        <v>86440</v>
      </c>
      <c r="I28" s="73">
        <v>103067</v>
      </c>
      <c r="J28" s="73">
        <v>115337</v>
      </c>
      <c r="K28" s="73">
        <v>127898</v>
      </c>
      <c r="L28" s="73">
        <v>144799</v>
      </c>
      <c r="M28" s="73">
        <v>156702</v>
      </c>
      <c r="N28" s="73">
        <v>154488</v>
      </c>
      <c r="O28" s="74">
        <v>166753</v>
      </c>
      <c r="P28" s="74">
        <v>177129</v>
      </c>
      <c r="Q28" s="74">
        <v>192571</v>
      </c>
      <c r="R28" s="74">
        <v>200916</v>
      </c>
    </row>
    <row r="29" spans="1:18" ht="15.75" thickBot="1" x14ac:dyDescent="0.3">
      <c r="A29" s="3">
        <v>28</v>
      </c>
      <c r="B29" t="s">
        <v>28</v>
      </c>
      <c r="C29" s="73">
        <v>63722</v>
      </c>
      <c r="D29" s="73">
        <v>77549</v>
      </c>
      <c r="E29" s="73">
        <v>98023</v>
      </c>
      <c r="F29" s="73">
        <v>127266</v>
      </c>
      <c r="G29" s="73">
        <v>131928</v>
      </c>
      <c r="H29" s="73">
        <v>141272</v>
      </c>
      <c r="I29" s="73">
        <v>150642</v>
      </c>
      <c r="J29" s="73">
        <v>169270</v>
      </c>
      <c r="K29" s="73">
        <v>181245</v>
      </c>
      <c r="L29" s="73">
        <v>197144</v>
      </c>
      <c r="M29" s="73">
        <v>219750</v>
      </c>
      <c r="N29" s="73">
        <v>234947</v>
      </c>
      <c r="O29" s="74">
        <v>249460</v>
      </c>
      <c r="P29" s="74">
        <v>263120</v>
      </c>
      <c r="Q29" s="74">
        <v>278027</v>
      </c>
      <c r="R29" s="74">
        <v>283494</v>
      </c>
    </row>
    <row r="30" spans="1:18" x14ac:dyDescent="0.25">
      <c r="A30" s="1">
        <v>29</v>
      </c>
      <c r="B30" t="s">
        <v>29</v>
      </c>
      <c r="C30" s="76">
        <v>25047</v>
      </c>
      <c r="D30" s="76">
        <v>29616</v>
      </c>
      <c r="E30" s="76">
        <v>37106</v>
      </c>
      <c r="F30" s="76">
        <v>58024</v>
      </c>
      <c r="G30" s="73">
        <v>70987</v>
      </c>
      <c r="H30" s="73">
        <v>83165</v>
      </c>
      <c r="I30" s="73">
        <v>101944</v>
      </c>
      <c r="J30" s="73">
        <v>129374</v>
      </c>
      <c r="K30" s="73">
        <v>151236</v>
      </c>
      <c r="L30" s="73">
        <v>164975</v>
      </c>
      <c r="M30" s="73">
        <v>162621</v>
      </c>
      <c r="N30" s="73">
        <v>177115</v>
      </c>
      <c r="O30" s="74">
        <v>190240</v>
      </c>
      <c r="P30" s="74">
        <v>209586</v>
      </c>
      <c r="Q30" s="74">
        <v>221468</v>
      </c>
      <c r="R30" s="74">
        <v>231447</v>
      </c>
    </row>
    <row r="31" spans="1:18" x14ac:dyDescent="0.25">
      <c r="A31" s="2">
        <v>30</v>
      </c>
      <c r="B31" t="s">
        <v>30</v>
      </c>
      <c r="C31" s="76">
        <v>13405</v>
      </c>
      <c r="D31" s="76">
        <v>17972</v>
      </c>
      <c r="E31" s="76">
        <v>21389</v>
      </c>
      <c r="F31" s="76">
        <v>25874</v>
      </c>
      <c r="G31" s="73">
        <v>29931</v>
      </c>
      <c r="H31" s="73">
        <v>33927</v>
      </c>
      <c r="I31" s="73">
        <v>42953</v>
      </c>
      <c r="J31" s="73">
        <v>51125</v>
      </c>
      <c r="K31" s="73">
        <v>56382</v>
      </c>
      <c r="L31" s="73">
        <v>62779</v>
      </c>
      <c r="M31" s="73">
        <v>64025</v>
      </c>
      <c r="N31" s="73">
        <v>67572</v>
      </c>
      <c r="O31" s="74">
        <v>70974</v>
      </c>
      <c r="P31" s="74">
        <v>77850</v>
      </c>
      <c r="Q31" s="74">
        <v>83234</v>
      </c>
      <c r="R31" s="74">
        <v>86002</v>
      </c>
    </row>
    <row r="32" spans="1:18" x14ac:dyDescent="0.25">
      <c r="A32" s="2">
        <v>31</v>
      </c>
      <c r="B32" t="s">
        <v>31</v>
      </c>
      <c r="C32" s="119"/>
      <c r="D32" s="119"/>
      <c r="E32" s="119"/>
      <c r="F32" s="119"/>
      <c r="G32" s="119"/>
      <c r="H32" s="119"/>
      <c r="I32" s="119"/>
      <c r="J32" s="119"/>
      <c r="K32" s="119"/>
      <c r="L32" s="76">
        <v>79010</v>
      </c>
      <c r="M32" s="73">
        <v>112916</v>
      </c>
      <c r="N32" s="73">
        <v>115133</v>
      </c>
      <c r="O32" s="74">
        <v>120177</v>
      </c>
      <c r="P32" s="74">
        <v>133940</v>
      </c>
      <c r="Q32" s="74">
        <v>143660</v>
      </c>
      <c r="R32" s="74">
        <v>148071</v>
      </c>
    </row>
    <row r="33" spans="1:18" x14ac:dyDescent="0.25">
      <c r="A33" s="2">
        <v>32</v>
      </c>
      <c r="B33" t="s">
        <v>32</v>
      </c>
      <c r="C33" s="76">
        <v>41998</v>
      </c>
      <c r="D33" s="76">
        <v>53874</v>
      </c>
      <c r="E33" s="76">
        <v>74018</v>
      </c>
      <c r="F33" s="76">
        <v>97566</v>
      </c>
      <c r="G33" s="73">
        <v>107227</v>
      </c>
      <c r="H33" s="73">
        <v>123824</v>
      </c>
      <c r="I33" s="73">
        <v>139124</v>
      </c>
      <c r="J33" s="73">
        <v>153806</v>
      </c>
      <c r="K33" s="73">
        <v>170772</v>
      </c>
      <c r="L33" s="73">
        <v>196892</v>
      </c>
      <c r="M33" s="73">
        <v>211644</v>
      </c>
      <c r="N33" s="73">
        <v>225159</v>
      </c>
      <c r="O33" s="74">
        <v>233909</v>
      </c>
      <c r="P33" s="74">
        <v>243186</v>
      </c>
      <c r="Q33" s="74">
        <v>258288</v>
      </c>
      <c r="R33" s="74">
        <v>261857</v>
      </c>
    </row>
    <row r="34" spans="1:18" x14ac:dyDescent="0.25">
      <c r="A34" s="2">
        <v>33</v>
      </c>
      <c r="B34" t="s">
        <v>33</v>
      </c>
      <c r="C34" s="73">
        <v>32989</v>
      </c>
      <c r="D34" s="73">
        <v>42334</v>
      </c>
      <c r="E34" s="73">
        <v>56096</v>
      </c>
      <c r="F34" s="73">
        <v>77429</v>
      </c>
      <c r="G34" s="73">
        <v>83391</v>
      </c>
      <c r="H34" s="73">
        <v>99251</v>
      </c>
      <c r="I34" s="73">
        <v>115357</v>
      </c>
      <c r="J34" s="73">
        <v>131101</v>
      </c>
      <c r="K34" s="73">
        <v>147954</v>
      </c>
      <c r="L34" s="73">
        <v>162393</v>
      </c>
      <c r="M34" s="73">
        <v>170883</v>
      </c>
      <c r="N34" s="73">
        <v>164241</v>
      </c>
      <c r="O34" s="74">
        <v>163829</v>
      </c>
      <c r="P34" s="74">
        <v>170710</v>
      </c>
      <c r="Q34" s="74">
        <v>179153</v>
      </c>
      <c r="R34" s="74">
        <v>174527</v>
      </c>
    </row>
    <row r="35" spans="1:18" x14ac:dyDescent="0.25">
      <c r="A35" s="2">
        <v>34</v>
      </c>
      <c r="B35" t="s">
        <v>34</v>
      </c>
      <c r="C35" s="73">
        <v>38382</v>
      </c>
      <c r="D35" s="73">
        <v>44854</v>
      </c>
      <c r="E35" s="73">
        <v>56499</v>
      </c>
      <c r="F35" s="73">
        <v>71469</v>
      </c>
      <c r="G35" s="73">
        <v>77735</v>
      </c>
      <c r="H35" s="73">
        <v>87702</v>
      </c>
      <c r="I35" s="73">
        <v>97800</v>
      </c>
      <c r="J35" s="73">
        <v>107858</v>
      </c>
      <c r="K35" s="73">
        <v>117073</v>
      </c>
      <c r="L35" s="73">
        <v>126856</v>
      </c>
      <c r="M35" s="73">
        <v>135950</v>
      </c>
      <c r="N35" s="73">
        <v>136055</v>
      </c>
      <c r="O35" s="74">
        <v>145186</v>
      </c>
      <c r="P35" s="74">
        <v>154934</v>
      </c>
      <c r="Q35" s="74">
        <v>166998</v>
      </c>
      <c r="R35" s="74">
        <v>167446</v>
      </c>
    </row>
    <row r="36" spans="1:18" x14ac:dyDescent="0.25">
      <c r="A36" s="2">
        <v>35</v>
      </c>
      <c r="B36" t="s">
        <v>35</v>
      </c>
      <c r="C36" s="73">
        <v>45325</v>
      </c>
      <c r="D36" s="73">
        <v>55809</v>
      </c>
      <c r="E36" s="73">
        <v>74909</v>
      </c>
      <c r="F36" s="73">
        <v>99674</v>
      </c>
      <c r="G36" s="73">
        <v>93652</v>
      </c>
      <c r="H36" s="73">
        <v>108338</v>
      </c>
      <c r="I36" s="73">
        <v>127111</v>
      </c>
      <c r="J36" s="73">
        <v>145419</v>
      </c>
      <c r="K36" s="73">
        <v>160683</v>
      </c>
      <c r="L36" s="73">
        <v>177702</v>
      </c>
      <c r="M36" s="73">
        <v>194599</v>
      </c>
      <c r="N36" s="73">
        <v>201548</v>
      </c>
      <c r="O36" s="74">
        <v>208339</v>
      </c>
      <c r="P36" s="74">
        <v>218637</v>
      </c>
      <c r="Q36" s="74">
        <v>232282</v>
      </c>
      <c r="R36" s="74">
        <v>232860</v>
      </c>
    </row>
    <row r="37" spans="1:18" x14ac:dyDescent="0.25">
      <c r="A37" s="2">
        <v>36</v>
      </c>
      <c r="B37" t="s">
        <v>36</v>
      </c>
      <c r="C37" s="119"/>
      <c r="D37" s="119"/>
      <c r="E37" s="119"/>
      <c r="F37" s="119"/>
      <c r="G37" s="119"/>
      <c r="H37" s="119"/>
      <c r="I37" s="119"/>
      <c r="J37" s="119"/>
      <c r="K37" s="119"/>
      <c r="L37" s="76">
        <v>90459</v>
      </c>
      <c r="M37" s="73">
        <v>94360</v>
      </c>
      <c r="N37" s="73">
        <v>145575</v>
      </c>
      <c r="O37" s="74">
        <v>146264</v>
      </c>
      <c r="P37" s="74">
        <v>149255</v>
      </c>
      <c r="Q37" s="74">
        <v>154734</v>
      </c>
      <c r="R37" s="74">
        <v>141383</v>
      </c>
    </row>
    <row r="38" spans="1:18" x14ac:dyDescent="0.25">
      <c r="A38" s="2">
        <v>37</v>
      </c>
      <c r="B38" t="s">
        <v>37</v>
      </c>
      <c r="C38" s="76">
        <v>31218</v>
      </c>
      <c r="D38" s="76">
        <v>41001</v>
      </c>
      <c r="E38" s="73">
        <v>54858</v>
      </c>
      <c r="F38" s="76">
        <v>80505</v>
      </c>
      <c r="G38" s="76">
        <v>100984</v>
      </c>
      <c r="H38" s="76">
        <v>106844</v>
      </c>
      <c r="I38" s="76">
        <v>122579</v>
      </c>
      <c r="J38" s="76">
        <v>135860</v>
      </c>
      <c r="K38" s="73">
        <v>152841</v>
      </c>
      <c r="L38" s="73">
        <v>171054</v>
      </c>
      <c r="M38" s="73">
        <v>205890</v>
      </c>
      <c r="N38" s="73">
        <v>217694</v>
      </c>
      <c r="O38" s="74">
        <v>203361</v>
      </c>
      <c r="P38" s="74">
        <v>183878</v>
      </c>
      <c r="Q38" s="74">
        <v>191480</v>
      </c>
      <c r="R38" s="74">
        <v>188325</v>
      </c>
    </row>
    <row r="39" spans="1:18" x14ac:dyDescent="0.25">
      <c r="A39" s="2">
        <v>38</v>
      </c>
      <c r="B39" t="s">
        <v>38</v>
      </c>
      <c r="C39" s="119"/>
      <c r="D39" s="119"/>
      <c r="E39" s="119"/>
      <c r="F39" s="119"/>
      <c r="G39" s="119"/>
      <c r="H39" s="119"/>
      <c r="I39" s="119"/>
      <c r="J39" s="119"/>
      <c r="K39" s="73">
        <v>36955</v>
      </c>
      <c r="L39" s="73">
        <v>41805</v>
      </c>
      <c r="M39" s="73">
        <v>46598</v>
      </c>
      <c r="N39" s="73">
        <v>45965</v>
      </c>
      <c r="O39" s="74">
        <v>46464</v>
      </c>
      <c r="P39" s="74">
        <v>51027</v>
      </c>
      <c r="Q39" s="74">
        <v>51702</v>
      </c>
      <c r="R39" s="74">
        <v>50713</v>
      </c>
    </row>
    <row r="40" spans="1:18" x14ac:dyDescent="0.25">
      <c r="A40" s="2">
        <v>39</v>
      </c>
      <c r="B40" t="s">
        <v>42</v>
      </c>
      <c r="C40" s="76">
        <v>26170</v>
      </c>
      <c r="D40" s="76">
        <v>31816</v>
      </c>
      <c r="E40" s="76">
        <v>39884</v>
      </c>
      <c r="F40" s="73">
        <v>53784</v>
      </c>
      <c r="G40" s="76">
        <v>61473</v>
      </c>
      <c r="H40" s="76">
        <v>73169</v>
      </c>
      <c r="I40" s="73">
        <v>85069</v>
      </c>
      <c r="J40" s="73">
        <v>93771</v>
      </c>
      <c r="K40" s="73">
        <v>104645</v>
      </c>
      <c r="L40" s="73">
        <v>116477</v>
      </c>
      <c r="M40" s="73">
        <v>131108</v>
      </c>
      <c r="N40" s="73">
        <v>136994</v>
      </c>
      <c r="O40" s="74">
        <v>143289</v>
      </c>
      <c r="P40" s="74">
        <v>147246</v>
      </c>
      <c r="Q40" s="74">
        <v>155182</v>
      </c>
      <c r="R40" s="74">
        <v>154476</v>
      </c>
    </row>
    <row r="41" spans="1:18" x14ac:dyDescent="0.25">
      <c r="A41" s="2">
        <v>40</v>
      </c>
      <c r="B41" t="s">
        <v>39</v>
      </c>
      <c r="C41" s="73">
        <v>28892</v>
      </c>
      <c r="D41" s="73">
        <v>36531</v>
      </c>
      <c r="E41" s="73">
        <v>42154</v>
      </c>
      <c r="F41" s="76">
        <v>52831</v>
      </c>
      <c r="G41" s="73">
        <v>59251</v>
      </c>
      <c r="H41" s="73">
        <v>57765</v>
      </c>
      <c r="I41" s="73">
        <v>65196</v>
      </c>
      <c r="J41" s="73">
        <v>70974</v>
      </c>
      <c r="K41" s="73">
        <v>73742</v>
      </c>
      <c r="L41" s="73">
        <v>78422</v>
      </c>
      <c r="M41" s="73">
        <v>74891</v>
      </c>
      <c r="N41" s="73">
        <v>76432</v>
      </c>
      <c r="O41" s="74">
        <v>79498</v>
      </c>
      <c r="P41" s="74">
        <v>82339</v>
      </c>
      <c r="Q41" s="74">
        <v>86605</v>
      </c>
      <c r="R41" s="74">
        <v>83515</v>
      </c>
    </row>
    <row r="42" spans="1:18" x14ac:dyDescent="0.25">
      <c r="A42" s="2">
        <v>41</v>
      </c>
      <c r="B42" t="s">
        <v>43</v>
      </c>
      <c r="C42" s="73">
        <v>24317</v>
      </c>
      <c r="D42" s="73">
        <v>32902</v>
      </c>
      <c r="E42" s="76">
        <v>41080</v>
      </c>
      <c r="F42" s="73">
        <v>53282</v>
      </c>
      <c r="G42" s="73">
        <v>63722</v>
      </c>
      <c r="H42" s="73">
        <v>76292</v>
      </c>
      <c r="I42" s="73">
        <v>94777</v>
      </c>
      <c r="J42" s="73">
        <v>108101</v>
      </c>
      <c r="K42" s="73">
        <v>119453</v>
      </c>
      <c r="L42" s="73">
        <v>131840</v>
      </c>
      <c r="M42" s="73">
        <v>144655</v>
      </c>
      <c r="N42" s="73">
        <v>149749</v>
      </c>
      <c r="O42" s="74">
        <v>156186</v>
      </c>
      <c r="P42" s="74">
        <v>163733</v>
      </c>
      <c r="Q42" s="74">
        <v>170755</v>
      </c>
      <c r="R42" s="74">
        <v>163468</v>
      </c>
    </row>
    <row r="43" spans="1:18" x14ac:dyDescent="0.25">
      <c r="A43" s="2">
        <v>42</v>
      </c>
      <c r="B43" t="s">
        <v>40</v>
      </c>
      <c r="C43" s="119"/>
      <c r="D43" s="119"/>
      <c r="E43" s="119"/>
      <c r="F43" s="119"/>
      <c r="G43" s="119"/>
      <c r="H43" s="76">
        <v>43982</v>
      </c>
      <c r="I43" s="76">
        <v>56713</v>
      </c>
      <c r="J43" s="76">
        <v>69225</v>
      </c>
      <c r="K43" s="73">
        <v>77088</v>
      </c>
      <c r="L43" s="73">
        <v>88310</v>
      </c>
      <c r="M43" s="73">
        <v>106136</v>
      </c>
      <c r="N43" s="73">
        <v>108534</v>
      </c>
      <c r="O43" s="74">
        <v>111074</v>
      </c>
      <c r="P43" s="74">
        <v>115781</v>
      </c>
      <c r="Q43" s="74">
        <v>120058</v>
      </c>
      <c r="R43" s="74">
        <v>123955</v>
      </c>
    </row>
    <row r="44" spans="1:18" ht="15.75" thickBot="1" x14ac:dyDescent="0.3">
      <c r="A44" s="3">
        <v>43</v>
      </c>
      <c r="B44" t="s">
        <v>41</v>
      </c>
      <c r="C44" s="76">
        <v>37352</v>
      </c>
      <c r="D44" s="76">
        <v>45790</v>
      </c>
      <c r="E44" s="76">
        <v>58714</v>
      </c>
      <c r="F44" s="76">
        <v>75219</v>
      </c>
      <c r="G44" s="76">
        <v>84511</v>
      </c>
      <c r="H44" s="76">
        <v>98542</v>
      </c>
      <c r="I44" s="76">
        <v>119286</v>
      </c>
      <c r="J44" s="76">
        <v>142205</v>
      </c>
      <c r="K44" s="73">
        <v>153772</v>
      </c>
      <c r="L44" s="73">
        <v>165228</v>
      </c>
      <c r="M44" s="73">
        <v>166622</v>
      </c>
      <c r="N44" s="73">
        <v>158762</v>
      </c>
      <c r="O44" s="74">
        <v>170837</v>
      </c>
      <c r="P44" s="74">
        <v>182284</v>
      </c>
      <c r="Q44" s="74">
        <v>191606</v>
      </c>
      <c r="R44" s="74">
        <v>185994</v>
      </c>
    </row>
    <row r="45" spans="1:18" x14ac:dyDescent="0.25">
      <c r="A45" s="2">
        <v>44</v>
      </c>
      <c r="B45" t="s">
        <v>44</v>
      </c>
      <c r="C45" s="76">
        <v>43570</v>
      </c>
      <c r="D45" s="76">
        <v>58938</v>
      </c>
      <c r="E45" s="76">
        <v>79820</v>
      </c>
      <c r="F45" s="76">
        <v>105770</v>
      </c>
      <c r="G45" s="73">
        <v>112996</v>
      </c>
      <c r="H45" s="73">
        <v>125821</v>
      </c>
      <c r="I45" s="73">
        <v>142076</v>
      </c>
      <c r="J45" s="73">
        <v>156044</v>
      </c>
      <c r="K45" s="73">
        <v>177555</v>
      </c>
      <c r="L45" s="77">
        <v>191935</v>
      </c>
      <c r="M45" s="73">
        <v>192720</v>
      </c>
      <c r="N45" s="73">
        <v>197400</v>
      </c>
      <c r="O45" s="74">
        <v>206913</v>
      </c>
      <c r="P45" s="74">
        <v>216774</v>
      </c>
      <c r="Q45" s="74">
        <v>230315</v>
      </c>
      <c r="R45" s="74">
        <v>226691</v>
      </c>
    </row>
    <row r="46" spans="1:18" x14ac:dyDescent="0.25">
      <c r="A46" s="2">
        <v>45</v>
      </c>
      <c r="B46" t="s">
        <v>45</v>
      </c>
      <c r="C46" s="73">
        <v>19536</v>
      </c>
      <c r="D46" s="73">
        <v>28634</v>
      </c>
      <c r="E46" s="73">
        <v>37349</v>
      </c>
      <c r="F46" s="73">
        <v>51576</v>
      </c>
      <c r="G46" s="73">
        <v>57105</v>
      </c>
      <c r="H46" s="73">
        <v>62586</v>
      </c>
      <c r="I46" s="73">
        <v>72458</v>
      </c>
      <c r="J46" s="73">
        <v>81095</v>
      </c>
      <c r="K46" s="73">
        <v>92500</v>
      </c>
      <c r="L46" s="77">
        <v>106277</v>
      </c>
      <c r="M46" s="73">
        <v>111526</v>
      </c>
      <c r="N46" s="73">
        <v>114549</v>
      </c>
      <c r="O46" s="74">
        <v>119956</v>
      </c>
      <c r="P46" s="74">
        <v>127087</v>
      </c>
      <c r="Q46" s="74">
        <v>133493</v>
      </c>
      <c r="R46" s="74">
        <v>134692</v>
      </c>
    </row>
    <row r="47" spans="1:18" x14ac:dyDescent="0.25">
      <c r="A47" s="2">
        <v>46</v>
      </c>
      <c r="B47" t="s">
        <v>46</v>
      </c>
      <c r="C47" s="73">
        <v>21603</v>
      </c>
      <c r="D47" s="73">
        <v>26361</v>
      </c>
      <c r="E47" s="73">
        <v>34571</v>
      </c>
      <c r="F47" s="73">
        <v>47232</v>
      </c>
      <c r="G47" s="73">
        <v>53162</v>
      </c>
      <c r="H47" s="73">
        <v>57839</v>
      </c>
      <c r="I47" s="73">
        <v>63899</v>
      </c>
      <c r="J47" s="73">
        <v>70185</v>
      </c>
      <c r="K47" s="73">
        <v>77284</v>
      </c>
      <c r="L47" s="77">
        <v>89808</v>
      </c>
      <c r="M47" s="73">
        <v>96377</v>
      </c>
      <c r="N47" s="73">
        <v>101590</v>
      </c>
      <c r="O47" s="74">
        <v>108326</v>
      </c>
      <c r="P47" s="74">
        <v>114694</v>
      </c>
      <c r="Q47" s="74">
        <v>123273</v>
      </c>
      <c r="R47" s="74">
        <v>127327</v>
      </c>
    </row>
    <row r="48" spans="1:18" x14ac:dyDescent="0.25">
      <c r="A48" s="2">
        <v>47</v>
      </c>
      <c r="B48" t="s">
        <v>47</v>
      </c>
      <c r="C48" s="73">
        <v>42879</v>
      </c>
      <c r="D48" s="73">
        <v>56885</v>
      </c>
      <c r="E48" s="73">
        <v>73494</v>
      </c>
      <c r="F48" s="73">
        <v>98069</v>
      </c>
      <c r="G48" s="73">
        <v>104386</v>
      </c>
      <c r="H48" s="73">
        <v>120036</v>
      </c>
      <c r="I48" s="73">
        <v>140930</v>
      </c>
      <c r="J48" s="73">
        <v>170670</v>
      </c>
      <c r="K48" s="73">
        <v>186147</v>
      </c>
      <c r="L48" s="77">
        <v>203038</v>
      </c>
      <c r="M48" s="73">
        <v>200999</v>
      </c>
      <c r="N48" s="73">
        <v>206769</v>
      </c>
      <c r="O48" s="74">
        <v>216965</v>
      </c>
      <c r="P48" s="74">
        <v>235335</v>
      </c>
      <c r="Q48" s="74">
        <v>244232</v>
      </c>
      <c r="R48" s="74">
        <v>238322</v>
      </c>
    </row>
    <row r="49" spans="1:18" x14ac:dyDescent="0.25">
      <c r="A49" s="2">
        <v>48</v>
      </c>
      <c r="B49" t="s">
        <v>48</v>
      </c>
      <c r="C49" s="73">
        <v>25241</v>
      </c>
      <c r="D49" s="73">
        <v>32273</v>
      </c>
      <c r="E49" s="73">
        <v>42924</v>
      </c>
      <c r="F49" s="73">
        <v>60355</v>
      </c>
      <c r="G49" s="73">
        <v>64227</v>
      </c>
      <c r="H49" s="73">
        <v>72387</v>
      </c>
      <c r="I49" s="73">
        <v>92161</v>
      </c>
      <c r="J49" s="73">
        <v>103388</v>
      </c>
      <c r="K49" s="73">
        <v>116969</v>
      </c>
      <c r="L49" s="77">
        <v>129660</v>
      </c>
      <c r="M49" s="73">
        <v>136441</v>
      </c>
      <c r="N49" s="73">
        <v>139151</v>
      </c>
      <c r="O49" s="74">
        <v>146183</v>
      </c>
      <c r="P49" s="74">
        <v>154640</v>
      </c>
      <c r="Q49" s="74">
        <v>161544</v>
      </c>
      <c r="R49" s="74">
        <v>160085</v>
      </c>
    </row>
    <row r="50" spans="1:18" x14ac:dyDescent="0.25">
      <c r="A50" s="2">
        <v>49</v>
      </c>
      <c r="B50" t="s">
        <v>49</v>
      </c>
      <c r="C50" s="73">
        <v>23002</v>
      </c>
      <c r="D50" s="73">
        <v>28864</v>
      </c>
      <c r="E50" s="73">
        <v>37646</v>
      </c>
      <c r="F50" s="73">
        <v>52872</v>
      </c>
      <c r="G50" s="73">
        <v>56767</v>
      </c>
      <c r="H50" s="73">
        <v>65691</v>
      </c>
      <c r="I50" s="73">
        <v>77713</v>
      </c>
      <c r="J50" s="73">
        <v>87331</v>
      </c>
      <c r="K50" s="73">
        <v>96535</v>
      </c>
      <c r="L50" s="77">
        <v>106444</v>
      </c>
      <c r="M50" s="73">
        <v>110509</v>
      </c>
      <c r="N50" s="73">
        <v>110954</v>
      </c>
      <c r="O50" s="74">
        <v>115272</v>
      </c>
      <c r="P50" s="74">
        <v>124480</v>
      </c>
      <c r="Q50" s="74">
        <v>136291</v>
      </c>
      <c r="R50" s="74">
        <v>141564</v>
      </c>
    </row>
    <row r="51" spans="1:18" x14ac:dyDescent="0.25">
      <c r="A51" s="2">
        <v>50</v>
      </c>
      <c r="B51" t="s">
        <v>50</v>
      </c>
      <c r="C51" s="73">
        <v>47204</v>
      </c>
      <c r="D51" s="73">
        <v>64985</v>
      </c>
      <c r="E51" s="73">
        <v>80896</v>
      </c>
      <c r="F51" s="73">
        <v>102553</v>
      </c>
      <c r="G51" s="73">
        <v>107289</v>
      </c>
      <c r="H51" s="73">
        <v>119864</v>
      </c>
      <c r="I51" s="73">
        <v>138994</v>
      </c>
      <c r="J51" s="73">
        <v>152587</v>
      </c>
      <c r="K51" s="73">
        <v>172008</v>
      </c>
      <c r="L51" s="77">
        <v>184849</v>
      </c>
      <c r="M51" s="73">
        <v>181373</v>
      </c>
      <c r="N51" s="73">
        <v>183397</v>
      </c>
      <c r="O51" s="74">
        <v>191175</v>
      </c>
      <c r="P51" s="74">
        <v>205335</v>
      </c>
      <c r="Q51" s="74">
        <v>216516</v>
      </c>
      <c r="R51" s="74">
        <v>214162</v>
      </c>
    </row>
    <row r="52" spans="1:18" x14ac:dyDescent="0.25">
      <c r="A52" s="2">
        <v>51</v>
      </c>
      <c r="B52" t="s">
        <v>51</v>
      </c>
      <c r="C52" s="73">
        <v>25022</v>
      </c>
      <c r="D52" s="73">
        <v>30615</v>
      </c>
      <c r="E52" s="73">
        <v>40580</v>
      </c>
      <c r="F52" s="73">
        <v>55526</v>
      </c>
      <c r="G52" s="73">
        <v>56874</v>
      </c>
      <c r="H52" s="73">
        <v>71155</v>
      </c>
      <c r="I52" s="73">
        <v>87463</v>
      </c>
      <c r="J52" s="73">
        <v>99190</v>
      </c>
      <c r="K52" s="73">
        <v>113482</v>
      </c>
      <c r="L52" s="77">
        <v>126231</v>
      </c>
      <c r="M52" s="73">
        <v>134426</v>
      </c>
      <c r="N52" s="73">
        <v>136870</v>
      </c>
      <c r="O52" s="74">
        <v>143191</v>
      </c>
      <c r="P52" s="74">
        <v>153012</v>
      </c>
      <c r="Q52" s="74">
        <v>161370</v>
      </c>
      <c r="R52" s="74">
        <v>163224</v>
      </c>
    </row>
    <row r="53" spans="1:18" x14ac:dyDescent="0.25">
      <c r="A53" s="2">
        <v>52</v>
      </c>
      <c r="B53" t="s">
        <v>52</v>
      </c>
      <c r="C53" s="73">
        <f>40825</f>
        <v>40825</v>
      </c>
      <c r="D53" s="73">
        <f t="shared" ref="D53:O53" si="0">40825/1000</f>
        <v>40.825000000000003</v>
      </c>
      <c r="E53" s="73">
        <f t="shared" si="0"/>
        <v>40.825000000000003</v>
      </c>
      <c r="F53" s="73">
        <f t="shared" si="0"/>
        <v>40.825000000000003</v>
      </c>
      <c r="G53" s="73">
        <f t="shared" si="0"/>
        <v>40.825000000000003</v>
      </c>
      <c r="H53" s="73">
        <f t="shared" si="0"/>
        <v>40.825000000000003</v>
      </c>
      <c r="I53" s="73">
        <f t="shared" si="0"/>
        <v>40.825000000000003</v>
      </c>
      <c r="J53" s="73">
        <f t="shared" si="0"/>
        <v>40.825000000000003</v>
      </c>
      <c r="K53" s="73">
        <f t="shared" si="0"/>
        <v>40.825000000000003</v>
      </c>
      <c r="L53" s="73">
        <f>40825</f>
        <v>40825</v>
      </c>
      <c r="M53" s="73">
        <f t="shared" si="0"/>
        <v>40.825000000000003</v>
      </c>
      <c r="N53" s="73">
        <f t="shared" si="0"/>
        <v>40.825000000000003</v>
      </c>
      <c r="O53" s="73">
        <f t="shared" si="0"/>
        <v>40.825000000000003</v>
      </c>
      <c r="P53" s="74">
        <v>229162</v>
      </c>
      <c r="Q53" s="74">
        <v>243303</v>
      </c>
      <c r="R53" s="74">
        <v>237008</v>
      </c>
    </row>
    <row r="54" spans="1:18" x14ac:dyDescent="0.25">
      <c r="A54" s="2">
        <v>53</v>
      </c>
      <c r="B54" t="s">
        <v>53</v>
      </c>
      <c r="C54" s="73">
        <v>25376</v>
      </c>
      <c r="D54" s="73">
        <v>32597</v>
      </c>
      <c r="E54" s="73">
        <v>42533</v>
      </c>
      <c r="F54" s="73">
        <v>59548</v>
      </c>
      <c r="G54" s="73">
        <v>64611</v>
      </c>
      <c r="H54" s="73">
        <v>77544</v>
      </c>
      <c r="I54" s="73">
        <v>92277</v>
      </c>
      <c r="J54" s="73">
        <v>105992</v>
      </c>
      <c r="K54" s="73">
        <v>119649</v>
      </c>
      <c r="L54" s="77">
        <v>134482</v>
      </c>
      <c r="M54" s="73">
        <v>139328</v>
      </c>
      <c r="N54" s="73">
        <v>138012</v>
      </c>
      <c r="O54" s="74">
        <v>148210</v>
      </c>
      <c r="P54" s="74">
        <v>156289</v>
      </c>
      <c r="Q54" s="74">
        <v>167197</v>
      </c>
      <c r="R54" s="74">
        <v>169416</v>
      </c>
    </row>
    <row r="55" spans="1:18" x14ac:dyDescent="0.25">
      <c r="A55" s="2">
        <v>54</v>
      </c>
      <c r="B55" t="s">
        <v>54</v>
      </c>
      <c r="C55" s="73">
        <v>28440</v>
      </c>
      <c r="D55" s="73">
        <v>33891</v>
      </c>
      <c r="E55" s="73">
        <v>53009</v>
      </c>
      <c r="F55" s="73">
        <v>67979</v>
      </c>
      <c r="G55" s="73">
        <v>74745</v>
      </c>
      <c r="H55" s="73">
        <v>81754</v>
      </c>
      <c r="I55" s="73">
        <v>94921</v>
      </c>
      <c r="J55" s="73">
        <v>102798</v>
      </c>
      <c r="K55" s="73">
        <v>118598</v>
      </c>
      <c r="L55" s="77">
        <v>133259</v>
      </c>
      <c r="M55" s="73">
        <v>141527</v>
      </c>
      <c r="N55" s="73">
        <v>149530</v>
      </c>
      <c r="O55" s="74">
        <v>149020</v>
      </c>
      <c r="P55" s="74">
        <v>155710</v>
      </c>
      <c r="Q55" s="74">
        <v>165855</v>
      </c>
      <c r="R55" s="74">
        <v>171267</v>
      </c>
    </row>
    <row r="56" spans="1:18" x14ac:dyDescent="0.25">
      <c r="A56" s="2">
        <v>55</v>
      </c>
      <c r="B56" t="s">
        <v>55</v>
      </c>
      <c r="C56" s="73">
        <v>70689</v>
      </c>
      <c r="D56" s="73">
        <v>82578</v>
      </c>
      <c r="E56" s="73">
        <v>98316</v>
      </c>
      <c r="F56" s="73">
        <v>122069</v>
      </c>
      <c r="G56" s="73">
        <v>122519</v>
      </c>
      <c r="H56" s="73">
        <v>131640</v>
      </c>
      <c r="I56" s="73">
        <v>144316</v>
      </c>
      <c r="J56" s="73">
        <v>156220</v>
      </c>
      <c r="K56" s="73">
        <v>173881</v>
      </c>
      <c r="L56" s="77">
        <v>194188</v>
      </c>
      <c r="M56" s="73">
        <v>183836</v>
      </c>
      <c r="N56" s="73">
        <v>187020</v>
      </c>
      <c r="O56" s="74">
        <v>191827</v>
      </c>
      <c r="P56" s="74">
        <v>203369</v>
      </c>
      <c r="Q56" s="74">
        <v>216113</v>
      </c>
      <c r="R56" s="74">
        <v>213032</v>
      </c>
    </row>
    <row r="57" spans="1:18" x14ac:dyDescent="0.25">
      <c r="A57" s="2">
        <v>56</v>
      </c>
      <c r="B57" t="s">
        <v>56</v>
      </c>
      <c r="C57" s="73">
        <v>31659</v>
      </c>
      <c r="D57" s="73">
        <v>38397</v>
      </c>
      <c r="E57" s="73">
        <v>47045</v>
      </c>
      <c r="F57" s="73">
        <v>61712</v>
      </c>
      <c r="G57" s="73">
        <v>63659</v>
      </c>
      <c r="H57" s="73">
        <v>72856</v>
      </c>
      <c r="I57" s="73">
        <v>85312</v>
      </c>
      <c r="J57" s="73">
        <v>97340</v>
      </c>
      <c r="K57" s="73">
        <v>106880</v>
      </c>
      <c r="L57" s="77">
        <v>120725</v>
      </c>
      <c r="M57" s="73">
        <v>126139</v>
      </c>
      <c r="N57" s="73">
        <v>128604</v>
      </c>
      <c r="O57" s="74">
        <v>134843</v>
      </c>
      <c r="P57" s="74">
        <v>145738</v>
      </c>
      <c r="Q57" s="74">
        <v>155017</v>
      </c>
      <c r="R57" s="74">
        <v>164665</v>
      </c>
    </row>
    <row r="58" spans="1:18" ht="15.75" thickBot="1" x14ac:dyDescent="0.3">
      <c r="A58" s="3">
        <v>57</v>
      </c>
      <c r="B58" t="s">
        <v>57</v>
      </c>
      <c r="C58" s="73">
        <v>30247</v>
      </c>
      <c r="D58" s="73">
        <v>40625</v>
      </c>
      <c r="E58" s="73">
        <v>54073</v>
      </c>
      <c r="F58" s="73">
        <v>65340</v>
      </c>
      <c r="G58" s="73">
        <v>67442</v>
      </c>
      <c r="H58" s="76">
        <v>80081</v>
      </c>
      <c r="I58" s="73">
        <v>89749</v>
      </c>
      <c r="J58" s="73">
        <v>103846</v>
      </c>
      <c r="K58" s="73">
        <v>116681</v>
      </c>
      <c r="L58" s="77">
        <v>129143</v>
      </c>
      <c r="M58" s="73">
        <v>134072</v>
      </c>
      <c r="N58" s="73">
        <v>134607</v>
      </c>
      <c r="O58" s="74">
        <v>142641</v>
      </c>
      <c r="P58" s="74">
        <v>150860</v>
      </c>
      <c r="Q58" s="74">
        <v>161005</v>
      </c>
      <c r="R58" s="74">
        <v>165299</v>
      </c>
    </row>
    <row r="59" spans="1:18" x14ac:dyDescent="0.25">
      <c r="A59" s="1">
        <v>58</v>
      </c>
      <c r="B59" t="s">
        <v>58</v>
      </c>
      <c r="C59" s="73">
        <v>29687</v>
      </c>
      <c r="D59" s="73">
        <v>40918</v>
      </c>
      <c r="E59" s="73">
        <v>56608</v>
      </c>
      <c r="F59" s="73">
        <v>76631</v>
      </c>
      <c r="G59" s="73">
        <v>71895</v>
      </c>
      <c r="H59" s="73">
        <v>79459</v>
      </c>
      <c r="I59" s="73">
        <v>88641</v>
      </c>
      <c r="J59" s="73">
        <v>98070</v>
      </c>
      <c r="K59" s="73">
        <v>107661</v>
      </c>
      <c r="L59" s="77">
        <v>117095</v>
      </c>
      <c r="M59" s="73">
        <v>122152</v>
      </c>
      <c r="N59" s="73">
        <v>121596</v>
      </c>
      <c r="O59" s="74">
        <v>127864</v>
      </c>
      <c r="P59" s="74">
        <v>136191</v>
      </c>
      <c r="Q59" s="74">
        <v>144802</v>
      </c>
      <c r="R59" s="74">
        <v>147332</v>
      </c>
    </row>
    <row r="60" spans="1:18" x14ac:dyDescent="0.25">
      <c r="A60" s="2">
        <v>59</v>
      </c>
      <c r="B60" t="s">
        <v>59</v>
      </c>
      <c r="C60" s="73">
        <v>53599</v>
      </c>
      <c r="D60" s="73">
        <v>68875</v>
      </c>
      <c r="E60" s="73">
        <v>91251</v>
      </c>
      <c r="F60" s="73">
        <v>119954</v>
      </c>
      <c r="G60" s="73">
        <v>125889</v>
      </c>
      <c r="H60" s="73">
        <v>150322</v>
      </c>
      <c r="I60" s="73">
        <v>177705</v>
      </c>
      <c r="J60" s="73">
        <v>199179</v>
      </c>
      <c r="K60" s="73">
        <v>220916</v>
      </c>
      <c r="L60" s="77">
        <v>230949</v>
      </c>
      <c r="M60" s="73">
        <v>239283</v>
      </c>
      <c r="N60" s="73">
        <v>243477</v>
      </c>
      <c r="O60" s="74">
        <v>249170</v>
      </c>
      <c r="P60" s="74">
        <v>261708</v>
      </c>
      <c r="Q60" s="74">
        <v>277509</v>
      </c>
      <c r="R60" s="74">
        <v>259875</v>
      </c>
    </row>
    <row r="61" spans="1:18" x14ac:dyDescent="0.25">
      <c r="A61" s="2">
        <v>60</v>
      </c>
      <c r="B61" t="s">
        <v>60</v>
      </c>
      <c r="C61" s="73">
        <v>73480</v>
      </c>
      <c r="D61" s="73">
        <v>97382</v>
      </c>
      <c r="E61" s="73">
        <v>125393</v>
      </c>
      <c r="F61" s="73">
        <v>163387</v>
      </c>
      <c r="G61" s="73">
        <v>149553</v>
      </c>
      <c r="H61" s="73">
        <v>149451</v>
      </c>
      <c r="I61" s="73">
        <v>167359</v>
      </c>
      <c r="J61" s="73">
        <v>187416</v>
      </c>
      <c r="K61" s="73">
        <v>211812</v>
      </c>
      <c r="L61" s="77">
        <v>223265</v>
      </c>
      <c r="M61" s="73">
        <v>230504</v>
      </c>
      <c r="N61" s="73">
        <v>226307</v>
      </c>
      <c r="O61" s="74">
        <v>238401</v>
      </c>
      <c r="P61" s="74">
        <v>254256</v>
      </c>
      <c r="Q61" s="74">
        <v>262514</v>
      </c>
      <c r="R61" s="74">
        <v>262970</v>
      </c>
    </row>
    <row r="62" spans="1:18" ht="15.75" thickBot="1" x14ac:dyDescent="0.3">
      <c r="A62" s="3">
        <v>61</v>
      </c>
      <c r="B62" t="s">
        <v>61</v>
      </c>
      <c r="C62" s="76">
        <v>41497</v>
      </c>
      <c r="D62" s="76">
        <v>56384</v>
      </c>
      <c r="E62" s="76">
        <v>71632</v>
      </c>
      <c r="F62" s="76">
        <v>98990</v>
      </c>
      <c r="G62" s="76">
        <v>99272</v>
      </c>
      <c r="H62" s="76">
        <v>107348</v>
      </c>
      <c r="I62" s="76">
        <v>121151</v>
      </c>
      <c r="J62" s="76">
        <v>133717</v>
      </c>
      <c r="K62" s="76">
        <v>145198</v>
      </c>
      <c r="L62" s="76">
        <v>154226</v>
      </c>
      <c r="M62" s="73">
        <v>146636</v>
      </c>
      <c r="N62" s="76">
        <v>140989</v>
      </c>
      <c r="O62" s="78">
        <v>140782</v>
      </c>
      <c r="P62" s="78">
        <v>148838</v>
      </c>
      <c r="Q62" s="78">
        <v>158480</v>
      </c>
      <c r="R62" s="74">
        <v>173367</v>
      </c>
    </row>
    <row r="63" spans="1:18" x14ac:dyDescent="0.25">
      <c r="A63" s="1">
        <v>62</v>
      </c>
      <c r="B63" t="s">
        <v>62</v>
      </c>
      <c r="C63" s="73">
        <v>19397</v>
      </c>
      <c r="D63" s="73">
        <v>25204</v>
      </c>
      <c r="E63" s="73">
        <v>35406</v>
      </c>
      <c r="F63" s="73">
        <v>50712</v>
      </c>
      <c r="G63" s="73">
        <v>51895</v>
      </c>
      <c r="H63" s="73">
        <v>58829</v>
      </c>
      <c r="I63" s="73">
        <v>68981</v>
      </c>
      <c r="J63" s="73">
        <v>75583</v>
      </c>
      <c r="K63" s="73">
        <v>83988</v>
      </c>
      <c r="L63" s="77">
        <v>97474</v>
      </c>
      <c r="M63" s="73">
        <v>100956</v>
      </c>
      <c r="N63" s="73">
        <v>105669</v>
      </c>
      <c r="O63" s="78">
        <v>112034</v>
      </c>
      <c r="P63" s="78">
        <v>118964</v>
      </c>
      <c r="Q63" s="78">
        <v>132257</v>
      </c>
      <c r="R63" s="74">
        <v>135351</v>
      </c>
    </row>
    <row r="64" spans="1:18" x14ac:dyDescent="0.25">
      <c r="A64" s="2">
        <v>63</v>
      </c>
      <c r="B64" t="s">
        <v>63</v>
      </c>
      <c r="C64" s="73">
        <v>36576</v>
      </c>
      <c r="D64" s="73">
        <v>43956</v>
      </c>
      <c r="E64" s="73">
        <v>56727</v>
      </c>
      <c r="F64" s="73">
        <v>71074</v>
      </c>
      <c r="G64" s="73">
        <v>78333</v>
      </c>
      <c r="H64" s="73">
        <v>87923</v>
      </c>
      <c r="I64" s="73">
        <v>103903</v>
      </c>
      <c r="J64" s="73">
        <v>116893</v>
      </c>
      <c r="K64" s="73">
        <v>134060</v>
      </c>
      <c r="L64" s="77">
        <v>141496</v>
      </c>
      <c r="M64" s="73">
        <v>165812</v>
      </c>
      <c r="N64" s="73">
        <v>170767</v>
      </c>
      <c r="O64" s="78">
        <v>173586</v>
      </c>
      <c r="P64" s="78">
        <v>180022</v>
      </c>
      <c r="Q64" s="74">
        <v>192070</v>
      </c>
      <c r="R64" s="74">
        <v>199747</v>
      </c>
    </row>
    <row r="65" spans="1:18" x14ac:dyDescent="0.25">
      <c r="A65" s="2">
        <v>64</v>
      </c>
      <c r="B65" t="s">
        <v>64</v>
      </c>
      <c r="C65" s="73">
        <v>18170</v>
      </c>
      <c r="D65" s="73">
        <v>21822</v>
      </c>
      <c r="E65" s="73">
        <v>25594</v>
      </c>
      <c r="F65" s="73">
        <v>29887</v>
      </c>
      <c r="G65" s="73">
        <v>32469</v>
      </c>
      <c r="H65" s="73">
        <v>38643</v>
      </c>
      <c r="I65" s="73">
        <v>44509</v>
      </c>
      <c r="J65" s="73">
        <v>48949</v>
      </c>
      <c r="K65" s="73">
        <v>54096</v>
      </c>
      <c r="L65" s="77">
        <v>60063</v>
      </c>
      <c r="M65" s="73">
        <v>68576</v>
      </c>
      <c r="N65" s="73">
        <v>67775</v>
      </c>
      <c r="O65" s="74">
        <v>69158</v>
      </c>
      <c r="P65" s="74">
        <v>73214</v>
      </c>
      <c r="Q65" s="74">
        <v>80283</v>
      </c>
      <c r="R65" s="74">
        <v>76921</v>
      </c>
    </row>
    <row r="66" spans="1:18" x14ac:dyDescent="0.25">
      <c r="A66" s="2">
        <v>65</v>
      </c>
      <c r="B66" t="s">
        <v>65</v>
      </c>
      <c r="C66" s="73">
        <v>22685</v>
      </c>
      <c r="D66" s="73">
        <v>30112</v>
      </c>
      <c r="E66" s="73">
        <v>39695</v>
      </c>
      <c r="F66" s="73">
        <v>45473</v>
      </c>
      <c r="G66" s="73">
        <v>46848</v>
      </c>
      <c r="H66" s="73">
        <v>48127</v>
      </c>
      <c r="I66" s="73">
        <v>86496</v>
      </c>
      <c r="J66" s="73">
        <v>106164</v>
      </c>
      <c r="K66" s="73">
        <v>113937</v>
      </c>
      <c r="L66" s="77">
        <v>123176</v>
      </c>
      <c r="M66" s="73">
        <v>137261</v>
      </c>
      <c r="N66" s="73">
        <v>138946</v>
      </c>
      <c r="O66" s="74">
        <v>147255</v>
      </c>
      <c r="P66" s="74">
        <v>156273</v>
      </c>
      <c r="Q66" s="74">
        <v>170197</v>
      </c>
      <c r="R66" s="74">
        <v>175577</v>
      </c>
    </row>
    <row r="67" spans="1:18" x14ac:dyDescent="0.25">
      <c r="A67" s="2">
        <v>66</v>
      </c>
      <c r="B67" t="s">
        <v>66</v>
      </c>
      <c r="C67" s="73">
        <v>32124</v>
      </c>
      <c r="D67" s="73">
        <v>41690</v>
      </c>
      <c r="E67" s="73">
        <v>52808</v>
      </c>
      <c r="F67" s="73">
        <v>68722</v>
      </c>
      <c r="G67" s="73">
        <v>63761</v>
      </c>
      <c r="H67" s="73">
        <v>74478</v>
      </c>
      <c r="I67" s="73">
        <v>90402</v>
      </c>
      <c r="J67" s="73">
        <v>105754</v>
      </c>
      <c r="K67" s="73">
        <v>118096</v>
      </c>
      <c r="L67" s="77">
        <v>128376</v>
      </c>
      <c r="M67" s="73">
        <v>134925</v>
      </c>
      <c r="N67" s="73">
        <v>137844</v>
      </c>
      <c r="O67" s="74">
        <v>143873</v>
      </c>
      <c r="P67" s="74">
        <v>150444</v>
      </c>
      <c r="Q67" s="74">
        <v>159514</v>
      </c>
      <c r="R67" s="74">
        <v>153605</v>
      </c>
    </row>
    <row r="68" spans="1:18" x14ac:dyDescent="0.25">
      <c r="A68" s="2">
        <v>67</v>
      </c>
      <c r="B68" t="s">
        <v>73</v>
      </c>
      <c r="C68" s="75">
        <v>34880</v>
      </c>
      <c r="D68" s="75">
        <v>42079</v>
      </c>
      <c r="E68" s="73">
        <v>50863</v>
      </c>
      <c r="F68" s="73">
        <v>67416</v>
      </c>
      <c r="G68" s="73">
        <v>75347</v>
      </c>
      <c r="H68" s="73">
        <v>84944</v>
      </c>
      <c r="I68" s="73">
        <v>96453</v>
      </c>
      <c r="J68" s="73">
        <v>105860</v>
      </c>
      <c r="K68" s="73">
        <v>116140</v>
      </c>
      <c r="L68" s="77">
        <v>124928</v>
      </c>
      <c r="M68" s="73">
        <v>135400</v>
      </c>
      <c r="N68" s="73">
        <v>142227</v>
      </c>
      <c r="O68" s="78">
        <v>147016</v>
      </c>
      <c r="P68" s="78">
        <v>154257</v>
      </c>
      <c r="Q68" s="78">
        <v>163264</v>
      </c>
      <c r="R68" s="74">
        <v>164741</v>
      </c>
    </row>
    <row r="69" spans="1:18" x14ac:dyDescent="0.25">
      <c r="A69" s="2">
        <v>68</v>
      </c>
      <c r="B69" t="s">
        <v>67</v>
      </c>
      <c r="C69" s="73">
        <v>43428</v>
      </c>
      <c r="D69" s="76">
        <v>51277</v>
      </c>
      <c r="E69" s="73">
        <v>73880</v>
      </c>
      <c r="F69" s="73">
        <v>95504</v>
      </c>
      <c r="G69" s="73">
        <v>96540</v>
      </c>
      <c r="H69" s="73">
        <v>110435</v>
      </c>
      <c r="I69" s="73">
        <v>127607</v>
      </c>
      <c r="J69" s="73">
        <v>149112</v>
      </c>
      <c r="K69" s="73">
        <v>162148</v>
      </c>
      <c r="L69" s="77">
        <v>171796</v>
      </c>
      <c r="M69" s="73">
        <v>165372</v>
      </c>
      <c r="N69" s="73">
        <v>174885</v>
      </c>
      <c r="O69" s="74">
        <v>177692</v>
      </c>
      <c r="P69" s="74">
        <v>187102</v>
      </c>
      <c r="Q69" s="78">
        <v>201665</v>
      </c>
      <c r="R69" s="74">
        <v>196888</v>
      </c>
    </row>
    <row r="70" spans="1:18" x14ac:dyDescent="0.25">
      <c r="A70" s="2">
        <v>69</v>
      </c>
      <c r="B70" t="s">
        <v>68</v>
      </c>
      <c r="C70" s="76">
        <v>41128</v>
      </c>
      <c r="D70" s="76">
        <v>50792</v>
      </c>
      <c r="E70" s="73">
        <v>60257</v>
      </c>
      <c r="F70" s="73">
        <v>76621</v>
      </c>
      <c r="G70" s="73">
        <v>76417</v>
      </c>
      <c r="H70" s="73">
        <v>81190</v>
      </c>
      <c r="I70" s="73">
        <v>93088</v>
      </c>
      <c r="J70" s="73">
        <v>103165</v>
      </c>
      <c r="K70" s="73">
        <v>110126</v>
      </c>
      <c r="L70" s="77">
        <v>118287</v>
      </c>
      <c r="M70" s="73">
        <v>120490</v>
      </c>
      <c r="N70" s="73">
        <v>126558</v>
      </c>
      <c r="O70" s="74">
        <v>133790</v>
      </c>
      <c r="P70" s="74">
        <v>144951</v>
      </c>
      <c r="Q70" s="74">
        <v>160562</v>
      </c>
      <c r="R70" s="74">
        <v>164879</v>
      </c>
    </row>
    <row r="71" spans="1:18" x14ac:dyDescent="0.25">
      <c r="A71" s="2">
        <v>70</v>
      </c>
      <c r="B71" t="s">
        <v>69</v>
      </c>
      <c r="C71" s="73">
        <v>49496</v>
      </c>
      <c r="D71" s="73">
        <v>63190</v>
      </c>
      <c r="E71" s="73">
        <v>79192</v>
      </c>
      <c r="F71" s="73">
        <v>97011</v>
      </c>
      <c r="G71" s="73">
        <v>83026</v>
      </c>
      <c r="H71" s="73">
        <v>93649</v>
      </c>
      <c r="I71" s="73">
        <v>104236</v>
      </c>
      <c r="J71" s="73">
        <v>115686</v>
      </c>
      <c r="K71" s="73">
        <v>125935</v>
      </c>
      <c r="L71" s="77">
        <v>122765</v>
      </c>
      <c r="M71" s="73">
        <v>126178</v>
      </c>
      <c r="N71" s="73">
        <v>124997</v>
      </c>
      <c r="O71" s="74">
        <v>131401</v>
      </c>
      <c r="P71" s="74">
        <v>140292</v>
      </c>
      <c r="Q71" s="74">
        <v>150973</v>
      </c>
      <c r="R71" s="74">
        <v>153033</v>
      </c>
    </row>
    <row r="72" spans="1:18" x14ac:dyDescent="0.25">
      <c r="A72" s="2">
        <v>71</v>
      </c>
      <c r="B72" t="s">
        <v>70</v>
      </c>
      <c r="C72" s="73">
        <v>52658</v>
      </c>
      <c r="D72" s="73">
        <v>66745</v>
      </c>
      <c r="E72" s="73">
        <v>80948</v>
      </c>
      <c r="F72" s="73">
        <v>102349</v>
      </c>
      <c r="G72" s="73">
        <v>105275</v>
      </c>
      <c r="H72" s="73">
        <v>117183</v>
      </c>
      <c r="I72" s="73">
        <v>137594</v>
      </c>
      <c r="J72" s="73">
        <v>147816</v>
      </c>
      <c r="K72" s="73">
        <v>159368</v>
      </c>
      <c r="L72" s="77">
        <v>168581</v>
      </c>
      <c r="M72" s="73">
        <v>161317</v>
      </c>
      <c r="N72" s="73">
        <v>162400</v>
      </c>
      <c r="O72" s="74">
        <v>170030</v>
      </c>
      <c r="P72" s="74">
        <v>179643</v>
      </c>
      <c r="Q72" s="74">
        <v>191413</v>
      </c>
      <c r="R72" s="74">
        <v>197028</v>
      </c>
    </row>
    <row r="73" spans="1:18" x14ac:dyDescent="0.25">
      <c r="A73" s="2">
        <v>72</v>
      </c>
      <c r="B73" t="s">
        <v>71</v>
      </c>
      <c r="C73" s="73">
        <v>40858</v>
      </c>
      <c r="D73" s="73">
        <v>50004</v>
      </c>
      <c r="E73" s="73">
        <v>63487</v>
      </c>
      <c r="F73" s="73">
        <v>81518</v>
      </c>
      <c r="G73" s="73">
        <v>83336</v>
      </c>
      <c r="H73" s="73">
        <v>93630</v>
      </c>
      <c r="I73" s="73">
        <v>115704</v>
      </c>
      <c r="J73" s="73">
        <v>133668</v>
      </c>
      <c r="K73" s="73">
        <v>149230</v>
      </c>
      <c r="L73" s="77">
        <v>158990</v>
      </c>
      <c r="M73" s="73">
        <v>155026</v>
      </c>
      <c r="N73" s="73">
        <v>147735</v>
      </c>
      <c r="O73" s="74">
        <v>161071</v>
      </c>
      <c r="P73" s="74">
        <v>169335</v>
      </c>
      <c r="Q73" s="74">
        <v>184179</v>
      </c>
      <c r="R73" s="74">
        <v>185769</v>
      </c>
    </row>
    <row r="74" spans="1:18" ht="15.75" thickBot="1" x14ac:dyDescent="0.3">
      <c r="A74" s="3">
        <v>73</v>
      </c>
      <c r="B74" t="s">
        <v>72</v>
      </c>
      <c r="C74" s="73">
        <v>45133</v>
      </c>
      <c r="D74" s="73">
        <v>54809</v>
      </c>
      <c r="E74" s="73">
        <v>62258</v>
      </c>
      <c r="F74" s="73">
        <v>72699</v>
      </c>
      <c r="G74" s="73">
        <v>72665</v>
      </c>
      <c r="H74" s="73">
        <v>79010</v>
      </c>
      <c r="I74" s="73">
        <v>88355</v>
      </c>
      <c r="J74" s="73">
        <v>99139</v>
      </c>
      <c r="K74" s="73">
        <v>110583</v>
      </c>
      <c r="L74" s="77">
        <v>115052</v>
      </c>
      <c r="M74" s="73">
        <v>124791</v>
      </c>
      <c r="N74" s="73">
        <v>131138</v>
      </c>
      <c r="O74" s="74">
        <v>137307</v>
      </c>
      <c r="P74" s="74">
        <v>147085</v>
      </c>
      <c r="Q74" s="74">
        <v>158968</v>
      </c>
      <c r="R74" s="74">
        <v>162359</v>
      </c>
    </row>
    <row r="75" spans="1:18" x14ac:dyDescent="0.25">
      <c r="A75" s="1">
        <v>74</v>
      </c>
      <c r="B75" t="s">
        <v>74</v>
      </c>
      <c r="C75" s="76">
        <v>55049</v>
      </c>
      <c r="D75" s="76">
        <v>66994</v>
      </c>
      <c r="E75" s="73">
        <v>77910</v>
      </c>
      <c r="F75" s="73">
        <v>92409</v>
      </c>
      <c r="G75" s="73">
        <v>105565</v>
      </c>
      <c r="H75" s="73">
        <v>113874</v>
      </c>
      <c r="I75" s="73">
        <v>124938</v>
      </c>
      <c r="J75" s="73">
        <v>135106</v>
      </c>
      <c r="K75" s="73">
        <v>149556</v>
      </c>
      <c r="L75" s="77">
        <v>173477</v>
      </c>
      <c r="M75" s="73">
        <v>196688</v>
      </c>
      <c r="N75" s="73">
        <v>211758</v>
      </c>
      <c r="O75" s="78">
        <v>220700</v>
      </c>
      <c r="P75" s="78">
        <v>236872</v>
      </c>
      <c r="Q75" s="78">
        <v>254681</v>
      </c>
      <c r="R75" s="74">
        <v>250679</v>
      </c>
    </row>
    <row r="76" spans="1:18" x14ac:dyDescent="0.25">
      <c r="A76" s="2">
        <v>75</v>
      </c>
      <c r="B76" t="s">
        <v>75</v>
      </c>
      <c r="C76" s="73">
        <v>41124</v>
      </c>
      <c r="D76" s="76">
        <v>50608</v>
      </c>
      <c r="E76" s="73">
        <v>62403</v>
      </c>
      <c r="F76" s="73">
        <v>77190</v>
      </c>
      <c r="G76" s="73">
        <v>89249</v>
      </c>
      <c r="H76" s="73">
        <v>104578</v>
      </c>
      <c r="I76" s="73">
        <v>117384</v>
      </c>
      <c r="J76" s="73">
        <v>125603</v>
      </c>
      <c r="K76" s="73">
        <v>132314</v>
      </c>
      <c r="L76" s="77">
        <v>143851</v>
      </c>
      <c r="M76" s="73">
        <v>159247</v>
      </c>
      <c r="N76" s="73">
        <v>164978</v>
      </c>
      <c r="O76" s="74">
        <v>171259</v>
      </c>
      <c r="P76" s="74">
        <v>181491</v>
      </c>
      <c r="Q76" s="74">
        <v>197448</v>
      </c>
      <c r="R76" s="74">
        <v>202352</v>
      </c>
    </row>
    <row r="77" spans="1:18" x14ac:dyDescent="0.25">
      <c r="A77" s="2">
        <v>76</v>
      </c>
      <c r="B77" t="s">
        <v>76</v>
      </c>
      <c r="C77" s="73">
        <v>41464</v>
      </c>
      <c r="D77" s="73">
        <v>50468</v>
      </c>
      <c r="E77" s="73">
        <v>60393</v>
      </c>
      <c r="F77" s="73">
        <v>75310</v>
      </c>
      <c r="G77" s="73">
        <v>82913</v>
      </c>
      <c r="H77" s="73">
        <v>90592</v>
      </c>
      <c r="I77" s="73">
        <v>100306</v>
      </c>
      <c r="J77" s="73">
        <v>110100</v>
      </c>
      <c r="K77" s="73">
        <v>128066</v>
      </c>
      <c r="L77" s="77">
        <v>147683</v>
      </c>
      <c r="M77" s="73">
        <v>176963</v>
      </c>
      <c r="N77" s="73">
        <v>183787</v>
      </c>
      <c r="O77" s="74">
        <v>195525</v>
      </c>
      <c r="P77" s="74">
        <v>212958</v>
      </c>
      <c r="Q77" s="74">
        <v>235572</v>
      </c>
      <c r="R77" s="74">
        <v>230378</v>
      </c>
    </row>
    <row r="78" spans="1:18" x14ac:dyDescent="0.25">
      <c r="A78" s="2">
        <v>77</v>
      </c>
      <c r="B78" t="s">
        <v>77</v>
      </c>
      <c r="C78" s="73">
        <v>42703</v>
      </c>
      <c r="D78" s="73">
        <v>52745</v>
      </c>
      <c r="E78" s="73">
        <v>65076</v>
      </c>
      <c r="F78" s="73">
        <v>79111</v>
      </c>
      <c r="G78" s="73">
        <v>91733</v>
      </c>
      <c r="H78" s="73">
        <v>107731</v>
      </c>
      <c r="I78" s="73">
        <v>124477</v>
      </c>
      <c r="J78" s="73">
        <v>137596</v>
      </c>
      <c r="K78" s="73">
        <v>156908</v>
      </c>
      <c r="L78" s="77">
        <v>178673</v>
      </c>
      <c r="M78" s="73">
        <v>203200</v>
      </c>
      <c r="N78" s="73">
        <v>218227</v>
      </c>
      <c r="O78" s="74">
        <v>231134</v>
      </c>
      <c r="P78" s="74">
        <v>244591</v>
      </c>
      <c r="Q78" s="74">
        <v>262321</v>
      </c>
      <c r="R78" s="74">
        <v>277942</v>
      </c>
    </row>
    <row r="79" spans="1:18" x14ac:dyDescent="0.25">
      <c r="A79" s="2">
        <v>78</v>
      </c>
      <c r="B79" t="s">
        <v>78</v>
      </c>
      <c r="C79" s="73">
        <v>32207</v>
      </c>
      <c r="D79" s="73">
        <v>39918</v>
      </c>
      <c r="E79" s="73">
        <v>48012</v>
      </c>
      <c r="F79" s="73">
        <v>62199</v>
      </c>
      <c r="G79" s="73">
        <v>68969</v>
      </c>
      <c r="H79" s="73">
        <v>80622</v>
      </c>
      <c r="I79" s="73">
        <v>104233</v>
      </c>
      <c r="J79" s="73">
        <v>127200</v>
      </c>
      <c r="K79" s="73">
        <v>145301</v>
      </c>
      <c r="L79" s="77">
        <v>163781</v>
      </c>
      <c r="M79" s="73">
        <v>182491</v>
      </c>
      <c r="N79" s="73">
        <v>191523</v>
      </c>
      <c r="O79" s="74">
        <v>202038</v>
      </c>
      <c r="P79" s="74">
        <v>214688</v>
      </c>
      <c r="Q79" s="74">
        <v>231113</v>
      </c>
      <c r="R79" s="74">
        <v>245233</v>
      </c>
    </row>
    <row r="80" spans="1:18" x14ac:dyDescent="0.25">
      <c r="A80" s="2">
        <v>79</v>
      </c>
      <c r="B80" t="s">
        <v>79</v>
      </c>
      <c r="C80" s="73">
        <v>40715</v>
      </c>
      <c r="D80" s="73">
        <v>49034</v>
      </c>
      <c r="E80" s="73">
        <v>59080</v>
      </c>
      <c r="F80" s="73">
        <v>69284</v>
      </c>
      <c r="G80" s="73">
        <v>81412</v>
      </c>
      <c r="H80" s="73">
        <v>93569</v>
      </c>
      <c r="I80" s="73">
        <v>109333</v>
      </c>
      <c r="J80" s="73">
        <v>126320</v>
      </c>
      <c r="K80" s="73">
        <v>153398</v>
      </c>
      <c r="L80" s="77">
        <v>174694</v>
      </c>
      <c r="M80" s="73">
        <v>187765</v>
      </c>
      <c r="N80" s="73">
        <v>202541</v>
      </c>
      <c r="O80" s="74">
        <v>213558</v>
      </c>
      <c r="P80" s="74">
        <v>226312</v>
      </c>
      <c r="Q80" s="74">
        <v>240162</v>
      </c>
      <c r="R80" s="74">
        <v>245817</v>
      </c>
    </row>
    <row r="81" spans="1:18" x14ac:dyDescent="0.25">
      <c r="A81" s="2">
        <v>80</v>
      </c>
      <c r="B81" t="s">
        <v>80</v>
      </c>
      <c r="C81" s="73">
        <v>59402</v>
      </c>
      <c r="D81" s="73">
        <v>81304</v>
      </c>
      <c r="E81" s="73">
        <v>96855</v>
      </c>
      <c r="F81" s="73">
        <v>132121</v>
      </c>
      <c r="G81" s="73">
        <v>154402</v>
      </c>
      <c r="H81" s="73">
        <v>181275</v>
      </c>
      <c r="I81" s="73">
        <v>196320</v>
      </c>
      <c r="J81" s="73">
        <v>209149</v>
      </c>
      <c r="K81" s="73">
        <v>228920</v>
      </c>
      <c r="L81" s="77">
        <v>250253</v>
      </c>
      <c r="M81" s="73">
        <v>272527</v>
      </c>
      <c r="N81" s="73">
        <v>276476</v>
      </c>
      <c r="O81" s="74">
        <v>289573</v>
      </c>
      <c r="P81" s="74">
        <v>303112</v>
      </c>
      <c r="Q81" s="74">
        <v>327601</v>
      </c>
      <c r="R81" s="74">
        <v>338787</v>
      </c>
    </row>
    <row r="82" spans="1:18" x14ac:dyDescent="0.25">
      <c r="A82" s="2">
        <v>81</v>
      </c>
      <c r="B82" t="s">
        <v>81</v>
      </c>
      <c r="C82" s="73">
        <v>38338</v>
      </c>
      <c r="D82" s="73">
        <v>43666</v>
      </c>
      <c r="E82" s="73">
        <v>49470</v>
      </c>
      <c r="F82" s="73">
        <v>61190</v>
      </c>
      <c r="G82" s="73">
        <v>72469</v>
      </c>
      <c r="H82" s="73">
        <v>84268</v>
      </c>
      <c r="I82" s="73">
        <v>88141</v>
      </c>
      <c r="J82" s="73">
        <v>98243</v>
      </c>
      <c r="K82" s="73">
        <v>108408</v>
      </c>
      <c r="L82" s="77">
        <v>117276</v>
      </c>
      <c r="M82" s="73">
        <v>133748</v>
      </c>
      <c r="N82" s="73">
        <v>134162</v>
      </c>
      <c r="O82" s="74">
        <v>138444</v>
      </c>
      <c r="P82" s="74">
        <v>149572</v>
      </c>
      <c r="Q82" s="74">
        <v>165356</v>
      </c>
      <c r="R82" s="74">
        <v>168066</v>
      </c>
    </row>
    <row r="83" spans="1:18" ht="15.75" thickBot="1" x14ac:dyDescent="0.3">
      <c r="A83" s="3">
        <v>82</v>
      </c>
      <c r="B83" t="s">
        <v>82</v>
      </c>
      <c r="C83" s="73">
        <v>42634</v>
      </c>
      <c r="D83" s="73">
        <v>47051</v>
      </c>
      <c r="E83" s="73">
        <v>54608</v>
      </c>
      <c r="F83" s="73">
        <v>69739</v>
      </c>
      <c r="G83" s="73">
        <v>101853</v>
      </c>
      <c r="H83" s="73">
        <v>113355</v>
      </c>
      <c r="I83" s="73">
        <v>118075</v>
      </c>
      <c r="J83" s="73">
        <v>113267</v>
      </c>
      <c r="K83" s="73">
        <v>108218</v>
      </c>
      <c r="L83" s="77">
        <v>102795</v>
      </c>
      <c r="M83" s="73">
        <v>119335</v>
      </c>
      <c r="N83" s="73">
        <v>133311</v>
      </c>
      <c r="O83" s="74">
        <v>183781</v>
      </c>
      <c r="P83" s="74">
        <v>193391</v>
      </c>
      <c r="Q83" s="74">
        <v>209839</v>
      </c>
      <c r="R83" s="74">
        <v>217089</v>
      </c>
    </row>
    <row r="84" spans="1:18" x14ac:dyDescent="0.25">
      <c r="J84">
        <f>AVERAGE(J2:J83)/1000</f>
        <v>122.26828892405062</v>
      </c>
    </row>
    <row r="85" spans="1:18" x14ac:dyDescent="0.25">
      <c r="J85">
        <v>21394.5</v>
      </c>
    </row>
    <row r="86" spans="1:18" x14ac:dyDescent="0.25">
      <c r="J86">
        <f>J85/Население!J84</f>
        <v>0.14924972270085876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Q83"/>
  <sheetViews>
    <sheetView topLeftCell="B1" workbookViewId="0">
      <selection activeCell="Q26" sqref="Q26"/>
    </sheetView>
  </sheetViews>
  <sheetFormatPr defaultRowHeight="15" x14ac:dyDescent="0.25"/>
  <cols>
    <col min="1" max="1" width="35.140625" customWidth="1"/>
    <col min="2" max="2" width="9.28515625" bestFit="1" customWidth="1"/>
    <col min="7" max="7" width="9.5703125" hidden="1" customWidth="1"/>
    <col min="8" max="8" width="9.140625" hidden="1" customWidth="1"/>
    <col min="9" max="9" width="10.7109375" hidden="1" customWidth="1"/>
    <col min="10" max="10" width="11" hidden="1" customWidth="1"/>
    <col min="11" max="11" width="9.28515625" hidden="1" customWidth="1"/>
    <col min="12" max="14" width="9.5703125" hidden="1" customWidth="1"/>
    <col min="15" max="15" width="9.5703125" customWidth="1"/>
    <col min="16" max="16" width="9.5703125" bestFit="1" customWidth="1"/>
    <col min="17" max="17" width="9.7109375" customWidth="1"/>
  </cols>
  <sheetData>
    <row r="1" spans="1:17" x14ac:dyDescent="0.25">
      <c r="B1">
        <v>2005</v>
      </c>
      <c r="C1">
        <v>2006</v>
      </c>
      <c r="D1">
        <v>2007</v>
      </c>
      <c r="E1">
        <v>2008</v>
      </c>
      <c r="F1">
        <v>2009</v>
      </c>
      <c r="G1" s="6">
        <v>2010</v>
      </c>
      <c r="H1" s="6">
        <v>2011</v>
      </c>
      <c r="I1" s="6">
        <v>2012</v>
      </c>
      <c r="J1" s="6">
        <v>2013</v>
      </c>
      <c r="K1" s="6">
        <v>2014</v>
      </c>
      <c r="L1" s="6">
        <v>2015</v>
      </c>
      <c r="M1" s="6">
        <v>2016</v>
      </c>
      <c r="N1" s="7">
        <v>2017</v>
      </c>
      <c r="O1" s="6">
        <v>2018</v>
      </c>
      <c r="P1" s="6">
        <v>2019</v>
      </c>
      <c r="Q1" s="6">
        <v>2020</v>
      </c>
    </row>
    <row r="2" spans="1:17" x14ac:dyDescent="0.25">
      <c r="A2" t="s">
        <v>1</v>
      </c>
      <c r="B2" s="9">
        <v>29146.7</v>
      </c>
      <c r="C2" s="9">
        <v>29918.400000000001</v>
      </c>
      <c r="D2" s="9">
        <v>40944.9</v>
      </c>
      <c r="E2" s="9">
        <v>49544.5</v>
      </c>
      <c r="F2" s="9">
        <v>32657.4</v>
      </c>
      <c r="G2" s="9">
        <v>49210.7</v>
      </c>
      <c r="H2" s="9">
        <v>68274.5</v>
      </c>
      <c r="I2" s="47">
        <v>65768.387000000002</v>
      </c>
      <c r="J2" s="47">
        <v>62135.512000000002</v>
      </c>
      <c r="K2" s="9">
        <v>64154.1</v>
      </c>
      <c r="L2" s="9">
        <v>70130.899999999994</v>
      </c>
      <c r="M2" s="9">
        <v>68450.2</v>
      </c>
      <c r="N2" s="9">
        <v>91302.9</v>
      </c>
      <c r="O2" s="9">
        <v>113826.3</v>
      </c>
      <c r="P2" s="9">
        <v>123934.39999999999</v>
      </c>
      <c r="Q2" s="169">
        <v>115840.1</v>
      </c>
    </row>
    <row r="3" spans="1:17" x14ac:dyDescent="0.25">
      <c r="A3" t="s">
        <v>2</v>
      </c>
      <c r="B3" s="9">
        <v>12035.1</v>
      </c>
      <c r="C3" s="9">
        <v>14554.4</v>
      </c>
      <c r="D3" s="9">
        <v>16402.099999999999</v>
      </c>
      <c r="E3" s="9">
        <v>19203.099999999999</v>
      </c>
      <c r="F3" s="9">
        <v>23579.3</v>
      </c>
      <c r="G3" s="9">
        <v>16953.7</v>
      </c>
      <c r="H3" s="9">
        <v>27756.7</v>
      </c>
      <c r="I3" s="47">
        <v>39246.694000000003</v>
      </c>
      <c r="J3" s="47">
        <v>33348.271000000001</v>
      </c>
      <c r="K3" s="9">
        <v>31807.8</v>
      </c>
      <c r="L3" s="9">
        <v>34120.199999999997</v>
      </c>
      <c r="M3" s="9">
        <v>50382.3</v>
      </c>
      <c r="N3" s="9">
        <v>43957</v>
      </c>
      <c r="O3" s="9">
        <v>51664.5</v>
      </c>
      <c r="P3" s="9">
        <v>53930.2</v>
      </c>
      <c r="Q3" s="169">
        <v>51569</v>
      </c>
    </row>
    <row r="4" spans="1:17" x14ac:dyDescent="0.25">
      <c r="A4" t="s">
        <v>3</v>
      </c>
      <c r="B4" s="9">
        <v>16677.3</v>
      </c>
      <c r="C4" s="9">
        <v>20804</v>
      </c>
      <c r="D4" s="9">
        <v>26815.9</v>
      </c>
      <c r="E4" s="9">
        <v>31287</v>
      </c>
      <c r="F4" s="9">
        <v>32672.7</v>
      </c>
      <c r="G4" s="9">
        <v>37789.300000000003</v>
      </c>
      <c r="H4" s="9">
        <v>43002.1</v>
      </c>
      <c r="I4" s="47">
        <v>46857.760999999999</v>
      </c>
      <c r="J4" s="47">
        <v>48333.760999999999</v>
      </c>
      <c r="K4" s="9">
        <v>54916.6</v>
      </c>
      <c r="L4" s="9">
        <v>58450.400000000001</v>
      </c>
      <c r="M4" s="9">
        <v>66445.5</v>
      </c>
      <c r="N4" s="9">
        <v>70748.2</v>
      </c>
      <c r="O4" s="9">
        <v>79969.399999999994</v>
      </c>
      <c r="P4" s="9">
        <v>84710.5</v>
      </c>
      <c r="Q4" s="169">
        <v>90358.3</v>
      </c>
    </row>
    <row r="5" spans="1:17" x14ac:dyDescent="0.25">
      <c r="A5" t="s">
        <v>4</v>
      </c>
      <c r="B5" s="9">
        <v>20057.8</v>
      </c>
      <c r="C5" s="9">
        <v>24611.3</v>
      </c>
      <c r="D5" s="9">
        <v>32324.3</v>
      </c>
      <c r="E5" s="9">
        <v>38920.9</v>
      </c>
      <c r="F5" s="9">
        <v>36050.400000000001</v>
      </c>
      <c r="G5" s="9">
        <v>43936.800000000003</v>
      </c>
      <c r="H5" s="9">
        <v>52279.4</v>
      </c>
      <c r="I5" s="47">
        <v>64227.108</v>
      </c>
      <c r="J5" s="47">
        <v>71501.313999999998</v>
      </c>
      <c r="K5" s="9">
        <v>75870</v>
      </c>
      <c r="L5" s="9">
        <v>79083.399999999994</v>
      </c>
      <c r="M5" s="9">
        <v>88374.7</v>
      </c>
      <c r="N5" s="9">
        <v>97953.7</v>
      </c>
      <c r="O5" s="9">
        <v>119157.5</v>
      </c>
      <c r="P5" s="9">
        <v>128249.4</v>
      </c>
      <c r="Q5" s="169">
        <v>143605.6</v>
      </c>
    </row>
    <row r="6" spans="1:17" x14ac:dyDescent="0.25">
      <c r="A6" t="s">
        <v>5</v>
      </c>
      <c r="B6" s="9">
        <v>8805.6</v>
      </c>
      <c r="C6" s="9">
        <v>10477</v>
      </c>
      <c r="D6" s="9">
        <v>11966.2</v>
      </c>
      <c r="E6" s="9">
        <v>15100.4</v>
      </c>
      <c r="F6" s="9">
        <v>13396.4</v>
      </c>
      <c r="G6" s="9">
        <v>16955.900000000001</v>
      </c>
      <c r="H6" s="9">
        <v>19197.400000000001</v>
      </c>
      <c r="I6" s="47">
        <v>23329.077000000001</v>
      </c>
      <c r="J6" s="47">
        <v>25138.289000000001</v>
      </c>
      <c r="K6" s="9">
        <v>25998.7</v>
      </c>
      <c r="L6" s="9">
        <v>24670.3</v>
      </c>
      <c r="M6" s="9">
        <v>27582.7</v>
      </c>
      <c r="N6" s="9">
        <v>28865.3</v>
      </c>
      <c r="O6" s="9">
        <v>31386.799999999999</v>
      </c>
      <c r="P6" s="9">
        <v>33519.300000000003</v>
      </c>
      <c r="Q6" s="169">
        <v>36665.1</v>
      </c>
    </row>
    <row r="7" spans="1:17" x14ac:dyDescent="0.25">
      <c r="A7" t="s">
        <v>6</v>
      </c>
      <c r="B7" s="9">
        <v>14500.7</v>
      </c>
      <c r="C7" s="9">
        <v>17768.599999999999</v>
      </c>
      <c r="D7" s="9">
        <v>24256.3</v>
      </c>
      <c r="E7" s="9">
        <v>28754.2</v>
      </c>
      <c r="F7" s="9">
        <v>24007.200000000001</v>
      </c>
      <c r="G7" s="9">
        <v>37545.5</v>
      </c>
      <c r="H7" s="9">
        <v>46068.5</v>
      </c>
      <c r="I7" s="47">
        <v>63758.110999999997</v>
      </c>
      <c r="J7" s="47">
        <v>58061.569000000003</v>
      </c>
      <c r="K7" s="9">
        <v>73699.5</v>
      </c>
      <c r="L7" s="9">
        <v>69421.600000000006</v>
      </c>
      <c r="M7" s="9">
        <v>73629.2</v>
      </c>
      <c r="N7" s="9">
        <v>92060.3</v>
      </c>
      <c r="O7" s="9">
        <v>118337.4</v>
      </c>
      <c r="P7" s="9">
        <v>130909.7</v>
      </c>
      <c r="Q7" s="169">
        <v>149838.1</v>
      </c>
    </row>
    <row r="8" spans="1:17" x14ac:dyDescent="0.25">
      <c r="A8" t="s">
        <v>7</v>
      </c>
      <c r="B8" s="9">
        <v>6690.7</v>
      </c>
      <c r="C8" s="9">
        <v>9059</v>
      </c>
      <c r="D8" s="9">
        <v>10742.6</v>
      </c>
      <c r="E8" s="9">
        <v>13580.9</v>
      </c>
      <c r="F8" s="9">
        <v>12104.2</v>
      </c>
      <c r="G8" s="9">
        <v>14526.9</v>
      </c>
      <c r="H8" s="9">
        <v>15677.5</v>
      </c>
      <c r="I8" s="47">
        <v>18309.89</v>
      </c>
      <c r="J8" s="47">
        <v>19505.256000000001</v>
      </c>
      <c r="K8" s="9">
        <v>20089.5</v>
      </c>
      <c r="L8" s="9">
        <v>20674.099999999999</v>
      </c>
      <c r="M8" s="9">
        <v>22808.5</v>
      </c>
      <c r="N8" s="9">
        <v>25046.6</v>
      </c>
      <c r="O8" s="9">
        <v>29016.2</v>
      </c>
      <c r="P8" s="9">
        <v>34448.800000000003</v>
      </c>
      <c r="Q8" s="169">
        <v>35656</v>
      </c>
    </row>
    <row r="9" spans="1:17" x14ac:dyDescent="0.25">
      <c r="A9" t="s">
        <v>8</v>
      </c>
      <c r="B9" s="9">
        <v>15814.2</v>
      </c>
      <c r="C9" s="9">
        <v>17416.7</v>
      </c>
      <c r="D9" s="9">
        <v>21042.400000000001</v>
      </c>
      <c r="E9" s="9">
        <v>27286.9</v>
      </c>
      <c r="F9" s="9">
        <v>19995.5</v>
      </c>
      <c r="G9" s="9">
        <v>27988.7</v>
      </c>
      <c r="H9" s="9">
        <v>29939</v>
      </c>
      <c r="I9" s="47">
        <v>36551.385999999999</v>
      </c>
      <c r="J9" s="47">
        <v>39794.264000000003</v>
      </c>
      <c r="K9" s="9">
        <v>40511.9</v>
      </c>
      <c r="L9" s="9">
        <v>46013.4</v>
      </c>
      <c r="M9" s="9">
        <v>46769</v>
      </c>
      <c r="N9" s="9">
        <v>56409.2</v>
      </c>
      <c r="O9" s="9">
        <v>57846.6</v>
      </c>
      <c r="P9" s="9">
        <v>66835.199999999997</v>
      </c>
      <c r="Q9" s="169">
        <v>61093.599999999999</v>
      </c>
    </row>
    <row r="10" spans="1:17" x14ac:dyDescent="0.25">
      <c r="A10" t="s">
        <v>9</v>
      </c>
      <c r="B10" s="9">
        <v>24251.4</v>
      </c>
      <c r="C10" s="9">
        <v>31849.1</v>
      </c>
      <c r="D10" s="9">
        <v>27193.599999999999</v>
      </c>
      <c r="E10" s="9">
        <v>30225.5</v>
      </c>
      <c r="F10" s="9">
        <v>21220.799999999999</v>
      </c>
      <c r="G10" s="9">
        <v>21728.9</v>
      </c>
      <c r="H10" s="9">
        <v>20918.8</v>
      </c>
      <c r="I10" s="47">
        <v>24315.208999999999</v>
      </c>
      <c r="J10" s="47">
        <v>28248.248</v>
      </c>
      <c r="K10" s="9">
        <v>39727.4</v>
      </c>
      <c r="L10" s="9">
        <v>46042.9</v>
      </c>
      <c r="M10" s="9">
        <v>43001.5</v>
      </c>
      <c r="N10" s="9">
        <v>43859.3</v>
      </c>
      <c r="O10" s="9">
        <v>55989.3</v>
      </c>
      <c r="P10" s="9">
        <v>59242.6</v>
      </c>
      <c r="Q10" s="169">
        <v>55901.9</v>
      </c>
    </row>
    <row r="11" spans="1:17" x14ac:dyDescent="0.25">
      <c r="A11" t="s">
        <v>10</v>
      </c>
      <c r="B11" s="9">
        <v>157665.9</v>
      </c>
      <c r="C11" s="9">
        <v>198015.6</v>
      </c>
      <c r="D11" s="9">
        <v>276685.09999999998</v>
      </c>
      <c r="E11" s="9">
        <v>337212.7</v>
      </c>
      <c r="F11" s="9">
        <v>317725.3</v>
      </c>
      <c r="G11" s="9">
        <v>379333.3</v>
      </c>
      <c r="H11" s="9">
        <v>444373.8</v>
      </c>
      <c r="I11" s="47">
        <v>510452.37199999997</v>
      </c>
      <c r="J11" s="47">
        <v>545665.85100000002</v>
      </c>
      <c r="K11" s="9">
        <v>600202.4</v>
      </c>
      <c r="L11" s="9">
        <v>643422.9</v>
      </c>
      <c r="M11" s="9">
        <v>734398</v>
      </c>
      <c r="N11" s="9">
        <v>832515.3</v>
      </c>
      <c r="O11" s="9">
        <v>920063.4</v>
      </c>
      <c r="P11" s="9">
        <v>1079593.8999999999</v>
      </c>
      <c r="Q11" s="169">
        <v>1122921.3999999999</v>
      </c>
    </row>
    <row r="12" spans="1:17" x14ac:dyDescent="0.25">
      <c r="A12" t="s">
        <v>11</v>
      </c>
      <c r="B12" s="9">
        <v>10063</v>
      </c>
      <c r="C12" s="9">
        <v>13637.4</v>
      </c>
      <c r="D12" s="9">
        <v>12082.4</v>
      </c>
      <c r="E12" s="9">
        <v>15826.4</v>
      </c>
      <c r="F12" s="9">
        <v>13104.3</v>
      </c>
      <c r="G12" s="9">
        <v>16480.099999999999</v>
      </c>
      <c r="H12" s="9">
        <v>18998.5</v>
      </c>
      <c r="I12" s="47">
        <v>19155.418000000001</v>
      </c>
      <c r="J12" s="47">
        <v>19495.575000000001</v>
      </c>
      <c r="K12" s="9">
        <v>20982.6</v>
      </c>
      <c r="L12" s="9">
        <v>20823</v>
      </c>
      <c r="M12" s="9">
        <v>22784.400000000001</v>
      </c>
      <c r="N12" s="9">
        <v>25365</v>
      </c>
      <c r="O12" s="9">
        <v>24976.2</v>
      </c>
      <c r="P12" s="9">
        <v>27119.8</v>
      </c>
      <c r="Q12" s="169">
        <v>30112.400000000001</v>
      </c>
    </row>
    <row r="13" spans="1:17" x14ac:dyDescent="0.25">
      <c r="A13" t="s">
        <v>12</v>
      </c>
      <c r="B13" s="9">
        <v>19120.3</v>
      </c>
      <c r="C13" s="9">
        <v>24862.7</v>
      </c>
      <c r="D13" s="9">
        <v>30731.200000000001</v>
      </c>
      <c r="E13" s="9">
        <v>36813.4</v>
      </c>
      <c r="F13" s="9">
        <v>36544.300000000003</v>
      </c>
      <c r="G13" s="9">
        <v>44876.9</v>
      </c>
      <c r="H13" s="9">
        <v>56141.599999999999</v>
      </c>
      <c r="I13" s="47">
        <v>68464.342000000004</v>
      </c>
      <c r="J13" s="47">
        <v>90110.516000000003</v>
      </c>
      <c r="K13" s="9">
        <v>76202</v>
      </c>
      <c r="L13" s="9">
        <v>79064.100000000006</v>
      </c>
      <c r="M13" s="9">
        <v>99109.6</v>
      </c>
      <c r="N13" s="9">
        <v>111186.8</v>
      </c>
      <c r="O13" s="9">
        <v>115109.6</v>
      </c>
      <c r="P13" s="9">
        <v>145415.70000000001</v>
      </c>
      <c r="Q13" s="169">
        <v>146441.5</v>
      </c>
    </row>
    <row r="14" spans="1:17" x14ac:dyDescent="0.25">
      <c r="A14" t="s">
        <v>13</v>
      </c>
      <c r="B14" s="9">
        <v>12489.4</v>
      </c>
      <c r="C14" s="9">
        <v>14974</v>
      </c>
      <c r="D14" s="9">
        <v>17591</v>
      </c>
      <c r="E14" s="9">
        <v>19105.900000000001</v>
      </c>
      <c r="F14" s="9">
        <v>18950.3</v>
      </c>
      <c r="G14" s="9">
        <v>22965.5</v>
      </c>
      <c r="H14" s="9">
        <v>25490.7</v>
      </c>
      <c r="I14" s="47">
        <v>28395.307000000001</v>
      </c>
      <c r="J14" s="47">
        <v>34240.353000000003</v>
      </c>
      <c r="K14" s="9">
        <v>39862.6</v>
      </c>
      <c r="L14" s="9">
        <v>44657.7</v>
      </c>
      <c r="M14" s="9">
        <v>44792.6</v>
      </c>
      <c r="N14" s="9">
        <v>45566.7</v>
      </c>
      <c r="O14" s="9">
        <v>48009</v>
      </c>
      <c r="P14" s="9">
        <v>50777</v>
      </c>
      <c r="Q14" s="169">
        <v>62963.5</v>
      </c>
    </row>
    <row r="15" spans="1:17" x14ac:dyDescent="0.25">
      <c r="A15" t="s">
        <v>14</v>
      </c>
      <c r="B15" s="9">
        <v>9307.1</v>
      </c>
      <c r="C15" s="9">
        <v>10387.299999999999</v>
      </c>
      <c r="D15" s="9">
        <v>12565.3</v>
      </c>
      <c r="E15" s="9">
        <v>13296.3</v>
      </c>
      <c r="F15" s="9">
        <v>14227</v>
      </c>
      <c r="G15" s="9">
        <v>15990.2</v>
      </c>
      <c r="H15" s="9">
        <v>16547.099999999999</v>
      </c>
      <c r="I15" s="47">
        <v>17709.677</v>
      </c>
      <c r="J15" s="47">
        <v>19561.228999999999</v>
      </c>
      <c r="K15" s="9">
        <v>24264.400000000001</v>
      </c>
      <c r="L15" s="9">
        <v>29807</v>
      </c>
      <c r="M15" s="9">
        <v>30241.4</v>
      </c>
      <c r="N15" s="9">
        <v>28963.3</v>
      </c>
      <c r="O15" s="9">
        <v>31214.7</v>
      </c>
      <c r="P15" s="9">
        <v>31873.8</v>
      </c>
      <c r="Q15" s="169">
        <v>35624.1</v>
      </c>
    </row>
    <row r="16" spans="1:17" x14ac:dyDescent="0.25">
      <c r="A16" t="s">
        <v>15</v>
      </c>
      <c r="B16" s="9">
        <v>19015.900000000001</v>
      </c>
      <c r="C16" s="9">
        <v>23696.9</v>
      </c>
      <c r="D16" s="9">
        <v>27055.200000000001</v>
      </c>
      <c r="E16" s="9">
        <v>30467.1</v>
      </c>
      <c r="F16" s="9">
        <v>32236.5</v>
      </c>
      <c r="G16" s="9">
        <v>36963.300000000003</v>
      </c>
      <c r="H16" s="9">
        <v>38010.800000000003</v>
      </c>
      <c r="I16" s="47">
        <v>45295.74</v>
      </c>
      <c r="J16" s="47">
        <v>47670.75</v>
      </c>
      <c r="K16" s="9">
        <v>51616</v>
      </c>
      <c r="L16" s="9">
        <v>52443.6</v>
      </c>
      <c r="M16" s="9">
        <v>54029.5</v>
      </c>
      <c r="N16" s="9">
        <v>62239.4</v>
      </c>
      <c r="O16" s="9">
        <v>71026.100000000006</v>
      </c>
      <c r="P16" s="9">
        <v>74484.7</v>
      </c>
      <c r="Q16" s="169">
        <v>78546.399999999994</v>
      </c>
    </row>
    <row r="17" spans="1:17" x14ac:dyDescent="0.25">
      <c r="A17" t="s">
        <v>16</v>
      </c>
      <c r="B17" s="9">
        <v>15640.2</v>
      </c>
      <c r="C17" s="9">
        <v>19001.3</v>
      </c>
      <c r="D17" s="9">
        <v>25072.799999999999</v>
      </c>
      <c r="E17" s="9">
        <v>33257.1</v>
      </c>
      <c r="F17" s="9">
        <v>27581.200000000001</v>
      </c>
      <c r="G17" s="9">
        <v>28169.7</v>
      </c>
      <c r="H17" s="9">
        <v>35355.699999999997</v>
      </c>
      <c r="I17" s="47">
        <v>39145.428</v>
      </c>
      <c r="J17" s="47">
        <v>45422.61</v>
      </c>
      <c r="K17" s="9">
        <v>61173.3</v>
      </c>
      <c r="L17" s="9">
        <v>56832</v>
      </c>
      <c r="M17" s="9">
        <v>57972.2</v>
      </c>
      <c r="N17" s="9">
        <v>64168.4</v>
      </c>
      <c r="O17" s="9">
        <v>75680.399999999994</v>
      </c>
      <c r="P17" s="9">
        <v>86700.800000000003</v>
      </c>
      <c r="Q17" s="169">
        <v>99574.7</v>
      </c>
    </row>
    <row r="18" spans="1:17" x14ac:dyDescent="0.25">
      <c r="A18" t="s">
        <v>17</v>
      </c>
      <c r="B18" s="9">
        <v>30726.6</v>
      </c>
      <c r="C18" s="9">
        <v>31501.599999999999</v>
      </c>
      <c r="D18" s="9">
        <v>44918.1</v>
      </c>
      <c r="E18" s="9">
        <v>50057.8</v>
      </c>
      <c r="F18" s="9">
        <v>46635.199999999997</v>
      </c>
      <c r="G18" s="9">
        <v>57756.7</v>
      </c>
      <c r="H18" s="9">
        <v>70747.199999999997</v>
      </c>
      <c r="I18" s="47">
        <v>87912.456000000006</v>
      </c>
      <c r="J18" s="47">
        <v>100854.73</v>
      </c>
      <c r="K18" s="9">
        <v>107919.2</v>
      </c>
      <c r="L18" s="9">
        <v>105741.9</v>
      </c>
      <c r="M18" s="9">
        <v>125636.8</v>
      </c>
      <c r="N18" s="9">
        <v>142068.1</v>
      </c>
      <c r="O18" s="9">
        <v>135539.4</v>
      </c>
      <c r="P18" s="9">
        <v>153025.29999999999</v>
      </c>
      <c r="Q18" s="169">
        <v>151317.79999999999</v>
      </c>
    </row>
    <row r="19" spans="1:17" x14ac:dyDescent="0.25">
      <c r="A19" t="s">
        <v>18</v>
      </c>
      <c r="B19" s="9">
        <v>801856.4</v>
      </c>
      <c r="C19" s="9">
        <v>1071078</v>
      </c>
      <c r="D19" s="9">
        <v>2003981.1</v>
      </c>
      <c r="E19" s="9">
        <v>1834420.6</v>
      </c>
      <c r="F19" s="9">
        <v>1413464.5</v>
      </c>
      <c r="G19" s="9">
        <v>1671114.6</v>
      </c>
      <c r="H19" s="9">
        <v>2038365.9</v>
      </c>
      <c r="I19" s="47">
        <v>2166699.375</v>
      </c>
      <c r="J19" s="47">
        <v>2117705.2149999999</v>
      </c>
      <c r="K19" s="9">
        <v>2233836</v>
      </c>
      <c r="L19" s="9">
        <v>2486531.4</v>
      </c>
      <c r="M19" s="9">
        <v>2649129.2000000002</v>
      </c>
      <c r="N19" s="9">
        <v>3068725.7</v>
      </c>
      <c r="O19" s="9">
        <v>3487710.1</v>
      </c>
      <c r="P19" s="9">
        <v>3843319.2</v>
      </c>
      <c r="Q19" s="169">
        <v>4162422.2</v>
      </c>
    </row>
    <row r="20" spans="1:17" x14ac:dyDescent="0.25">
      <c r="A20" t="s">
        <v>19</v>
      </c>
      <c r="B20" s="9">
        <v>11545.2</v>
      </c>
      <c r="C20" s="9">
        <v>11676.2</v>
      </c>
      <c r="D20" s="9">
        <v>12854.2</v>
      </c>
      <c r="E20" s="9">
        <v>17302.599999999999</v>
      </c>
      <c r="F20" s="9">
        <v>11349.5</v>
      </c>
      <c r="G20" s="9">
        <v>17088.3</v>
      </c>
      <c r="H20" s="9">
        <v>20997.599999999999</v>
      </c>
      <c r="I20" s="48">
        <v>22539.724999999999</v>
      </c>
      <c r="J20" s="48">
        <v>20122.404999999999</v>
      </c>
      <c r="K20" s="9">
        <v>21753.8</v>
      </c>
      <c r="L20" s="9">
        <v>23872.2</v>
      </c>
      <c r="M20" s="9">
        <v>25517.5</v>
      </c>
      <c r="N20" s="9">
        <v>26359.8</v>
      </c>
      <c r="O20" s="9">
        <v>32929.300000000003</v>
      </c>
      <c r="P20" s="9">
        <v>42989.1</v>
      </c>
      <c r="Q20" s="169">
        <v>38954.9</v>
      </c>
    </row>
    <row r="21" spans="1:17" x14ac:dyDescent="0.25">
      <c r="A21" t="s">
        <v>20</v>
      </c>
      <c r="B21" s="9">
        <v>60179.5</v>
      </c>
      <c r="C21" s="9">
        <v>76460.800000000003</v>
      </c>
      <c r="D21" s="9">
        <v>77674.3</v>
      </c>
      <c r="E21" s="9">
        <v>103465.60000000001</v>
      </c>
      <c r="F21" s="9">
        <v>69739.3</v>
      </c>
      <c r="G21" s="9">
        <v>80453.5</v>
      </c>
      <c r="H21" s="9">
        <v>107242.7</v>
      </c>
      <c r="I21" s="48">
        <v>117038.079</v>
      </c>
      <c r="J21" s="48">
        <v>120327.379</v>
      </c>
      <c r="K21" s="9">
        <v>129061.2</v>
      </c>
      <c r="L21" s="9">
        <v>152084.5</v>
      </c>
      <c r="M21" s="9">
        <v>148514.1</v>
      </c>
      <c r="N21" s="9">
        <v>178758.1</v>
      </c>
      <c r="O21" s="9">
        <v>238064.1</v>
      </c>
      <c r="P21" s="9">
        <v>244721.8</v>
      </c>
      <c r="Q21" s="169">
        <v>176442.3</v>
      </c>
    </row>
    <row r="22" spans="1:17" x14ac:dyDescent="0.25">
      <c r="A22" t="s">
        <v>21</v>
      </c>
      <c r="B22" s="9">
        <v>16912.8</v>
      </c>
      <c r="C22">
        <v>53844.2</v>
      </c>
      <c r="D22">
        <v>58710.5</v>
      </c>
      <c r="E22">
        <v>67048.3</v>
      </c>
      <c r="F22" s="9">
        <v>48807</v>
      </c>
      <c r="G22">
        <v>69168.899999999994</v>
      </c>
      <c r="H22" s="9">
        <v>86367.8</v>
      </c>
      <c r="I22">
        <v>96676.6</v>
      </c>
      <c r="J22">
        <v>97211.199999999997</v>
      </c>
      <c r="K22" s="9">
        <v>48815</v>
      </c>
      <c r="L22" s="9">
        <v>63169.9</v>
      </c>
      <c r="M22" s="9">
        <v>53041.5</v>
      </c>
      <c r="N22" s="9">
        <v>68990.2</v>
      </c>
      <c r="O22" s="9">
        <v>73880.3</v>
      </c>
      <c r="P22" s="9">
        <v>91185.7</v>
      </c>
      <c r="Q22" s="169">
        <v>74813.8</v>
      </c>
    </row>
    <row r="23" spans="1:17" x14ac:dyDescent="0.25">
      <c r="A23" t="s">
        <v>22</v>
      </c>
      <c r="B23" s="9">
        <v>32455.200000000001</v>
      </c>
      <c r="C23" s="9">
        <v>34649.4</v>
      </c>
      <c r="D23" s="9">
        <v>47887.9</v>
      </c>
      <c r="E23" s="9">
        <v>63354.9</v>
      </c>
      <c r="F23" s="9">
        <v>28057.5</v>
      </c>
      <c r="G23" s="9">
        <v>36216.800000000003</v>
      </c>
      <c r="H23" s="9">
        <v>40282.1</v>
      </c>
      <c r="I23" s="48">
        <v>43938.648000000001</v>
      </c>
      <c r="J23" s="48">
        <v>40210.839</v>
      </c>
      <c r="K23" s="9">
        <v>54482.2</v>
      </c>
      <c r="L23" s="9">
        <v>55939.9</v>
      </c>
      <c r="M23" s="9">
        <v>60500.7</v>
      </c>
      <c r="N23" s="9">
        <v>70678.8</v>
      </c>
      <c r="O23" s="9">
        <v>86194.6</v>
      </c>
      <c r="P23" s="9">
        <v>87564.4</v>
      </c>
      <c r="Q23" s="169">
        <v>77475.100000000006</v>
      </c>
    </row>
    <row r="24" spans="1:17" x14ac:dyDescent="0.25">
      <c r="A24" t="s">
        <v>23</v>
      </c>
      <c r="B24" s="9">
        <v>18390.099999999999</v>
      </c>
      <c r="C24" s="9">
        <v>24657.8</v>
      </c>
      <c r="D24" s="9">
        <v>33241.699999999997</v>
      </c>
      <c r="E24" s="9">
        <v>40957.699999999997</v>
      </c>
      <c r="F24" s="9">
        <v>37136.9</v>
      </c>
      <c r="G24" s="9">
        <v>48907.5</v>
      </c>
      <c r="H24" s="9">
        <v>65578.899999999994</v>
      </c>
      <c r="I24" s="48">
        <v>77045.767999999996</v>
      </c>
      <c r="J24" s="48">
        <v>84064.663</v>
      </c>
      <c r="K24" s="9">
        <v>98272.4</v>
      </c>
      <c r="L24" s="9">
        <v>87813.7</v>
      </c>
      <c r="M24" s="9">
        <v>101007.2</v>
      </c>
      <c r="N24" s="9">
        <v>120065.2</v>
      </c>
      <c r="O24" s="9">
        <v>159775.70000000001</v>
      </c>
      <c r="P24" s="9">
        <v>182476.1</v>
      </c>
      <c r="Q24" s="169">
        <v>183279.7</v>
      </c>
    </row>
    <row r="25" spans="1:17" x14ac:dyDescent="0.25">
      <c r="A25" t="s">
        <v>24</v>
      </c>
      <c r="B25" s="9">
        <v>39186.400000000001</v>
      </c>
      <c r="C25" s="9">
        <v>53071.7</v>
      </c>
      <c r="D25" s="9">
        <v>62275.8</v>
      </c>
      <c r="E25" s="9">
        <v>78311.3</v>
      </c>
      <c r="F25" s="9">
        <v>83275.100000000006</v>
      </c>
      <c r="G25" s="9">
        <v>98024.5</v>
      </c>
      <c r="H25" s="9">
        <v>113897.1</v>
      </c>
      <c r="I25" s="48">
        <v>136533.17499999999</v>
      </c>
      <c r="J25" s="48">
        <v>168199.177</v>
      </c>
      <c r="K25" s="9">
        <v>206662.5</v>
      </c>
      <c r="L25" s="9">
        <v>230130.4</v>
      </c>
      <c r="M25" s="9">
        <v>255538.4</v>
      </c>
      <c r="N25" s="9">
        <v>322426.2</v>
      </c>
      <c r="O25" s="9">
        <v>327058.2</v>
      </c>
      <c r="P25" s="9">
        <v>350929.3</v>
      </c>
      <c r="Q25" s="169">
        <v>358051.5</v>
      </c>
    </row>
    <row r="26" spans="1:17" x14ac:dyDescent="0.25">
      <c r="A26" t="s">
        <v>25</v>
      </c>
      <c r="B26" s="9">
        <v>21408.6</v>
      </c>
      <c r="C26" s="9">
        <v>28278.5</v>
      </c>
      <c r="D26" s="9">
        <v>37331</v>
      </c>
      <c r="E26" s="9">
        <v>39951.800000000003</v>
      </c>
      <c r="F26" s="9">
        <v>34351.1</v>
      </c>
      <c r="G26" s="9">
        <v>43581.4</v>
      </c>
      <c r="H26" s="9">
        <v>49563.3</v>
      </c>
      <c r="I26" s="48">
        <v>45762.722999999998</v>
      </c>
      <c r="J26" s="48">
        <v>49813.675999999999</v>
      </c>
      <c r="K26" s="9">
        <v>52125.8</v>
      </c>
      <c r="L26" s="9">
        <v>62751.6</v>
      </c>
      <c r="M26" s="9">
        <v>79332.3</v>
      </c>
      <c r="N26" s="9">
        <v>78558.7</v>
      </c>
      <c r="O26" s="9">
        <v>76107.3</v>
      </c>
      <c r="P26" s="9">
        <v>63961.2</v>
      </c>
      <c r="Q26" s="174">
        <v>1E-4</v>
      </c>
    </row>
    <row r="27" spans="1:17" x14ac:dyDescent="0.25">
      <c r="A27" t="s">
        <v>26</v>
      </c>
      <c r="B27" s="9">
        <v>9675.2000000000007</v>
      </c>
      <c r="C27" s="9">
        <v>10174.700000000001</v>
      </c>
      <c r="D27" s="9">
        <v>11247</v>
      </c>
      <c r="E27" s="9">
        <v>18250.2</v>
      </c>
      <c r="F27" s="9">
        <v>16868.5</v>
      </c>
      <c r="G27" s="9">
        <v>17139.8</v>
      </c>
      <c r="H27" s="9">
        <v>20485.400000000001</v>
      </c>
      <c r="I27" s="48">
        <v>21802.576000000001</v>
      </c>
      <c r="J27" s="48">
        <v>21861.168000000001</v>
      </c>
      <c r="K27" s="9">
        <v>23084.2</v>
      </c>
      <c r="L27" s="9">
        <v>22398.1</v>
      </c>
      <c r="M27" s="9">
        <v>28657.5</v>
      </c>
      <c r="N27" s="9">
        <v>26173.1</v>
      </c>
      <c r="O27" s="9">
        <v>27827.200000000001</v>
      </c>
      <c r="P27" s="9">
        <v>32301.1</v>
      </c>
      <c r="Q27" s="169">
        <v>31879.200000000001</v>
      </c>
    </row>
    <row r="28" spans="1:17" x14ac:dyDescent="0.25">
      <c r="A28" t="s">
        <v>27</v>
      </c>
      <c r="B28" s="9">
        <v>6249.7</v>
      </c>
      <c r="C28" s="9">
        <v>7494.7</v>
      </c>
      <c r="D28" s="9">
        <v>9121</v>
      </c>
      <c r="E28" s="9">
        <v>10069.4</v>
      </c>
      <c r="F28" s="9">
        <v>10144.799999999999</v>
      </c>
      <c r="G28" s="9">
        <v>11932.7</v>
      </c>
      <c r="H28" s="9">
        <v>13460.4</v>
      </c>
      <c r="I28" s="48">
        <v>14584.837</v>
      </c>
      <c r="J28" s="48">
        <v>15789.065000000001</v>
      </c>
      <c r="K28" s="9">
        <v>17087.5</v>
      </c>
      <c r="L28" s="9">
        <v>15915.4</v>
      </c>
      <c r="M28" s="9">
        <v>17302.3</v>
      </c>
      <c r="N28" s="9">
        <v>18991.900000000001</v>
      </c>
      <c r="O28" s="9">
        <v>23000</v>
      </c>
      <c r="P28" s="9">
        <v>24102.400000000001</v>
      </c>
      <c r="Q28" s="169">
        <v>23216.6</v>
      </c>
    </row>
    <row r="29" spans="1:17" x14ac:dyDescent="0.25">
      <c r="A29" t="s">
        <v>28</v>
      </c>
      <c r="B29" s="9">
        <v>156118.9</v>
      </c>
      <c r="C29" s="9">
        <v>234171.7</v>
      </c>
      <c r="D29" s="9">
        <v>290323.5</v>
      </c>
      <c r="E29" s="9">
        <v>341816.5</v>
      </c>
      <c r="F29" s="9">
        <v>307380.2</v>
      </c>
      <c r="G29" s="9">
        <v>343996.9</v>
      </c>
      <c r="H29" s="9">
        <v>442915.7</v>
      </c>
      <c r="I29" s="48">
        <v>453531.02899999998</v>
      </c>
      <c r="J29" s="48">
        <v>564617.69400000002</v>
      </c>
      <c r="K29" s="9">
        <v>679370.3</v>
      </c>
      <c r="L29" s="9">
        <v>747582</v>
      </c>
      <c r="M29" s="9">
        <v>915310.5</v>
      </c>
      <c r="N29" s="9">
        <v>1096015.3999999999</v>
      </c>
      <c r="O29" s="9">
        <v>1216600.3999999999</v>
      </c>
      <c r="P29" s="9">
        <v>1307804.8999999999</v>
      </c>
      <c r="Q29" s="169">
        <v>1545656.7</v>
      </c>
    </row>
    <row r="30" spans="1:17" x14ac:dyDescent="0.25">
      <c r="A30" t="s">
        <v>29</v>
      </c>
      <c r="B30" s="9">
        <v>2257.4</v>
      </c>
      <c r="C30" s="9">
        <v>2693.7</v>
      </c>
      <c r="D30" s="9">
        <v>3268.8</v>
      </c>
      <c r="E30" s="9">
        <v>4130.8</v>
      </c>
      <c r="F30" s="9">
        <v>4400.8</v>
      </c>
      <c r="G30" s="9">
        <v>5107</v>
      </c>
      <c r="H30" s="9">
        <v>6438.7</v>
      </c>
      <c r="I30" s="48">
        <v>7537.2910000000002</v>
      </c>
      <c r="J30" s="48">
        <v>8478.6029999999992</v>
      </c>
      <c r="K30" s="9">
        <v>9529.4</v>
      </c>
      <c r="L30" s="9">
        <v>10761.4</v>
      </c>
      <c r="M30" s="9">
        <v>12724</v>
      </c>
      <c r="N30" s="9">
        <v>16830.599999999999</v>
      </c>
      <c r="O30" s="9">
        <v>20207.900000000001</v>
      </c>
      <c r="P30" s="9">
        <v>22455.7</v>
      </c>
      <c r="Q30" s="169">
        <v>21924.3</v>
      </c>
    </row>
    <row r="31" spans="1:17" x14ac:dyDescent="0.25">
      <c r="A31" t="s">
        <v>30</v>
      </c>
      <c r="B31" s="9">
        <v>3283.9</v>
      </c>
      <c r="C31" s="9">
        <v>928.7</v>
      </c>
      <c r="D31" s="9">
        <v>4877.1000000000004</v>
      </c>
      <c r="E31" s="9">
        <v>3258.5</v>
      </c>
      <c r="F31" s="9">
        <v>3914.2</v>
      </c>
      <c r="G31" s="9">
        <v>3135.1</v>
      </c>
      <c r="H31" s="9">
        <v>3460.6</v>
      </c>
      <c r="I31" s="48">
        <v>5713.683</v>
      </c>
      <c r="J31" s="48">
        <v>4383.4859999999999</v>
      </c>
      <c r="K31" s="9">
        <v>4537.3999999999996</v>
      </c>
      <c r="L31" s="9">
        <v>4078.1</v>
      </c>
      <c r="M31" s="9">
        <v>4839.2</v>
      </c>
      <c r="N31" s="9">
        <v>8100.7</v>
      </c>
      <c r="O31" s="9">
        <v>9721.4</v>
      </c>
      <c r="P31" s="9">
        <v>8952.2000000000007</v>
      </c>
      <c r="Q31" s="169">
        <v>8289.7000000000007</v>
      </c>
    </row>
    <row r="32" spans="1:17" x14ac:dyDescent="0.25">
      <c r="A32" t="s">
        <v>31</v>
      </c>
      <c r="B32" s="120"/>
      <c r="C32" s="117"/>
      <c r="D32" s="117"/>
      <c r="E32" s="117"/>
      <c r="F32" s="117"/>
      <c r="G32" s="120"/>
      <c r="H32" s="117"/>
      <c r="I32" s="117"/>
      <c r="J32" s="117"/>
      <c r="K32" s="117"/>
      <c r="L32" s="9">
        <v>40105.599999999999</v>
      </c>
      <c r="M32" s="9">
        <v>49612.6</v>
      </c>
      <c r="N32" s="9">
        <v>68995.100000000006</v>
      </c>
      <c r="O32" s="9">
        <v>54093.1</v>
      </c>
      <c r="P32" s="9">
        <v>74665.3</v>
      </c>
      <c r="Q32" s="169">
        <v>73146.8</v>
      </c>
    </row>
    <row r="33" spans="1:17" x14ac:dyDescent="0.25">
      <c r="A33" t="s">
        <v>32</v>
      </c>
      <c r="B33" s="9">
        <v>69620.899999999994</v>
      </c>
      <c r="C33" s="9">
        <v>88251.6</v>
      </c>
      <c r="D33" s="9">
        <v>116890.5</v>
      </c>
      <c r="E33" s="9">
        <v>133046.1</v>
      </c>
      <c r="F33" s="9">
        <v>132912</v>
      </c>
      <c r="G33" s="9">
        <v>141471.6</v>
      </c>
      <c r="H33" s="9">
        <v>164220.9</v>
      </c>
      <c r="I33" s="48">
        <v>197855.69</v>
      </c>
      <c r="J33" s="48">
        <v>206216.18799999999</v>
      </c>
      <c r="K33" s="9">
        <v>218255.1</v>
      </c>
      <c r="L33" s="9">
        <v>257666.6</v>
      </c>
      <c r="M33" s="9">
        <v>293176.2</v>
      </c>
      <c r="N33" s="9">
        <v>338192.5</v>
      </c>
      <c r="O33" s="9">
        <v>345999.6</v>
      </c>
      <c r="P33" s="9">
        <v>396155.6</v>
      </c>
      <c r="Q33" s="169">
        <v>380879.3</v>
      </c>
    </row>
    <row r="34" spans="1:17" x14ac:dyDescent="0.25">
      <c r="A34" t="s">
        <v>33</v>
      </c>
      <c r="B34" s="9">
        <v>14102.3</v>
      </c>
      <c r="C34" s="9">
        <v>16816.2</v>
      </c>
      <c r="D34" s="9">
        <v>24045.599999999999</v>
      </c>
      <c r="E34" s="9">
        <v>30226.400000000001</v>
      </c>
      <c r="F34" s="9">
        <v>22824.9</v>
      </c>
      <c r="G34" s="9">
        <v>22879.599999999999</v>
      </c>
      <c r="H34" s="9">
        <v>30231.200000000001</v>
      </c>
      <c r="I34" s="48">
        <v>46729.775000000001</v>
      </c>
      <c r="J34" s="48">
        <v>47006.491000000002</v>
      </c>
      <c r="K34" s="9">
        <v>56745.599999999999</v>
      </c>
      <c r="L34" s="9">
        <v>68257.100000000006</v>
      </c>
      <c r="M34" s="9">
        <v>85691.9</v>
      </c>
      <c r="N34" s="9">
        <v>114932.6</v>
      </c>
      <c r="O34" s="9">
        <v>160662.1</v>
      </c>
      <c r="P34" s="9">
        <v>177753.9</v>
      </c>
      <c r="Q34" s="169">
        <v>134857.29999999999</v>
      </c>
    </row>
    <row r="35" spans="1:17" x14ac:dyDescent="0.25">
      <c r="A35" t="s">
        <v>34</v>
      </c>
      <c r="B35" s="9">
        <v>42514.2</v>
      </c>
      <c r="C35" s="9">
        <v>56289</v>
      </c>
      <c r="D35" s="9">
        <v>66737.3</v>
      </c>
      <c r="E35" s="9">
        <v>79878.399999999994</v>
      </c>
      <c r="F35" s="9">
        <v>67968.600000000006</v>
      </c>
      <c r="G35" s="9">
        <v>80516.3</v>
      </c>
      <c r="H35" s="9">
        <v>92889.3</v>
      </c>
      <c r="I35" s="48">
        <v>95265.884999999995</v>
      </c>
      <c r="J35" s="48">
        <v>103722.82</v>
      </c>
      <c r="K35" s="9">
        <v>109750.39999999999</v>
      </c>
      <c r="L35" s="9">
        <v>118990.3</v>
      </c>
      <c r="M35" s="9">
        <v>131759.9</v>
      </c>
      <c r="N35" s="9">
        <v>160217.79999999999</v>
      </c>
      <c r="O35" s="9">
        <v>188439.5</v>
      </c>
      <c r="P35" s="9">
        <v>166277.4</v>
      </c>
      <c r="Q35" s="169">
        <v>223242.7</v>
      </c>
    </row>
    <row r="36" spans="1:17" x14ac:dyDescent="0.25">
      <c r="A36" t="s">
        <v>35</v>
      </c>
      <c r="B36" s="9">
        <v>41294.400000000001</v>
      </c>
      <c r="C36" s="9">
        <v>53256.2</v>
      </c>
      <c r="D36" s="9">
        <v>70082.7</v>
      </c>
      <c r="E36" s="9">
        <v>84439.4</v>
      </c>
      <c r="F36" s="9">
        <v>83097.8</v>
      </c>
      <c r="G36" s="9">
        <v>97741.1</v>
      </c>
      <c r="H36" s="9">
        <v>113867.8</v>
      </c>
      <c r="I36" s="48">
        <v>133583.514</v>
      </c>
      <c r="J36" s="48">
        <v>143452.413</v>
      </c>
      <c r="K36" s="9">
        <v>160255.29999999999</v>
      </c>
      <c r="L36" s="9">
        <v>169132.4</v>
      </c>
      <c r="M36" s="9">
        <v>196202.4</v>
      </c>
      <c r="N36" s="9">
        <v>205784</v>
      </c>
      <c r="O36" s="9">
        <v>245615.9</v>
      </c>
      <c r="P36" s="9">
        <v>229765.2</v>
      </c>
      <c r="Q36" s="169">
        <v>250626.6</v>
      </c>
    </row>
    <row r="37" spans="1:17" x14ac:dyDescent="0.25">
      <c r="A37" t="s">
        <v>36</v>
      </c>
      <c r="B37" s="120"/>
      <c r="C37" s="117"/>
      <c r="D37" s="117"/>
      <c r="E37" s="117"/>
      <c r="F37" s="117"/>
      <c r="G37" s="120"/>
      <c r="H37" s="117"/>
      <c r="I37" s="117"/>
      <c r="J37" s="117"/>
      <c r="K37" s="117"/>
      <c r="L37" s="9">
        <v>9464.7999999999993</v>
      </c>
      <c r="M37" s="9">
        <v>12653</v>
      </c>
      <c r="N37" s="9">
        <v>14360.1</v>
      </c>
      <c r="O37" s="9">
        <v>15557.9</v>
      </c>
      <c r="P37" s="9">
        <v>18113.2</v>
      </c>
      <c r="Q37" s="169">
        <v>18234</v>
      </c>
    </row>
    <row r="38" spans="1:17" x14ac:dyDescent="0.25">
      <c r="A38" t="s">
        <v>37</v>
      </c>
      <c r="B38" s="9">
        <v>6364.8</v>
      </c>
      <c r="C38" s="9">
        <v>8610.2000000000007</v>
      </c>
      <c r="D38" s="9">
        <v>10563.3</v>
      </c>
      <c r="E38" s="9">
        <v>16218</v>
      </c>
      <c r="F38" s="9">
        <v>14170.3</v>
      </c>
      <c r="G38" s="9">
        <v>16099.2</v>
      </c>
      <c r="H38" s="9">
        <v>17772.900000000001</v>
      </c>
      <c r="I38" s="48">
        <v>21469.991000000002</v>
      </c>
      <c r="J38" s="48">
        <v>24131.264999999999</v>
      </c>
      <c r="K38" s="9">
        <v>26660</v>
      </c>
      <c r="L38" s="9">
        <v>27508.1</v>
      </c>
      <c r="M38" s="9">
        <v>31763</v>
      </c>
      <c r="N38" s="9">
        <v>33013.4</v>
      </c>
      <c r="O38" s="9">
        <v>39277</v>
      </c>
      <c r="P38" s="9">
        <v>45288</v>
      </c>
      <c r="Q38" s="169">
        <v>48715.1</v>
      </c>
    </row>
    <row r="39" spans="1:17" x14ac:dyDescent="0.25">
      <c r="A39" t="s">
        <v>38</v>
      </c>
      <c r="B39" s="9">
        <v>726.8</v>
      </c>
      <c r="C39" s="9">
        <v>814.8</v>
      </c>
      <c r="D39" s="9">
        <v>938.9</v>
      </c>
      <c r="E39" s="9">
        <v>1168</v>
      </c>
      <c r="F39" s="9">
        <v>1422.2</v>
      </c>
      <c r="G39" s="9">
        <v>1783.8</v>
      </c>
      <c r="H39" s="9">
        <v>2677.8</v>
      </c>
      <c r="I39" s="48">
        <v>2595.9560000000001</v>
      </c>
      <c r="J39" s="48">
        <v>2898.9969999999998</v>
      </c>
      <c r="K39" s="9">
        <v>3284.8</v>
      </c>
      <c r="L39" s="9">
        <v>3658.6</v>
      </c>
      <c r="M39" s="9">
        <v>3961.8</v>
      </c>
      <c r="N39" s="9">
        <v>4055.2</v>
      </c>
      <c r="O39" s="9">
        <v>4174.8</v>
      </c>
      <c r="P39" s="9">
        <v>4876.1000000000004</v>
      </c>
      <c r="Q39" s="169">
        <v>5303.6</v>
      </c>
    </row>
    <row r="40" spans="1:17" x14ac:dyDescent="0.25">
      <c r="A40" t="s">
        <v>42</v>
      </c>
      <c r="B40" s="9">
        <v>2483.3000000000002</v>
      </c>
      <c r="C40" s="9">
        <v>3742.6</v>
      </c>
      <c r="D40" s="9">
        <v>5705.7</v>
      </c>
      <c r="E40" s="9">
        <v>7320.2</v>
      </c>
      <c r="F40" s="9">
        <v>7595.1</v>
      </c>
      <c r="G40" s="9">
        <v>7642.8</v>
      </c>
      <c r="H40" s="9">
        <v>8158.9</v>
      </c>
      <c r="I40" s="48">
        <v>8887.7880000000005</v>
      </c>
      <c r="J40" s="48">
        <v>9997.26</v>
      </c>
      <c r="K40" s="9">
        <v>12446.2</v>
      </c>
      <c r="L40" s="9">
        <v>15368.3</v>
      </c>
      <c r="M40" s="9">
        <v>16466.099999999999</v>
      </c>
      <c r="N40" s="9">
        <v>12950.4</v>
      </c>
      <c r="O40" s="9">
        <v>14420.9</v>
      </c>
      <c r="P40" s="9">
        <v>15106.8</v>
      </c>
      <c r="Q40" s="169">
        <v>15907.5</v>
      </c>
    </row>
    <row r="41" spans="1:17" x14ac:dyDescent="0.25">
      <c r="A41" t="s">
        <v>39</v>
      </c>
      <c r="B41" s="9">
        <v>2797.1</v>
      </c>
      <c r="C41" s="9">
        <v>3028.5</v>
      </c>
      <c r="D41" s="9">
        <v>3084.4</v>
      </c>
      <c r="E41" s="9">
        <v>3265.5</v>
      </c>
      <c r="F41" s="9">
        <v>3347.5</v>
      </c>
      <c r="G41" s="9">
        <v>4090.6</v>
      </c>
      <c r="H41" s="9">
        <v>4834</v>
      </c>
      <c r="I41" s="48">
        <v>5596.4769999999999</v>
      </c>
      <c r="J41" s="48">
        <v>7007.2610000000004</v>
      </c>
      <c r="K41" s="9">
        <v>7215.6</v>
      </c>
      <c r="L41" s="9">
        <v>7698.3</v>
      </c>
      <c r="M41" s="9">
        <v>9337.5</v>
      </c>
      <c r="N41" s="9">
        <v>10399.299999999999</v>
      </c>
      <c r="O41" s="9">
        <v>10073.299999999999</v>
      </c>
      <c r="P41" s="9">
        <v>9042.2000000000007</v>
      </c>
      <c r="Q41" s="169">
        <v>10315.1</v>
      </c>
    </row>
    <row r="42" spans="1:17" x14ac:dyDescent="0.25">
      <c r="A42" t="s">
        <v>43</v>
      </c>
      <c r="B42" s="9">
        <v>3962.7</v>
      </c>
      <c r="C42" s="9">
        <v>6797.4</v>
      </c>
      <c r="D42" s="9">
        <v>7734.8</v>
      </c>
      <c r="E42" s="9">
        <v>6325</v>
      </c>
      <c r="F42" s="9">
        <v>5904</v>
      </c>
      <c r="G42" s="9">
        <v>6156.5</v>
      </c>
      <c r="H42" s="9">
        <v>6064.4</v>
      </c>
      <c r="I42" s="48">
        <v>8322.1749999999993</v>
      </c>
      <c r="J42" s="48">
        <v>10361.191999999999</v>
      </c>
      <c r="K42" s="9">
        <v>10673.1</v>
      </c>
      <c r="L42" s="9">
        <v>11075.9</v>
      </c>
      <c r="M42" s="9">
        <v>14995.9</v>
      </c>
      <c r="N42" s="9">
        <v>17629.2</v>
      </c>
      <c r="O42" s="9">
        <v>18697.400000000001</v>
      </c>
      <c r="P42" s="9">
        <v>14929.2</v>
      </c>
      <c r="Q42" s="169">
        <v>16533.5</v>
      </c>
    </row>
    <row r="43" spans="1:17" x14ac:dyDescent="0.25">
      <c r="A43" t="s">
        <v>40</v>
      </c>
      <c r="B43" s="9">
        <v>6377.6</v>
      </c>
      <c r="C43" s="9">
        <v>9015.7999999999993</v>
      </c>
      <c r="D43" s="9">
        <v>10226.5</v>
      </c>
      <c r="E43" s="9">
        <v>12825.5</v>
      </c>
      <c r="F43" s="9">
        <v>10215.4</v>
      </c>
      <c r="G43" s="9">
        <v>9873.2000000000007</v>
      </c>
      <c r="H43" s="9">
        <v>9712.4</v>
      </c>
      <c r="I43" s="48">
        <v>10397.156000000001</v>
      </c>
      <c r="J43" s="48">
        <v>12129.912</v>
      </c>
      <c r="K43" s="9">
        <v>13160.4</v>
      </c>
      <c r="L43" s="9">
        <v>12626.7</v>
      </c>
      <c r="M43" s="9">
        <v>11327.4</v>
      </c>
      <c r="N43" s="9">
        <v>13383.9</v>
      </c>
      <c r="O43" s="9">
        <v>13164.1</v>
      </c>
      <c r="P43" s="9">
        <v>16634.5</v>
      </c>
      <c r="Q43" s="169">
        <v>18728.099999999999</v>
      </c>
    </row>
    <row r="44" spans="1:17" x14ac:dyDescent="0.25">
      <c r="A44" t="s">
        <v>41</v>
      </c>
      <c r="B44" s="9">
        <v>24415.5</v>
      </c>
      <c r="C44" s="9">
        <v>32555.599999999999</v>
      </c>
      <c r="D44" s="9">
        <v>38403.300000000003</v>
      </c>
      <c r="E44" s="9">
        <v>47918.2</v>
      </c>
      <c r="F44" s="9">
        <v>43212.2</v>
      </c>
      <c r="G44" s="9">
        <v>51199.9</v>
      </c>
      <c r="H44" s="9">
        <v>56836.6</v>
      </c>
      <c r="I44" s="48">
        <v>64041.987999999998</v>
      </c>
      <c r="J44" s="48">
        <v>69742.555999999997</v>
      </c>
      <c r="K44" s="9">
        <v>72311.899999999994</v>
      </c>
      <c r="L44" s="9">
        <v>70059.7</v>
      </c>
      <c r="M44" s="9">
        <v>83511.199999999997</v>
      </c>
      <c r="N44" s="9">
        <v>97525.7</v>
      </c>
      <c r="O44" s="9">
        <v>108611.6</v>
      </c>
      <c r="P44" s="9">
        <v>124118.1</v>
      </c>
      <c r="Q44" s="169">
        <v>112166.2</v>
      </c>
    </row>
    <row r="45" spans="1:17" x14ac:dyDescent="0.25">
      <c r="A45" t="s">
        <v>44</v>
      </c>
      <c r="B45" s="9">
        <v>101446.3</v>
      </c>
      <c r="C45" s="9">
        <v>108067.8</v>
      </c>
      <c r="D45" s="9">
        <v>142259</v>
      </c>
      <c r="E45" s="9">
        <v>160737.29999999999</v>
      </c>
      <c r="F45" s="9">
        <v>141104.79999999999</v>
      </c>
      <c r="G45" s="9">
        <v>163866.6</v>
      </c>
      <c r="H45" s="9">
        <v>196881.9</v>
      </c>
      <c r="I45" s="48">
        <v>215792.94500000001</v>
      </c>
      <c r="J45" s="48">
        <v>236490.353</v>
      </c>
      <c r="K45" s="9">
        <v>246313.3</v>
      </c>
      <c r="L45" s="9">
        <v>266263.2</v>
      </c>
      <c r="M45" s="9">
        <v>278509.3</v>
      </c>
      <c r="N45" s="9">
        <v>336612.5</v>
      </c>
      <c r="O45" s="9">
        <v>423071.2</v>
      </c>
      <c r="P45" s="9">
        <v>390565.9</v>
      </c>
      <c r="Q45" s="169">
        <v>369817.9</v>
      </c>
    </row>
    <row r="46" spans="1:17" x14ac:dyDescent="0.25">
      <c r="A46" t="s">
        <v>45</v>
      </c>
      <c r="B46" s="9">
        <v>5546.9</v>
      </c>
      <c r="C46" s="9">
        <v>7187.3</v>
      </c>
      <c r="D46" s="9">
        <v>9015.7999999999993</v>
      </c>
      <c r="E46" s="9">
        <v>10365.299999999999</v>
      </c>
      <c r="F46" s="9">
        <v>9978.7999999999993</v>
      </c>
      <c r="G46" s="9">
        <v>11257.1</v>
      </c>
      <c r="H46" s="9">
        <v>11803.5</v>
      </c>
      <c r="I46" s="48">
        <v>14311.464</v>
      </c>
      <c r="J46" s="48">
        <v>14563.09</v>
      </c>
      <c r="K46" s="9">
        <v>16253.4</v>
      </c>
      <c r="L46" s="9">
        <v>18229.8</v>
      </c>
      <c r="M46" s="9">
        <v>20090.900000000001</v>
      </c>
      <c r="N46" s="9">
        <v>25515</v>
      </c>
      <c r="O46" s="9">
        <v>23997.8</v>
      </c>
      <c r="P46" s="9">
        <v>28541.9</v>
      </c>
      <c r="Q46" s="169">
        <v>24282.5</v>
      </c>
    </row>
    <row r="47" spans="1:17" x14ac:dyDescent="0.25">
      <c r="A47" t="s">
        <v>46</v>
      </c>
      <c r="B47" s="9">
        <v>28103.4</v>
      </c>
      <c r="C47" s="9">
        <v>12795.3</v>
      </c>
      <c r="D47" s="9">
        <v>16094.4</v>
      </c>
      <c r="E47" s="9">
        <v>17568.7</v>
      </c>
      <c r="F47" s="9">
        <v>12061.4</v>
      </c>
      <c r="G47" s="9">
        <v>15652.1</v>
      </c>
      <c r="H47" s="9">
        <v>18833.400000000001</v>
      </c>
      <c r="I47" s="48">
        <v>21369.387999999999</v>
      </c>
      <c r="J47" s="48">
        <v>23047.116999999998</v>
      </c>
      <c r="K47" s="9">
        <v>36002.199999999997</v>
      </c>
      <c r="L47" s="9">
        <v>32544.9</v>
      </c>
      <c r="M47" s="9">
        <v>36562.699999999997</v>
      </c>
      <c r="N47" s="9">
        <v>40218</v>
      </c>
      <c r="O47" s="9">
        <v>36114.199999999997</v>
      </c>
      <c r="P47" s="9">
        <v>35784.300000000003</v>
      </c>
      <c r="Q47" s="169">
        <v>40685.699999999997</v>
      </c>
    </row>
    <row r="48" spans="1:17" x14ac:dyDescent="0.25">
      <c r="A48" t="s">
        <v>47</v>
      </c>
      <c r="B48" s="9">
        <v>140791.29999999999</v>
      </c>
      <c r="C48" s="9">
        <v>159779.1</v>
      </c>
      <c r="D48" s="9">
        <v>181409.4</v>
      </c>
      <c r="E48" s="9">
        <v>227541.8</v>
      </c>
      <c r="F48" s="9">
        <v>162882.20000000001</v>
      </c>
      <c r="G48" s="9">
        <v>211685.5</v>
      </c>
      <c r="H48" s="9">
        <v>282335.7</v>
      </c>
      <c r="I48" s="48">
        <v>333906.46000000002</v>
      </c>
      <c r="J48" s="48">
        <v>345229.94799999997</v>
      </c>
      <c r="K48" s="9">
        <v>396489</v>
      </c>
      <c r="L48" s="9">
        <v>433548.3</v>
      </c>
      <c r="M48" s="9">
        <v>454468.1</v>
      </c>
      <c r="N48" s="9">
        <v>583931.5</v>
      </c>
      <c r="O48" s="9">
        <v>772549</v>
      </c>
      <c r="P48" s="9">
        <v>838413.9</v>
      </c>
      <c r="Q48" s="169">
        <v>672388.9</v>
      </c>
    </row>
    <row r="49" spans="1:17" x14ac:dyDescent="0.25">
      <c r="A49" t="s">
        <v>48</v>
      </c>
      <c r="B49" s="9">
        <v>46247.7</v>
      </c>
      <c r="C49" s="122">
        <v>63441.2</v>
      </c>
      <c r="D49" s="122">
        <v>66967.7</v>
      </c>
      <c r="E49" s="122">
        <v>83742.399999999994</v>
      </c>
      <c r="F49" s="122">
        <v>60783.8</v>
      </c>
      <c r="G49" s="122">
        <v>73290.8</v>
      </c>
      <c r="H49" s="122">
        <v>93821.3</v>
      </c>
      <c r="I49" s="123">
        <v>112149.89599999999</v>
      </c>
      <c r="J49" s="123">
        <v>119002.428</v>
      </c>
      <c r="K49" s="9">
        <v>127400.1</v>
      </c>
      <c r="L49" s="9">
        <v>137642.70000000001</v>
      </c>
      <c r="M49" s="9">
        <v>140369.9</v>
      </c>
      <c r="N49" s="9">
        <v>168412.7</v>
      </c>
      <c r="O49" s="9">
        <v>218421.9</v>
      </c>
      <c r="P49" s="9">
        <v>228343.5</v>
      </c>
      <c r="Q49" s="169">
        <v>172231.8</v>
      </c>
    </row>
    <row r="50" spans="1:17" x14ac:dyDescent="0.25">
      <c r="A50" t="s">
        <v>49</v>
      </c>
      <c r="B50" s="125">
        <v>13395.4</v>
      </c>
      <c r="C50" s="126">
        <v>17398.2</v>
      </c>
      <c r="D50" s="126">
        <v>22546.9</v>
      </c>
      <c r="E50" s="126">
        <v>25137.3</v>
      </c>
      <c r="F50" s="128">
        <v>21816.3</v>
      </c>
      <c r="G50" s="126">
        <v>24156.400000000001</v>
      </c>
      <c r="H50" s="126">
        <v>27713.4</v>
      </c>
      <c r="I50" s="127">
        <v>32626.108</v>
      </c>
      <c r="J50" s="124">
        <v>34635.175000000003</v>
      </c>
      <c r="K50" s="9">
        <v>35315.199999999997</v>
      </c>
      <c r="L50" s="9">
        <v>36160.800000000003</v>
      </c>
      <c r="M50" s="9">
        <v>40847.599999999999</v>
      </c>
      <c r="N50" s="9">
        <v>43563.9</v>
      </c>
      <c r="O50" s="9">
        <v>49437.7</v>
      </c>
      <c r="P50" s="9">
        <v>53740.4</v>
      </c>
      <c r="Q50" s="169">
        <v>56038.3</v>
      </c>
    </row>
    <row r="51" spans="1:17" x14ac:dyDescent="0.25">
      <c r="A51" t="s">
        <v>50</v>
      </c>
      <c r="B51" s="125">
        <v>77680</v>
      </c>
      <c r="C51" s="133">
        <v>100301.1</v>
      </c>
      <c r="D51" s="134">
        <v>117782.2</v>
      </c>
      <c r="E51" s="134">
        <v>167172.4</v>
      </c>
      <c r="F51" s="130">
        <v>115606.9</v>
      </c>
      <c r="G51" s="130">
        <v>134604.4</v>
      </c>
      <c r="H51" s="130">
        <v>181356.79999999999</v>
      </c>
      <c r="I51" s="129">
        <v>215696.761</v>
      </c>
      <c r="J51" s="129">
        <v>222387.09899999999</v>
      </c>
      <c r="K51" s="9">
        <v>227210.9</v>
      </c>
      <c r="L51" s="9">
        <v>236034.2</v>
      </c>
      <c r="M51" s="9">
        <v>253913.9</v>
      </c>
      <c r="N51" s="9">
        <v>319881.2</v>
      </c>
      <c r="O51" s="9">
        <v>410901.8</v>
      </c>
      <c r="P51" s="9">
        <v>425280.9</v>
      </c>
      <c r="Q51" s="169">
        <v>358993.2</v>
      </c>
    </row>
    <row r="52" spans="1:17" x14ac:dyDescent="0.25">
      <c r="A52" t="s">
        <v>51</v>
      </c>
      <c r="B52" s="9">
        <v>13515.4</v>
      </c>
      <c r="C52" s="130">
        <v>15757.4</v>
      </c>
      <c r="D52" s="134">
        <v>19139.8</v>
      </c>
      <c r="E52" s="134">
        <v>23837.599999999999</v>
      </c>
      <c r="F52" s="132">
        <v>21477.1</v>
      </c>
      <c r="G52" s="132">
        <v>25509.7</v>
      </c>
      <c r="H52" s="132">
        <v>30400.6</v>
      </c>
      <c r="I52" s="131">
        <v>33496.317000000003</v>
      </c>
      <c r="J52" s="131">
        <v>35820.057000000001</v>
      </c>
      <c r="K52" s="9">
        <v>37513.300000000003</v>
      </c>
      <c r="L52" s="9">
        <v>41857.199999999997</v>
      </c>
      <c r="M52" s="9">
        <v>43657.3</v>
      </c>
      <c r="N52" s="9">
        <v>44754.3</v>
      </c>
      <c r="O52" s="9">
        <v>47643.3</v>
      </c>
      <c r="P52" s="9">
        <v>50441.7</v>
      </c>
      <c r="Q52" s="169">
        <v>49845.2</v>
      </c>
    </row>
    <row r="53" spans="1:17" x14ac:dyDescent="0.25">
      <c r="A53" t="s">
        <v>52</v>
      </c>
      <c r="B53" s="9">
        <v>57440.2</v>
      </c>
      <c r="C53" s="130">
        <v>78464.899999999994</v>
      </c>
      <c r="D53" s="132">
        <v>98512.6</v>
      </c>
      <c r="E53" s="132">
        <v>112689.60000000001</v>
      </c>
      <c r="F53" s="132">
        <v>98162.1</v>
      </c>
      <c r="G53" s="132">
        <v>107586.5</v>
      </c>
      <c r="H53" s="132">
        <v>141260.9</v>
      </c>
      <c r="I53" s="131">
        <v>164251.587</v>
      </c>
      <c r="J53" s="131">
        <v>168452.34700000001</v>
      </c>
      <c r="K53" s="9">
        <v>182378.8</v>
      </c>
      <c r="L53" s="9">
        <v>200054.7</v>
      </c>
      <c r="M53" s="9">
        <v>239354.2</v>
      </c>
      <c r="N53" s="9">
        <v>276225.8</v>
      </c>
      <c r="O53" s="9">
        <v>279285.3</v>
      </c>
      <c r="P53" s="9">
        <v>288738.3</v>
      </c>
      <c r="Q53" s="169">
        <v>335877</v>
      </c>
    </row>
    <row r="54" spans="1:17" x14ac:dyDescent="0.25">
      <c r="A54" t="s">
        <v>53</v>
      </c>
      <c r="B54" s="9">
        <v>70348.100000000006</v>
      </c>
      <c r="C54" s="137">
        <v>90262</v>
      </c>
      <c r="D54" s="135">
        <v>102275.7</v>
      </c>
      <c r="E54" s="135">
        <v>124417.2</v>
      </c>
      <c r="F54" s="136">
        <v>90922.2</v>
      </c>
      <c r="G54" s="132">
        <v>113812.6</v>
      </c>
      <c r="H54" s="132">
        <v>156255.1</v>
      </c>
      <c r="I54" s="131">
        <v>182296.33300000001</v>
      </c>
      <c r="J54" s="131">
        <v>186453.046</v>
      </c>
      <c r="K54" s="9">
        <v>209371.9</v>
      </c>
      <c r="L54" s="9">
        <v>231376.3</v>
      </c>
      <c r="M54" s="9">
        <v>212620.9</v>
      </c>
      <c r="N54" s="9">
        <v>262543.90000000002</v>
      </c>
      <c r="O54" s="9">
        <v>383516.2</v>
      </c>
      <c r="P54" s="9">
        <v>406696.3</v>
      </c>
      <c r="Q54" s="169">
        <v>307268.5</v>
      </c>
    </row>
    <row r="55" spans="1:17" x14ac:dyDescent="0.25">
      <c r="A55" t="s">
        <v>54</v>
      </c>
      <c r="B55" s="125">
        <v>11354.1</v>
      </c>
      <c r="C55" s="132">
        <v>14040.7</v>
      </c>
      <c r="D55" s="132">
        <v>18323.900000000001</v>
      </c>
      <c r="E55" s="132">
        <v>21066</v>
      </c>
      <c r="F55" s="130">
        <v>21418.799999999999</v>
      </c>
      <c r="G55" s="132">
        <v>25108.2</v>
      </c>
      <c r="H55" s="132">
        <v>27085.1</v>
      </c>
      <c r="I55" s="131">
        <v>32048.812999999998</v>
      </c>
      <c r="J55" s="129">
        <v>34268.663</v>
      </c>
      <c r="K55" s="9">
        <v>38674.400000000001</v>
      </c>
      <c r="L55" s="9">
        <v>37467.1</v>
      </c>
      <c r="M55" s="9">
        <v>47373.1</v>
      </c>
      <c r="N55" s="9">
        <v>51288.4</v>
      </c>
      <c r="O55" s="9">
        <v>54179.1</v>
      </c>
      <c r="P55" s="9">
        <v>54592.9</v>
      </c>
      <c r="Q55" s="169">
        <v>63952.3</v>
      </c>
    </row>
    <row r="56" spans="1:17" x14ac:dyDescent="0.25">
      <c r="A56" t="s">
        <v>55</v>
      </c>
      <c r="B56" s="9">
        <v>110869.3</v>
      </c>
      <c r="C56" s="9">
        <v>117678.3</v>
      </c>
      <c r="D56" s="9">
        <v>152649.9</v>
      </c>
      <c r="E56" s="9">
        <v>191505.2</v>
      </c>
      <c r="F56" s="9">
        <v>147688.6</v>
      </c>
      <c r="G56" s="9">
        <v>180726.9</v>
      </c>
      <c r="H56" s="9">
        <v>238145.3</v>
      </c>
      <c r="I56" s="48">
        <v>282805.43099999998</v>
      </c>
      <c r="J56" s="48">
        <v>291131.522</v>
      </c>
      <c r="K56" s="9">
        <v>307294.2</v>
      </c>
      <c r="L56" s="9">
        <v>308650.2</v>
      </c>
      <c r="M56" s="9">
        <v>344817.5</v>
      </c>
      <c r="N56" s="9">
        <v>415354.8</v>
      </c>
      <c r="O56" s="9">
        <v>513841.2</v>
      </c>
      <c r="P56" s="9">
        <v>581556.5</v>
      </c>
      <c r="Q56" s="169">
        <v>511233.2</v>
      </c>
    </row>
    <row r="57" spans="1:17" x14ac:dyDescent="0.25">
      <c r="A57" t="s">
        <v>56</v>
      </c>
      <c r="B57" s="9">
        <v>34561.699999999997</v>
      </c>
      <c r="C57" s="9">
        <v>43071.199999999997</v>
      </c>
      <c r="D57" s="9">
        <v>55359.6</v>
      </c>
      <c r="E57" s="9">
        <v>68903.600000000006</v>
      </c>
      <c r="F57" s="9">
        <v>60967</v>
      </c>
      <c r="G57" s="9">
        <v>71031</v>
      </c>
      <c r="H57" s="9">
        <v>75653.7</v>
      </c>
      <c r="I57" s="48">
        <v>99193.019</v>
      </c>
      <c r="J57" s="48">
        <v>108016.955</v>
      </c>
      <c r="K57" s="9">
        <v>117982.5</v>
      </c>
      <c r="L57" s="9">
        <v>124612.3</v>
      </c>
      <c r="M57" s="9">
        <v>146568</v>
      </c>
      <c r="N57" s="9">
        <v>167887.3</v>
      </c>
      <c r="O57" s="9">
        <v>188953.2</v>
      </c>
      <c r="P57" s="9">
        <v>176015.6</v>
      </c>
      <c r="Q57" s="169">
        <v>153993.1</v>
      </c>
    </row>
    <row r="58" spans="1:17" x14ac:dyDescent="0.25">
      <c r="A58" t="s">
        <v>57</v>
      </c>
      <c r="B58" s="9">
        <v>13852.4</v>
      </c>
      <c r="C58" s="9">
        <v>18699.099999999999</v>
      </c>
      <c r="D58" s="9">
        <v>22440.9</v>
      </c>
      <c r="E58" s="9">
        <v>24993.200000000001</v>
      </c>
      <c r="F58" s="9">
        <v>21360</v>
      </c>
      <c r="G58" s="9">
        <v>26732.7</v>
      </c>
      <c r="H58" s="9">
        <v>30114.2</v>
      </c>
      <c r="I58" s="48">
        <v>35863.504999999997</v>
      </c>
      <c r="J58" s="48">
        <v>39240.038</v>
      </c>
      <c r="K58" s="9">
        <v>43571</v>
      </c>
      <c r="L58" s="9">
        <v>51372.800000000003</v>
      </c>
      <c r="M58" s="9">
        <v>63705.3</v>
      </c>
      <c r="N58" s="9">
        <v>74113.3</v>
      </c>
      <c r="O58" s="9">
        <v>77271</v>
      </c>
      <c r="P58" s="9">
        <v>87272.9</v>
      </c>
      <c r="Q58" s="169">
        <v>86490.1</v>
      </c>
    </row>
    <row r="59" spans="1:17" x14ac:dyDescent="0.25">
      <c r="A59" t="s">
        <v>58</v>
      </c>
      <c r="B59" s="9">
        <v>6945.8</v>
      </c>
      <c r="C59" s="9">
        <v>8848.1</v>
      </c>
      <c r="D59" s="9">
        <v>11635.9</v>
      </c>
      <c r="E59" s="9">
        <v>13698.7</v>
      </c>
      <c r="F59" s="9">
        <v>12046.9</v>
      </c>
      <c r="G59" s="9">
        <v>15067.6</v>
      </c>
      <c r="H59" s="9">
        <v>17793.599999999999</v>
      </c>
      <c r="I59" s="48">
        <v>19523.457999999999</v>
      </c>
      <c r="J59" s="48">
        <v>19692.129000000001</v>
      </c>
      <c r="K59" s="9">
        <v>21958.9</v>
      </c>
      <c r="L59" s="9">
        <v>22104.5</v>
      </c>
      <c r="M59" s="9">
        <v>26126.9</v>
      </c>
      <c r="N59" s="9">
        <v>28403</v>
      </c>
      <c r="O59" s="9">
        <v>27088.9</v>
      </c>
      <c r="P59" s="9">
        <v>30962.5</v>
      </c>
      <c r="Q59" s="169">
        <v>32776.1</v>
      </c>
    </row>
    <row r="60" spans="1:17" x14ac:dyDescent="0.25">
      <c r="A60" t="s">
        <v>59</v>
      </c>
      <c r="B60" s="9">
        <v>90852.6</v>
      </c>
      <c r="C60" s="9">
        <v>122010</v>
      </c>
      <c r="D60" s="9">
        <v>149339.70000000001</v>
      </c>
      <c r="E60" s="9">
        <v>171635.4</v>
      </c>
      <c r="F60" s="9">
        <v>119166.9</v>
      </c>
      <c r="G60" s="9">
        <v>161247.9</v>
      </c>
      <c r="H60" s="9">
        <v>192599</v>
      </c>
      <c r="I60" s="48">
        <v>219778.31099999999</v>
      </c>
      <c r="J60" s="48">
        <v>217591.55799999999</v>
      </c>
      <c r="K60" s="9">
        <v>229561.1</v>
      </c>
      <c r="L60" s="9">
        <v>244504.3</v>
      </c>
      <c r="M60" s="9">
        <v>269964</v>
      </c>
      <c r="N60" s="9">
        <v>312412.40000000002</v>
      </c>
      <c r="O60" s="9">
        <v>358884.1</v>
      </c>
      <c r="P60" s="9">
        <v>381066.8</v>
      </c>
      <c r="Q60" s="169">
        <v>390255.3</v>
      </c>
    </row>
    <row r="61" spans="1:17" x14ac:dyDescent="0.25">
      <c r="A61" t="s">
        <v>60</v>
      </c>
      <c r="B61" s="9">
        <v>43312.800000000003</v>
      </c>
      <c r="C61">
        <v>1354939</v>
      </c>
      <c r="D61">
        <v>1240814</v>
      </c>
      <c r="E61" s="121">
        <v>1681485</v>
      </c>
      <c r="F61">
        <v>1141073</v>
      </c>
      <c r="G61">
        <v>1461276</v>
      </c>
      <c r="H61" s="9">
        <v>2077288.5</v>
      </c>
      <c r="I61" s="49">
        <v>2398694.2999999998</v>
      </c>
      <c r="J61" s="48">
        <v>2443823.5</v>
      </c>
      <c r="K61" s="9">
        <v>165126.6</v>
      </c>
      <c r="L61" s="9">
        <v>166199.5</v>
      </c>
      <c r="M61" s="9">
        <v>155960.70000000001</v>
      </c>
      <c r="N61" s="9">
        <v>226765.1</v>
      </c>
      <c r="O61" s="9">
        <v>324260.09999999998</v>
      </c>
      <c r="P61" s="9">
        <v>338280.6</v>
      </c>
      <c r="Q61" s="169">
        <v>255801.7</v>
      </c>
    </row>
    <row r="62" spans="1:17" x14ac:dyDescent="0.25">
      <c r="A62" t="s">
        <v>61</v>
      </c>
      <c r="B62" s="9">
        <v>53292.4</v>
      </c>
      <c r="C62" s="9">
        <v>73593.600000000006</v>
      </c>
      <c r="D62" s="9">
        <v>96767.2</v>
      </c>
      <c r="E62" s="9">
        <v>98679</v>
      </c>
      <c r="F62" s="9">
        <v>58051.7</v>
      </c>
      <c r="G62" s="9">
        <v>93419.5</v>
      </c>
      <c r="H62" s="9">
        <v>116235</v>
      </c>
      <c r="I62" s="48">
        <v>128582.512</v>
      </c>
      <c r="J62" s="48">
        <v>132789.64600000001</v>
      </c>
      <c r="K62" s="9">
        <v>152183.1</v>
      </c>
      <c r="L62" s="9">
        <v>179603.5</v>
      </c>
      <c r="M62" s="9">
        <v>193994.3</v>
      </c>
      <c r="N62" s="9">
        <v>214070.3</v>
      </c>
      <c r="O62" s="9">
        <v>240065.7</v>
      </c>
      <c r="P62" s="9">
        <v>244974</v>
      </c>
      <c r="Q62" s="169">
        <v>251180.79999999999</v>
      </c>
    </row>
    <row r="63" spans="1:17" x14ac:dyDescent="0.25">
      <c r="A63" t="s">
        <v>62</v>
      </c>
      <c r="B63">
        <v>3104.2</v>
      </c>
      <c r="C63" s="9">
        <v>3407.7</v>
      </c>
      <c r="D63" s="9">
        <v>3905.7</v>
      </c>
      <c r="E63" s="9">
        <v>3374.8</v>
      </c>
      <c r="F63" s="9">
        <v>2764.3</v>
      </c>
      <c r="G63" s="9">
        <v>4386.8</v>
      </c>
      <c r="H63" s="9">
        <v>3787.6</v>
      </c>
      <c r="I63" s="48">
        <v>4359.4279999999999</v>
      </c>
      <c r="J63" s="48">
        <v>4696.6660000000002</v>
      </c>
      <c r="K63" s="9">
        <v>5276.1</v>
      </c>
      <c r="L63">
        <v>5973.1</v>
      </c>
      <c r="M63" s="9">
        <v>5987.7</v>
      </c>
      <c r="N63" s="9">
        <v>6486.9</v>
      </c>
      <c r="O63" s="9">
        <v>7181.2</v>
      </c>
      <c r="P63">
        <v>8411.4</v>
      </c>
      <c r="Q63" s="169">
        <v>8900.2000000000007</v>
      </c>
    </row>
    <row r="64" spans="1:17" x14ac:dyDescent="0.25">
      <c r="A64" t="s">
        <v>63</v>
      </c>
      <c r="B64">
        <v>9152.5</v>
      </c>
      <c r="C64" s="9">
        <v>13579</v>
      </c>
      <c r="D64" s="9">
        <v>15790.7</v>
      </c>
      <c r="E64" s="9">
        <v>18266</v>
      </c>
      <c r="F64" s="9">
        <v>18019.400000000001</v>
      </c>
      <c r="G64">
        <v>17683.2</v>
      </c>
      <c r="H64" s="9">
        <v>21728.6</v>
      </c>
      <c r="I64" s="48">
        <v>21371.1</v>
      </c>
      <c r="J64" s="48">
        <v>21100.945</v>
      </c>
      <c r="K64" s="9">
        <v>21893.599999999999</v>
      </c>
      <c r="L64">
        <v>26931.200000000001</v>
      </c>
      <c r="M64" s="9">
        <v>25370.799999999999</v>
      </c>
      <c r="N64" s="9">
        <v>27462.7</v>
      </c>
      <c r="O64" s="9">
        <v>32179.599999999999</v>
      </c>
      <c r="P64">
        <v>36181.800000000003</v>
      </c>
      <c r="Q64" s="169">
        <v>29880</v>
      </c>
    </row>
    <row r="65" spans="1:17" x14ac:dyDescent="0.25">
      <c r="A65" t="s">
        <v>64</v>
      </c>
      <c r="B65">
        <v>1289.5999999999999</v>
      </c>
      <c r="C65" s="9">
        <v>1609.9</v>
      </c>
      <c r="D65" s="9">
        <v>1889.2</v>
      </c>
      <c r="E65" s="9">
        <v>2495.8000000000002</v>
      </c>
      <c r="F65" s="9">
        <v>2629.1</v>
      </c>
      <c r="G65" s="9">
        <v>3263.3</v>
      </c>
      <c r="H65" s="9">
        <v>3131.3</v>
      </c>
      <c r="I65" s="48">
        <v>3213.2539999999999</v>
      </c>
      <c r="J65" s="48">
        <v>3791.8429999999998</v>
      </c>
      <c r="K65" s="9">
        <v>3609.9</v>
      </c>
      <c r="L65" s="9">
        <v>4576</v>
      </c>
      <c r="M65" s="9">
        <v>4972.8999999999996</v>
      </c>
      <c r="N65" s="9">
        <v>6079.3</v>
      </c>
      <c r="O65" s="9">
        <v>6579.9</v>
      </c>
      <c r="P65" s="9">
        <v>7376.5</v>
      </c>
      <c r="Q65" s="169">
        <v>6670</v>
      </c>
    </row>
    <row r="66" spans="1:17" x14ac:dyDescent="0.25">
      <c r="A66" t="s">
        <v>65</v>
      </c>
      <c r="B66" s="9">
        <v>6273.6</v>
      </c>
      <c r="C66" s="9">
        <v>6300.1</v>
      </c>
      <c r="D66" s="9">
        <v>7929.6</v>
      </c>
      <c r="E66" s="9">
        <v>6863.2</v>
      </c>
      <c r="F66" s="9">
        <v>9257.7999999999993</v>
      </c>
      <c r="G66" s="9">
        <v>9922.7000000000007</v>
      </c>
      <c r="H66" s="9">
        <v>12322.9</v>
      </c>
      <c r="I66" s="48">
        <v>13219.62</v>
      </c>
      <c r="J66" s="48">
        <v>11638.679</v>
      </c>
      <c r="K66" s="9">
        <v>14785.4</v>
      </c>
      <c r="L66" s="9">
        <v>17007.2</v>
      </c>
      <c r="M66" s="9">
        <v>18852.7</v>
      </c>
      <c r="N66" s="9">
        <v>22436.7</v>
      </c>
      <c r="O66" s="9">
        <v>27957.5</v>
      </c>
      <c r="P66" s="9">
        <v>22934.5</v>
      </c>
      <c r="Q66" s="169">
        <v>24696.400000000001</v>
      </c>
    </row>
    <row r="67" spans="1:17" x14ac:dyDescent="0.25">
      <c r="A67" t="s">
        <v>66</v>
      </c>
      <c r="B67" s="9">
        <v>15604.7</v>
      </c>
      <c r="C67" s="9">
        <v>20417.2</v>
      </c>
      <c r="D67" s="9">
        <v>27120.1</v>
      </c>
      <c r="E67" s="9">
        <v>34388.1</v>
      </c>
      <c r="F67" s="9">
        <v>29815.5</v>
      </c>
      <c r="G67" s="9">
        <v>43245.4</v>
      </c>
      <c r="H67" s="9">
        <v>47389.599999999999</v>
      </c>
      <c r="I67" s="48">
        <v>51131.019</v>
      </c>
      <c r="J67" s="48">
        <v>55676.498</v>
      </c>
      <c r="K67" s="9">
        <v>60786.3</v>
      </c>
      <c r="L67" s="9">
        <v>63401.5</v>
      </c>
      <c r="M67" s="9">
        <v>73135.7</v>
      </c>
      <c r="N67" s="9">
        <v>79485.600000000006</v>
      </c>
      <c r="O67" s="9">
        <v>83948.9</v>
      </c>
      <c r="P67" s="9">
        <v>91105.5</v>
      </c>
      <c r="Q67" s="169">
        <v>94885.9</v>
      </c>
    </row>
    <row r="68" spans="1:17" x14ac:dyDescent="0.25">
      <c r="A68" t="s">
        <v>73</v>
      </c>
      <c r="B68">
        <v>18992.900000000001</v>
      </c>
      <c r="C68">
        <v>39959.699999999997</v>
      </c>
      <c r="D68">
        <v>16952.3</v>
      </c>
      <c r="E68">
        <v>19453.5</v>
      </c>
      <c r="F68" s="9">
        <v>20445.599999999999</v>
      </c>
      <c r="G68">
        <v>24366.3</v>
      </c>
      <c r="H68" s="9">
        <v>26030.1</v>
      </c>
      <c r="I68" s="48">
        <v>27239.862000000001</v>
      </c>
      <c r="J68" s="48">
        <v>27550.116999999998</v>
      </c>
      <c r="K68" s="9">
        <v>28377</v>
      </c>
      <c r="L68" s="9">
        <v>32226.6</v>
      </c>
      <c r="M68" s="9">
        <v>32479.9</v>
      </c>
      <c r="N68" s="9">
        <v>34554.9</v>
      </c>
      <c r="O68" s="9">
        <v>40664.6</v>
      </c>
      <c r="P68">
        <v>44580.4</v>
      </c>
      <c r="Q68" s="169">
        <v>39523.4</v>
      </c>
    </row>
    <row r="69" spans="1:17" x14ac:dyDescent="0.25">
      <c r="A69" t="s">
        <v>67</v>
      </c>
      <c r="B69" s="9">
        <v>69360.100000000006</v>
      </c>
      <c r="C69">
        <v>108155.4</v>
      </c>
      <c r="D69" s="9">
        <v>146752.79999999999</v>
      </c>
      <c r="E69" s="9">
        <v>139902.20000000001</v>
      </c>
      <c r="F69" s="9">
        <v>105221.7</v>
      </c>
      <c r="G69" s="9">
        <v>164656.70000000001</v>
      </c>
      <c r="H69" s="9">
        <v>202603.6</v>
      </c>
      <c r="I69" s="48">
        <v>268786.18400000001</v>
      </c>
      <c r="J69" s="48">
        <v>293064.34899999999</v>
      </c>
      <c r="K69" s="9">
        <v>315309.3</v>
      </c>
      <c r="L69" s="9">
        <v>353601.7</v>
      </c>
      <c r="M69" s="9">
        <v>371671.7</v>
      </c>
      <c r="N69" s="9">
        <v>472209.8</v>
      </c>
      <c r="O69" s="9">
        <v>622117.19999999995</v>
      </c>
      <c r="P69" s="9">
        <v>711261.4</v>
      </c>
      <c r="Q69" s="169">
        <v>652155.1</v>
      </c>
    </row>
    <row r="70" spans="1:17" x14ac:dyDescent="0.25">
      <c r="A70" t="s">
        <v>68</v>
      </c>
      <c r="B70" s="9">
        <v>40941.699999999997</v>
      </c>
      <c r="C70">
        <v>47134.5</v>
      </c>
      <c r="D70">
        <v>62617.9</v>
      </c>
      <c r="E70" s="9">
        <v>70373.600000000006</v>
      </c>
      <c r="F70" s="9">
        <v>60664.3</v>
      </c>
      <c r="G70" s="9">
        <v>62657</v>
      </c>
      <c r="H70" s="9">
        <v>125571.4</v>
      </c>
      <c r="I70" s="48">
        <v>146384.48199999999</v>
      </c>
      <c r="J70" s="48">
        <v>143206.133</v>
      </c>
      <c r="K70" s="9">
        <v>187570.9</v>
      </c>
      <c r="L70" s="9">
        <v>197900.6</v>
      </c>
      <c r="M70" s="9">
        <v>245545.9</v>
      </c>
      <c r="N70" s="9">
        <v>320411.09999999998</v>
      </c>
      <c r="O70" s="9">
        <v>433645.4</v>
      </c>
      <c r="P70" s="9">
        <v>450584</v>
      </c>
      <c r="Q70" s="169">
        <v>380053</v>
      </c>
    </row>
    <row r="71" spans="1:17" x14ac:dyDescent="0.25">
      <c r="A71" t="s">
        <v>69</v>
      </c>
      <c r="B71" s="9">
        <v>61611.1</v>
      </c>
      <c r="C71" s="9">
        <v>57996.2</v>
      </c>
      <c r="D71" s="9">
        <v>81456.600000000006</v>
      </c>
      <c r="E71" s="9">
        <v>114166.8</v>
      </c>
      <c r="F71" s="9">
        <v>67445</v>
      </c>
      <c r="G71" s="9">
        <v>94760.2</v>
      </c>
      <c r="H71" s="9">
        <v>122826</v>
      </c>
      <c r="I71" s="48">
        <v>101467.075</v>
      </c>
      <c r="J71" s="48">
        <v>84805.505999999994</v>
      </c>
      <c r="K71" s="9">
        <v>96390.6</v>
      </c>
      <c r="L71" s="9">
        <v>107268</v>
      </c>
      <c r="M71" s="9">
        <v>102048.2</v>
      </c>
      <c r="N71" s="9">
        <v>153774.79999999999</v>
      </c>
      <c r="O71" s="9">
        <v>177604.6</v>
      </c>
      <c r="P71" s="9">
        <v>138227.29999999999</v>
      </c>
      <c r="Q71" s="169">
        <v>114564.6</v>
      </c>
    </row>
    <row r="72" spans="1:17" x14ac:dyDescent="0.25">
      <c r="A72" t="s">
        <v>70</v>
      </c>
      <c r="B72" s="9">
        <v>43913</v>
      </c>
      <c r="C72" s="9">
        <v>57041.1</v>
      </c>
      <c r="D72" s="9">
        <v>77267.399999999994</v>
      </c>
      <c r="E72" s="9">
        <v>92181.9</v>
      </c>
      <c r="F72" s="9">
        <v>83262.2</v>
      </c>
      <c r="G72" s="9">
        <v>96399.5</v>
      </c>
      <c r="H72" s="9">
        <v>109997.5</v>
      </c>
      <c r="I72" s="48">
        <v>126945.71</v>
      </c>
      <c r="J72" s="48">
        <v>132930.32800000001</v>
      </c>
      <c r="K72" s="9">
        <v>138153.5</v>
      </c>
      <c r="L72" s="9">
        <v>141749.9</v>
      </c>
      <c r="M72" s="9">
        <v>158141.20000000001</v>
      </c>
      <c r="N72" s="9">
        <v>172841</v>
      </c>
      <c r="O72" s="9">
        <v>195009.4</v>
      </c>
      <c r="P72" s="9">
        <v>197524.6</v>
      </c>
      <c r="Q72" s="169">
        <v>205483.9</v>
      </c>
    </row>
    <row r="73" spans="1:17" x14ac:dyDescent="0.25">
      <c r="A73" t="s">
        <v>71</v>
      </c>
      <c r="B73" s="9">
        <v>58646.400000000001</v>
      </c>
      <c r="C73" s="9">
        <v>48993.599999999999</v>
      </c>
      <c r="D73" s="9">
        <v>61327.7</v>
      </c>
      <c r="E73" s="9">
        <v>65921.5</v>
      </c>
      <c r="F73" s="9">
        <v>60378.5</v>
      </c>
      <c r="G73" s="9">
        <v>75050</v>
      </c>
      <c r="H73" s="9">
        <v>101002.3</v>
      </c>
      <c r="I73" s="48">
        <v>122674.205</v>
      </c>
      <c r="J73" s="48">
        <v>126842.15</v>
      </c>
      <c r="K73" s="9">
        <v>135323.79999999999</v>
      </c>
      <c r="L73" s="9">
        <v>122866.9</v>
      </c>
      <c r="M73" s="9">
        <v>148024</v>
      </c>
      <c r="N73" s="9">
        <v>178156.9</v>
      </c>
      <c r="O73" s="9">
        <v>169842.8</v>
      </c>
      <c r="P73" s="9">
        <v>187627.4</v>
      </c>
      <c r="Q73" s="169">
        <v>204624</v>
      </c>
    </row>
    <row r="74" spans="1:17" x14ac:dyDescent="0.25">
      <c r="A74" t="s">
        <v>72</v>
      </c>
      <c r="B74" s="9">
        <v>60441.5</v>
      </c>
      <c r="C74" s="9">
        <v>59305.3</v>
      </c>
      <c r="D74" s="9">
        <v>57788.3</v>
      </c>
      <c r="E74" s="9">
        <v>75819.5</v>
      </c>
      <c r="F74" s="9">
        <v>60984.1</v>
      </c>
      <c r="G74" s="9">
        <v>80733.600000000006</v>
      </c>
      <c r="H74" s="9">
        <v>109203.8</v>
      </c>
      <c r="I74" s="48">
        <v>129954.28</v>
      </c>
      <c r="J74" s="48">
        <v>133260.76</v>
      </c>
      <c r="K74" s="9">
        <v>141685.9</v>
      </c>
      <c r="L74" s="9">
        <v>153499.79999999999</v>
      </c>
      <c r="M74" s="9">
        <v>145101.79999999999</v>
      </c>
      <c r="N74" s="9">
        <v>171272</v>
      </c>
      <c r="O74" s="9">
        <v>239926.2</v>
      </c>
      <c r="P74" s="9">
        <v>226957.4</v>
      </c>
      <c r="Q74" s="169">
        <v>158789.6</v>
      </c>
    </row>
    <row r="75" spans="1:17" x14ac:dyDescent="0.25">
      <c r="A75" t="s">
        <v>74</v>
      </c>
      <c r="B75">
        <v>34405.4</v>
      </c>
      <c r="C75" s="9">
        <v>33652.300000000003</v>
      </c>
      <c r="D75" s="9">
        <v>39936.199999999997</v>
      </c>
      <c r="E75" s="9">
        <v>45438.5</v>
      </c>
      <c r="F75" s="9">
        <v>50210.3</v>
      </c>
      <c r="G75">
        <v>65075</v>
      </c>
      <c r="H75" s="9">
        <v>74295.399999999994</v>
      </c>
      <c r="I75" s="48">
        <v>76692.293000000005</v>
      </c>
      <c r="J75" s="48">
        <v>73815.460000000006</v>
      </c>
      <c r="K75" s="9">
        <v>125688.4</v>
      </c>
      <c r="L75">
        <v>154170.5</v>
      </c>
      <c r="M75" s="9">
        <v>159790.70000000001</v>
      </c>
      <c r="N75" s="9">
        <v>170229.5</v>
      </c>
      <c r="O75" s="9">
        <v>243004.4</v>
      </c>
      <c r="P75" s="9">
        <v>249187.20000000001</v>
      </c>
      <c r="Q75" s="169">
        <v>220384.7</v>
      </c>
    </row>
    <row r="76" spans="1:17" x14ac:dyDescent="0.25">
      <c r="A76" t="s">
        <v>75</v>
      </c>
      <c r="B76" s="9">
        <v>8782.2000000000007</v>
      </c>
      <c r="C76">
        <v>11267.4</v>
      </c>
      <c r="D76">
        <v>13114</v>
      </c>
      <c r="E76" s="9">
        <v>11557.4</v>
      </c>
      <c r="F76" s="9">
        <v>13042.4</v>
      </c>
      <c r="G76" s="9">
        <v>16149.2</v>
      </c>
      <c r="H76" s="9">
        <v>18354.5</v>
      </c>
      <c r="I76" s="48">
        <v>20699.897000000001</v>
      </c>
      <c r="J76" s="48">
        <v>21396.844000000001</v>
      </c>
      <c r="K76" s="9">
        <v>24563</v>
      </c>
      <c r="L76" s="9">
        <v>27056.5</v>
      </c>
      <c r="M76" s="9">
        <v>30447.5</v>
      </c>
      <c r="N76" s="9">
        <v>31448.799999999999</v>
      </c>
      <c r="O76" s="9">
        <v>33105.4</v>
      </c>
      <c r="P76" s="9">
        <v>39728.800000000003</v>
      </c>
      <c r="Q76" s="169">
        <v>38153.599999999999</v>
      </c>
    </row>
    <row r="77" spans="1:17" x14ac:dyDescent="0.25">
      <c r="A77" t="s">
        <v>76</v>
      </c>
      <c r="B77" s="9">
        <v>30512.799999999999</v>
      </c>
      <c r="C77" s="9">
        <v>35724.699999999997</v>
      </c>
      <c r="D77" s="9">
        <v>42043.3</v>
      </c>
      <c r="E77" s="9">
        <v>46413</v>
      </c>
      <c r="F77" s="9">
        <v>47021.3</v>
      </c>
      <c r="G77" s="9">
        <v>54506.5</v>
      </c>
      <c r="H77" s="9">
        <v>65744</v>
      </c>
      <c r="I77" s="48">
        <v>70526.236999999994</v>
      </c>
      <c r="J77" s="48">
        <v>74579.577999999994</v>
      </c>
      <c r="K77" s="9">
        <v>78079.399999999994</v>
      </c>
      <c r="L77" s="9">
        <v>85477.6</v>
      </c>
      <c r="M77" s="9">
        <v>98909.8</v>
      </c>
      <c r="N77" s="9">
        <v>101088</v>
      </c>
      <c r="O77" s="9">
        <v>111944.2</v>
      </c>
      <c r="P77" s="9">
        <v>132048.79999999999</v>
      </c>
      <c r="Q77" s="169">
        <v>129386.5</v>
      </c>
    </row>
    <row r="78" spans="1:17" x14ac:dyDescent="0.25">
      <c r="A78" t="s">
        <v>77</v>
      </c>
      <c r="B78" s="9">
        <v>28467</v>
      </c>
      <c r="C78" s="9">
        <v>33886.9</v>
      </c>
      <c r="D78" s="9">
        <v>45762.6</v>
      </c>
      <c r="E78" s="9">
        <v>49412.7</v>
      </c>
      <c r="F78" s="9">
        <v>48545.8</v>
      </c>
      <c r="G78" s="9">
        <v>61203.199999999997</v>
      </c>
      <c r="H78" s="9">
        <v>73671.600000000006</v>
      </c>
      <c r="I78" s="48">
        <v>88225.788</v>
      </c>
      <c r="J78" s="48">
        <v>56466.815000000002</v>
      </c>
      <c r="K78" s="9">
        <v>98392.1</v>
      </c>
      <c r="L78" s="9">
        <v>96476.800000000003</v>
      </c>
      <c r="M78" s="9">
        <v>110965.6</v>
      </c>
      <c r="N78" s="9">
        <v>123876.6</v>
      </c>
      <c r="O78" s="9">
        <v>128842.3</v>
      </c>
      <c r="P78" s="9">
        <v>143526.6</v>
      </c>
      <c r="Q78" s="169">
        <v>150488.4</v>
      </c>
    </row>
    <row r="79" spans="1:17" x14ac:dyDescent="0.25">
      <c r="A79" t="s">
        <v>78</v>
      </c>
      <c r="B79" s="9">
        <v>11446.6</v>
      </c>
      <c r="C79" s="9">
        <v>13062.8</v>
      </c>
      <c r="D79" s="9">
        <v>15737.2</v>
      </c>
      <c r="E79" s="9">
        <v>21587.5</v>
      </c>
      <c r="F79" s="9">
        <v>23702.6</v>
      </c>
      <c r="G79" s="9">
        <v>26444.3</v>
      </c>
      <c r="H79" s="9">
        <v>28921.1</v>
      </c>
      <c r="I79" s="48">
        <v>31830.48</v>
      </c>
      <c r="J79" s="48">
        <v>32767.076000000001</v>
      </c>
      <c r="K79" s="9">
        <v>38294.1</v>
      </c>
      <c r="L79" s="9">
        <v>39092.800000000003</v>
      </c>
      <c r="M79" s="9">
        <v>41269.5</v>
      </c>
      <c r="N79" s="9">
        <v>23010.9</v>
      </c>
      <c r="O79" s="9">
        <v>29760.7</v>
      </c>
      <c r="P79" s="9">
        <v>19667.900000000001</v>
      </c>
      <c r="Q79" s="169">
        <v>24086.400000000001</v>
      </c>
    </row>
    <row r="80" spans="1:17" x14ac:dyDescent="0.25">
      <c r="A80" t="s">
        <v>79</v>
      </c>
      <c r="B80" s="9">
        <v>4346.5</v>
      </c>
      <c r="C80" s="9">
        <v>4911.1000000000004</v>
      </c>
      <c r="D80" s="9">
        <v>6042.3</v>
      </c>
      <c r="E80" s="9">
        <v>7427.4</v>
      </c>
      <c r="F80" s="9">
        <v>6956.7</v>
      </c>
      <c r="G80" s="9">
        <v>9299.9</v>
      </c>
      <c r="H80" s="9">
        <v>11270.6</v>
      </c>
      <c r="I80" s="48">
        <v>13074.800999999999</v>
      </c>
      <c r="J80" s="48">
        <v>9976.6990000000005</v>
      </c>
      <c r="K80" s="9">
        <v>9025.4</v>
      </c>
      <c r="L80" s="9">
        <v>16323.1</v>
      </c>
      <c r="M80" s="9">
        <v>18886.400000000001</v>
      </c>
      <c r="N80" s="9">
        <v>13484.5</v>
      </c>
      <c r="O80" s="9">
        <v>14019.2</v>
      </c>
      <c r="P80" s="9">
        <v>18483.099999999999</v>
      </c>
      <c r="Q80" s="169">
        <v>22993.599999999999</v>
      </c>
    </row>
    <row r="81" spans="1:17" x14ac:dyDescent="0.25">
      <c r="A81" t="s">
        <v>80</v>
      </c>
      <c r="B81" s="9">
        <v>17469.599999999999</v>
      </c>
      <c r="C81" s="9">
        <v>22248</v>
      </c>
      <c r="D81" s="9">
        <v>37780.699999999997</v>
      </c>
      <c r="E81" s="9">
        <v>52585.599999999999</v>
      </c>
      <c r="F81" s="9">
        <v>65266.1</v>
      </c>
      <c r="G81" s="9">
        <v>70021</v>
      </c>
      <c r="H81" s="9">
        <v>84347.3</v>
      </c>
      <c r="I81" s="48">
        <v>81602.13</v>
      </c>
      <c r="J81" s="48">
        <v>95715.214999999997</v>
      </c>
      <c r="K81" s="9">
        <v>170814</v>
      </c>
      <c r="L81" s="9">
        <v>266108.3</v>
      </c>
      <c r="M81" s="9">
        <v>178303.4</v>
      </c>
      <c r="N81" s="9">
        <v>143028.29999999999</v>
      </c>
      <c r="O81" s="9">
        <v>202332</v>
      </c>
      <c r="P81" s="9">
        <v>287583.09999999998</v>
      </c>
      <c r="Q81" s="169">
        <v>284806</v>
      </c>
    </row>
    <row r="82" spans="1:17" x14ac:dyDescent="0.25">
      <c r="A82" t="s">
        <v>81</v>
      </c>
      <c r="B82" s="9">
        <v>1572.8</v>
      </c>
      <c r="C82" s="9">
        <v>2031.4</v>
      </c>
      <c r="D82" s="9">
        <v>2497.1999999999998</v>
      </c>
      <c r="E82" s="9">
        <v>2908.2</v>
      </c>
      <c r="F82" s="9">
        <v>2529.6999999999998</v>
      </c>
      <c r="G82" s="9">
        <v>3223.9</v>
      </c>
      <c r="H82" s="9">
        <v>3662.2</v>
      </c>
      <c r="I82" s="48">
        <v>4020.116</v>
      </c>
      <c r="J82" s="48">
        <v>4916.9560000000001</v>
      </c>
      <c r="K82" s="9">
        <v>4709.3</v>
      </c>
      <c r="L82" s="9">
        <v>4394.3</v>
      </c>
      <c r="M82" s="9">
        <v>5641.2</v>
      </c>
      <c r="N82" s="9">
        <v>6006.8</v>
      </c>
      <c r="O82" s="9">
        <v>6423.3</v>
      </c>
      <c r="P82" s="9">
        <v>6527.7</v>
      </c>
      <c r="Q82" s="169">
        <v>7041.8</v>
      </c>
    </row>
    <row r="83" spans="1:17" x14ac:dyDescent="0.25">
      <c r="A83" t="s">
        <v>82</v>
      </c>
      <c r="B83" s="9">
        <v>11555.1</v>
      </c>
      <c r="C83" s="9">
        <v>4498</v>
      </c>
      <c r="D83" s="9">
        <v>2582.6</v>
      </c>
      <c r="E83" s="9">
        <v>8317.6</v>
      </c>
      <c r="F83" s="9">
        <v>9317.1</v>
      </c>
      <c r="G83" s="9">
        <v>9323.1</v>
      </c>
      <c r="H83" s="9">
        <v>13059.2</v>
      </c>
      <c r="I83" s="48">
        <v>9343.8700000000008</v>
      </c>
      <c r="J83" s="48">
        <v>6480.9639999999999</v>
      </c>
      <c r="K83" s="9">
        <v>10239.5</v>
      </c>
      <c r="L83" s="9">
        <v>14919.8</v>
      </c>
      <c r="M83" s="9">
        <v>15776.3</v>
      </c>
      <c r="N83" s="9">
        <v>11648.9</v>
      </c>
      <c r="O83" s="9">
        <v>11697.6</v>
      </c>
      <c r="P83" s="9">
        <v>15584.3</v>
      </c>
      <c r="Q83" s="169">
        <v>20482.5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Q85"/>
  <sheetViews>
    <sheetView topLeftCell="A4" workbookViewId="0">
      <selection activeCell="R20" sqref="R20"/>
    </sheetView>
  </sheetViews>
  <sheetFormatPr defaultRowHeight="15" x14ac:dyDescent="0.25"/>
  <cols>
    <col min="1" max="1" width="35.5703125" customWidth="1"/>
    <col min="6" max="14" width="0" hidden="1" customWidth="1"/>
  </cols>
  <sheetData>
    <row r="1" spans="1:17" x14ac:dyDescent="0.25">
      <c r="B1">
        <v>2005</v>
      </c>
      <c r="C1">
        <v>2006</v>
      </c>
      <c r="D1">
        <v>2007</v>
      </c>
      <c r="E1">
        <v>2008</v>
      </c>
      <c r="F1">
        <v>2009</v>
      </c>
      <c r="G1" s="6">
        <v>2010</v>
      </c>
      <c r="H1" s="6">
        <v>2011</v>
      </c>
      <c r="I1" s="6">
        <v>2012</v>
      </c>
      <c r="J1" s="6">
        <v>2013</v>
      </c>
      <c r="K1" s="6">
        <v>2014</v>
      </c>
      <c r="L1" s="6">
        <v>2015</v>
      </c>
      <c r="M1" s="6">
        <v>2016</v>
      </c>
      <c r="N1" s="7">
        <v>2017</v>
      </c>
      <c r="O1" s="6">
        <v>2018</v>
      </c>
      <c r="P1" s="6">
        <v>2019</v>
      </c>
      <c r="Q1" s="6">
        <v>2020</v>
      </c>
    </row>
    <row r="2" spans="1:17" x14ac:dyDescent="0.25">
      <c r="A2" t="s">
        <v>1</v>
      </c>
      <c r="B2" s="9">
        <v>705</v>
      </c>
      <c r="C2" s="46">
        <v>1826.4</v>
      </c>
      <c r="D2" s="46">
        <v>3311.3</v>
      </c>
      <c r="E2" s="46">
        <v>4882.8999999999996</v>
      </c>
      <c r="F2" s="46">
        <v>1088.0999999999999</v>
      </c>
      <c r="G2" s="9">
        <v>2773</v>
      </c>
      <c r="H2" s="53">
        <f>(G2+I2)/2</f>
        <v>4979.5</v>
      </c>
      <c r="I2" s="9">
        <v>7186</v>
      </c>
      <c r="J2" s="9">
        <v>9536</v>
      </c>
      <c r="K2" s="9">
        <v>11431</v>
      </c>
      <c r="L2" s="9">
        <v>7509</v>
      </c>
      <c r="M2" s="9">
        <v>9511</v>
      </c>
      <c r="N2" s="9">
        <v>13882</v>
      </c>
      <c r="O2" s="9">
        <v>20951</v>
      </c>
      <c r="P2" s="9">
        <v>20330</v>
      </c>
      <c r="Q2" s="9">
        <v>33966</v>
      </c>
    </row>
    <row r="3" spans="1:17" x14ac:dyDescent="0.25">
      <c r="A3" t="s">
        <v>2</v>
      </c>
      <c r="B3" s="9">
        <v>271</v>
      </c>
      <c r="C3" s="46">
        <v>917.5</v>
      </c>
      <c r="D3" s="46">
        <v>1940.7</v>
      </c>
      <c r="E3" s="46">
        <v>3095.7</v>
      </c>
      <c r="F3" s="46">
        <v>947.2</v>
      </c>
      <c r="G3" s="9">
        <v>2004</v>
      </c>
      <c r="H3" s="53">
        <f t="shared" ref="H3:H66" si="0">(G3+I3)/2</f>
        <v>3948.5</v>
      </c>
      <c r="I3" s="9">
        <v>5893</v>
      </c>
      <c r="J3" s="9">
        <v>7679</v>
      </c>
      <c r="K3" s="9">
        <v>10892</v>
      </c>
      <c r="L3" s="9">
        <v>7265</v>
      </c>
      <c r="M3" s="9">
        <v>8726</v>
      </c>
      <c r="N3" s="9">
        <v>11564</v>
      </c>
      <c r="O3" s="9">
        <v>17514</v>
      </c>
      <c r="P3" s="9">
        <v>17089</v>
      </c>
      <c r="Q3" s="9">
        <v>24806</v>
      </c>
    </row>
    <row r="4" spans="1:17" x14ac:dyDescent="0.25">
      <c r="A4" t="s">
        <v>3</v>
      </c>
      <c r="B4" s="9">
        <v>269</v>
      </c>
      <c r="C4" s="46">
        <v>1482.8</v>
      </c>
      <c r="D4" s="46">
        <v>4137.2</v>
      </c>
      <c r="E4" s="46">
        <v>4870.5</v>
      </c>
      <c r="F4" s="46">
        <v>805.2</v>
      </c>
      <c r="G4" s="9">
        <v>2638</v>
      </c>
      <c r="H4" s="53">
        <f t="shared" si="0"/>
        <v>4925.5</v>
      </c>
      <c r="I4" s="9">
        <v>7213</v>
      </c>
      <c r="J4" s="9">
        <v>10205</v>
      </c>
      <c r="K4" s="9">
        <v>13409</v>
      </c>
      <c r="L4" s="9">
        <v>8393</v>
      </c>
      <c r="M4" s="9">
        <v>11034</v>
      </c>
      <c r="N4" s="9">
        <v>15162</v>
      </c>
      <c r="O4" s="9">
        <v>22125</v>
      </c>
      <c r="P4" s="9">
        <v>21816</v>
      </c>
      <c r="Q4" s="9">
        <v>30428</v>
      </c>
    </row>
    <row r="5" spans="1:17" x14ac:dyDescent="0.25">
      <c r="A5" t="s">
        <v>4</v>
      </c>
      <c r="B5" s="9">
        <v>647</v>
      </c>
      <c r="C5" s="46">
        <v>2474.8000000000002</v>
      </c>
      <c r="D5" s="46">
        <v>5442</v>
      </c>
      <c r="E5" s="46">
        <v>7160.1</v>
      </c>
      <c r="F5" s="46">
        <v>1856.6</v>
      </c>
      <c r="G5" s="9">
        <v>4594</v>
      </c>
      <c r="H5">
        <f t="shared" si="0"/>
        <v>8373</v>
      </c>
      <c r="I5" s="9">
        <v>12152</v>
      </c>
      <c r="J5" s="9">
        <v>17666</v>
      </c>
      <c r="K5" s="9">
        <v>23747</v>
      </c>
      <c r="L5" s="9">
        <v>16179</v>
      </c>
      <c r="M5" s="9">
        <v>19960</v>
      </c>
      <c r="N5" s="9">
        <v>25170</v>
      </c>
      <c r="O5" s="9">
        <v>37919</v>
      </c>
      <c r="P5" s="9">
        <v>37320</v>
      </c>
      <c r="Q5" s="9">
        <v>55496</v>
      </c>
    </row>
    <row r="6" spans="1:17" x14ac:dyDescent="0.25">
      <c r="A6" t="s">
        <v>5</v>
      </c>
      <c r="B6" s="9">
        <v>89</v>
      </c>
      <c r="C6" s="46">
        <v>642.70000000000005</v>
      </c>
      <c r="D6" s="46">
        <v>1871</v>
      </c>
      <c r="E6" s="46">
        <v>2500.6999999999998</v>
      </c>
      <c r="F6" s="46">
        <v>675</v>
      </c>
      <c r="G6" s="9">
        <v>1532</v>
      </c>
      <c r="H6">
        <f t="shared" si="0"/>
        <v>3178.5</v>
      </c>
      <c r="I6" s="9">
        <v>4825</v>
      </c>
      <c r="J6" s="9">
        <v>6842</v>
      </c>
      <c r="K6" s="9">
        <v>9679</v>
      </c>
      <c r="L6" s="9">
        <v>6184</v>
      </c>
      <c r="M6" s="9">
        <v>6664</v>
      </c>
      <c r="N6" s="9">
        <v>9113</v>
      </c>
      <c r="O6" s="9">
        <v>13305</v>
      </c>
      <c r="P6" s="9">
        <v>12454</v>
      </c>
      <c r="Q6" s="9">
        <v>17723</v>
      </c>
    </row>
    <row r="7" spans="1:17" x14ac:dyDescent="0.25">
      <c r="A7" t="s">
        <v>6</v>
      </c>
      <c r="B7" s="9">
        <v>434</v>
      </c>
      <c r="C7" s="46">
        <v>1106.0999999999999</v>
      </c>
      <c r="D7" s="46">
        <v>2574.3000000000002</v>
      </c>
      <c r="E7" s="46">
        <v>4309.1000000000004</v>
      </c>
      <c r="F7" s="46">
        <v>1438.6</v>
      </c>
      <c r="G7" s="9">
        <v>2992</v>
      </c>
      <c r="H7">
        <f t="shared" si="0"/>
        <v>5618</v>
      </c>
      <c r="I7" s="9">
        <v>8244</v>
      </c>
      <c r="J7" s="9">
        <v>12120</v>
      </c>
      <c r="K7" s="9">
        <v>15135</v>
      </c>
      <c r="L7" s="9">
        <v>8907</v>
      </c>
      <c r="M7" s="9">
        <v>11893</v>
      </c>
      <c r="N7" s="9">
        <v>16468</v>
      </c>
      <c r="O7" s="9">
        <v>24828</v>
      </c>
      <c r="P7" s="9">
        <v>23300</v>
      </c>
      <c r="Q7" s="9">
        <v>31704</v>
      </c>
    </row>
    <row r="8" spans="1:17" x14ac:dyDescent="0.25">
      <c r="A8" t="s">
        <v>7</v>
      </c>
      <c r="B8" s="9">
        <v>125</v>
      </c>
      <c r="C8" s="46">
        <v>462.2</v>
      </c>
      <c r="D8" s="46">
        <v>1446.3</v>
      </c>
      <c r="E8" s="46">
        <v>1793.8</v>
      </c>
      <c r="F8" s="46">
        <v>543.1</v>
      </c>
      <c r="G8" s="9">
        <v>1394</v>
      </c>
      <c r="H8" s="53">
        <f t="shared" si="0"/>
        <v>2531.5</v>
      </c>
      <c r="I8" s="9">
        <v>3669</v>
      </c>
      <c r="J8" s="9">
        <v>4851</v>
      </c>
      <c r="K8" s="9">
        <v>6879</v>
      </c>
      <c r="L8" s="9">
        <v>4407</v>
      </c>
      <c r="M8" s="9">
        <v>5019</v>
      </c>
      <c r="N8" s="9">
        <v>6663</v>
      </c>
      <c r="O8" s="9">
        <v>9692</v>
      </c>
      <c r="P8" s="9">
        <v>9330</v>
      </c>
      <c r="Q8" s="9">
        <v>13507</v>
      </c>
    </row>
    <row r="9" spans="1:17" x14ac:dyDescent="0.25">
      <c r="A9" t="s">
        <v>8</v>
      </c>
      <c r="B9" s="9">
        <v>653</v>
      </c>
      <c r="C9" s="46">
        <v>1105.5999999999999</v>
      </c>
      <c r="D9" s="46">
        <v>2543.9</v>
      </c>
      <c r="E9" s="46">
        <v>3575</v>
      </c>
      <c r="F9" s="46">
        <v>1055.9000000000001</v>
      </c>
      <c r="G9" s="9">
        <v>2676</v>
      </c>
      <c r="H9" s="53">
        <f t="shared" si="0"/>
        <v>4399.5</v>
      </c>
      <c r="I9" s="9">
        <v>6123</v>
      </c>
      <c r="J9" s="9">
        <v>8401</v>
      </c>
      <c r="K9" s="9">
        <v>11358</v>
      </c>
      <c r="L9" s="9">
        <v>6552</v>
      </c>
      <c r="M9" s="9">
        <v>8778</v>
      </c>
      <c r="N9" s="9">
        <v>11242</v>
      </c>
      <c r="O9" s="9">
        <v>17023</v>
      </c>
      <c r="P9" s="9">
        <v>16289</v>
      </c>
      <c r="Q9" s="9">
        <v>23563</v>
      </c>
    </row>
    <row r="10" spans="1:17" x14ac:dyDescent="0.25">
      <c r="A10" t="s">
        <v>9</v>
      </c>
      <c r="B10" s="9">
        <v>385</v>
      </c>
      <c r="C10" s="46">
        <v>788.8</v>
      </c>
      <c r="D10" s="46">
        <v>2608.8000000000002</v>
      </c>
      <c r="E10" s="46">
        <v>3550.4</v>
      </c>
      <c r="F10" s="46">
        <v>1409.2</v>
      </c>
      <c r="G10" s="9">
        <v>2498</v>
      </c>
      <c r="H10">
        <f t="shared" si="0"/>
        <v>4366</v>
      </c>
      <c r="I10" s="9">
        <v>6234</v>
      </c>
      <c r="J10" s="9">
        <v>7642</v>
      </c>
      <c r="K10" s="9">
        <v>10075</v>
      </c>
      <c r="L10" s="9">
        <v>6825</v>
      </c>
      <c r="M10" s="9">
        <v>8766</v>
      </c>
      <c r="N10" s="9">
        <v>11237</v>
      </c>
      <c r="O10" s="9">
        <v>16390</v>
      </c>
      <c r="P10" s="9">
        <v>16158</v>
      </c>
      <c r="Q10" s="9">
        <v>24550</v>
      </c>
    </row>
    <row r="11" spans="1:17" x14ac:dyDescent="0.25">
      <c r="A11" t="s">
        <v>10</v>
      </c>
      <c r="B11" s="9">
        <v>2110</v>
      </c>
      <c r="C11" s="46">
        <v>7853.2</v>
      </c>
      <c r="D11" s="46">
        <v>18586.7</v>
      </c>
      <c r="E11" s="46">
        <v>36298.9</v>
      </c>
      <c r="F11" s="46">
        <v>8165.8</v>
      </c>
      <c r="G11" s="9">
        <v>24766</v>
      </c>
      <c r="H11">
        <f t="shared" si="0"/>
        <v>50015</v>
      </c>
      <c r="I11" s="9">
        <v>75264</v>
      </c>
      <c r="J11" s="9">
        <v>101533</v>
      </c>
      <c r="K11" s="9">
        <v>152572</v>
      </c>
      <c r="L11" s="9">
        <v>97785</v>
      </c>
      <c r="M11" s="9">
        <v>114489</v>
      </c>
      <c r="N11" s="9">
        <v>159892</v>
      </c>
      <c r="O11" s="9">
        <v>252865</v>
      </c>
      <c r="P11" s="9">
        <v>250479</v>
      </c>
      <c r="Q11" s="9">
        <v>367577</v>
      </c>
    </row>
    <row r="12" spans="1:17" x14ac:dyDescent="0.25">
      <c r="A12" t="s">
        <v>11</v>
      </c>
      <c r="B12" s="9">
        <v>137</v>
      </c>
      <c r="C12" s="46">
        <v>451.2</v>
      </c>
      <c r="D12" s="46">
        <v>1409</v>
      </c>
      <c r="E12" s="46">
        <v>1774</v>
      </c>
      <c r="F12" s="46">
        <v>523.79999999999995</v>
      </c>
      <c r="G12" s="9">
        <v>1178</v>
      </c>
      <c r="H12">
        <f t="shared" si="0"/>
        <v>2418</v>
      </c>
      <c r="I12" s="9">
        <v>3658</v>
      </c>
      <c r="J12" s="9">
        <v>5451</v>
      </c>
      <c r="K12" s="9">
        <v>7115</v>
      </c>
      <c r="L12" s="9">
        <v>5083</v>
      </c>
      <c r="M12" s="9">
        <v>6572</v>
      </c>
      <c r="N12" s="9">
        <v>9271</v>
      </c>
      <c r="O12" s="9">
        <v>13172</v>
      </c>
      <c r="P12" s="9">
        <v>12557</v>
      </c>
      <c r="Q12" s="9">
        <v>18763</v>
      </c>
    </row>
    <row r="13" spans="1:17" x14ac:dyDescent="0.25">
      <c r="A13" t="s">
        <v>12</v>
      </c>
      <c r="B13" s="9">
        <v>429</v>
      </c>
      <c r="C13" s="46">
        <v>1420.9</v>
      </c>
      <c r="D13" s="46">
        <v>3479.7</v>
      </c>
      <c r="E13" s="46">
        <v>4230.7</v>
      </c>
      <c r="F13" s="46">
        <v>1158.5999999999999</v>
      </c>
      <c r="G13" s="9">
        <v>3295</v>
      </c>
      <c r="H13">
        <f t="shared" si="0"/>
        <v>5223</v>
      </c>
      <c r="I13" s="9">
        <v>7151</v>
      </c>
      <c r="J13" s="9">
        <v>9599</v>
      </c>
      <c r="K13" s="9">
        <v>13916</v>
      </c>
      <c r="L13" s="9">
        <v>8766</v>
      </c>
      <c r="M13" s="9">
        <v>11308</v>
      </c>
      <c r="N13" s="9">
        <v>15398</v>
      </c>
      <c r="O13" s="9">
        <v>22399</v>
      </c>
      <c r="P13" s="9">
        <v>21183</v>
      </c>
      <c r="Q13" s="9">
        <v>30417</v>
      </c>
    </row>
    <row r="14" spans="1:17" x14ac:dyDescent="0.25">
      <c r="A14" t="s">
        <v>13</v>
      </c>
      <c r="B14" s="9">
        <v>433</v>
      </c>
      <c r="C14" s="46">
        <v>1266.0999999999999</v>
      </c>
      <c r="D14" s="46">
        <v>2817.6</v>
      </c>
      <c r="E14" s="46">
        <v>4452.1000000000004</v>
      </c>
      <c r="F14" s="46">
        <v>1459.2</v>
      </c>
      <c r="G14" s="9">
        <v>2877</v>
      </c>
      <c r="H14">
        <f t="shared" si="0"/>
        <v>4838</v>
      </c>
      <c r="I14" s="9">
        <v>6799</v>
      </c>
      <c r="J14" s="9">
        <v>8478</v>
      </c>
      <c r="K14" s="9">
        <v>11192</v>
      </c>
      <c r="L14" s="9">
        <v>6728</v>
      </c>
      <c r="M14" s="9">
        <v>8225</v>
      </c>
      <c r="N14" s="9">
        <v>10704</v>
      </c>
      <c r="O14" s="9">
        <v>15353</v>
      </c>
      <c r="P14" s="9">
        <v>14732</v>
      </c>
      <c r="Q14" s="9">
        <v>20827</v>
      </c>
    </row>
    <row r="15" spans="1:17" x14ac:dyDescent="0.25">
      <c r="A15" t="s">
        <v>14</v>
      </c>
      <c r="B15" s="9">
        <v>226</v>
      </c>
      <c r="C15" s="46">
        <v>438.2</v>
      </c>
      <c r="D15" s="46">
        <v>1214.7</v>
      </c>
      <c r="E15" s="46">
        <v>2006.9</v>
      </c>
      <c r="F15" s="46">
        <v>552.20000000000005</v>
      </c>
      <c r="G15" s="9">
        <v>1697</v>
      </c>
      <c r="H15" s="53">
        <f t="shared" si="0"/>
        <v>3028.5</v>
      </c>
      <c r="I15" s="9">
        <v>4360</v>
      </c>
      <c r="J15" s="9">
        <v>6497</v>
      </c>
      <c r="K15" s="9">
        <v>8871</v>
      </c>
      <c r="L15" s="9">
        <v>5847</v>
      </c>
      <c r="M15" s="9">
        <v>7215</v>
      </c>
      <c r="N15" s="9">
        <v>9705</v>
      </c>
      <c r="O15" s="9">
        <v>15022</v>
      </c>
      <c r="P15" s="9">
        <v>14376</v>
      </c>
      <c r="Q15" s="9">
        <v>20045</v>
      </c>
    </row>
    <row r="16" spans="1:17" x14ac:dyDescent="0.25">
      <c r="A16" t="s">
        <v>15</v>
      </c>
      <c r="B16" s="9">
        <v>503</v>
      </c>
      <c r="C16" s="46">
        <v>1682.1</v>
      </c>
      <c r="D16" s="46">
        <v>3654.5</v>
      </c>
      <c r="E16" s="46">
        <v>5115.3999999999996</v>
      </c>
      <c r="F16" s="46">
        <v>1733.9</v>
      </c>
      <c r="G16" s="9">
        <v>4086</v>
      </c>
      <c r="H16" s="53">
        <f t="shared" si="0"/>
        <v>6860.5</v>
      </c>
      <c r="I16" s="9">
        <v>9635</v>
      </c>
      <c r="J16" s="9">
        <v>11185</v>
      </c>
      <c r="K16" s="9">
        <v>14973</v>
      </c>
      <c r="L16" s="9">
        <v>9039</v>
      </c>
      <c r="M16" s="9">
        <v>12034</v>
      </c>
      <c r="N16" s="9">
        <v>16772</v>
      </c>
      <c r="O16" s="9">
        <v>24998</v>
      </c>
      <c r="P16" s="9">
        <v>24313</v>
      </c>
      <c r="Q16" s="9">
        <v>33552</v>
      </c>
    </row>
    <row r="17" spans="1:17" x14ac:dyDescent="0.25">
      <c r="A17" t="s">
        <v>16</v>
      </c>
      <c r="B17" s="9">
        <v>440</v>
      </c>
      <c r="C17" s="46">
        <v>1263.5999999999999</v>
      </c>
      <c r="D17" s="46">
        <v>3218.5</v>
      </c>
      <c r="E17" s="46">
        <v>5854.8</v>
      </c>
      <c r="F17" s="46">
        <v>1585.8</v>
      </c>
      <c r="G17" s="9">
        <v>3167</v>
      </c>
      <c r="H17">
        <f t="shared" si="0"/>
        <v>6338</v>
      </c>
      <c r="I17" s="9">
        <v>9509</v>
      </c>
      <c r="J17" s="9">
        <v>12506</v>
      </c>
      <c r="K17" s="9">
        <v>16457</v>
      </c>
      <c r="L17" s="9">
        <v>10563</v>
      </c>
      <c r="M17" s="9">
        <v>13339</v>
      </c>
      <c r="N17" s="9">
        <v>18444</v>
      </c>
      <c r="O17" s="9">
        <v>27554</v>
      </c>
      <c r="P17" s="9">
        <v>26393</v>
      </c>
      <c r="Q17" s="9">
        <v>37572</v>
      </c>
    </row>
    <row r="18" spans="1:17" x14ac:dyDescent="0.25">
      <c r="A18" t="s">
        <v>17</v>
      </c>
      <c r="B18" s="9">
        <v>537</v>
      </c>
      <c r="C18" s="46">
        <v>1644.7</v>
      </c>
      <c r="D18" s="46">
        <v>3673.9</v>
      </c>
      <c r="E18" s="46">
        <v>4991.3999999999996</v>
      </c>
      <c r="F18" s="46">
        <v>1334.5</v>
      </c>
      <c r="G18" s="9">
        <v>2971</v>
      </c>
      <c r="H18">
        <f t="shared" si="0"/>
        <v>5399</v>
      </c>
      <c r="I18" s="9">
        <v>7827</v>
      </c>
      <c r="J18" s="9">
        <v>10744</v>
      </c>
      <c r="K18" s="9">
        <v>14057</v>
      </c>
      <c r="L18" s="9">
        <v>8728</v>
      </c>
      <c r="M18" s="9">
        <v>10113</v>
      </c>
      <c r="N18" s="9">
        <v>13576</v>
      </c>
      <c r="O18" s="9">
        <v>19594</v>
      </c>
      <c r="P18" s="9">
        <v>18857</v>
      </c>
      <c r="Q18" s="9">
        <v>26673</v>
      </c>
    </row>
    <row r="19" spans="1:17" x14ac:dyDescent="0.25">
      <c r="A19" t="s">
        <v>18</v>
      </c>
      <c r="B19" s="9">
        <v>3670</v>
      </c>
      <c r="C19" s="46">
        <v>14438.4</v>
      </c>
      <c r="D19" s="46">
        <v>30148.7</v>
      </c>
      <c r="E19" s="46">
        <v>61085.7</v>
      </c>
      <c r="F19" s="46">
        <v>16910.8</v>
      </c>
      <c r="G19" s="9">
        <v>42554</v>
      </c>
      <c r="H19" s="53">
        <f t="shared" si="0"/>
        <v>79652.5</v>
      </c>
      <c r="I19" s="9">
        <v>116751</v>
      </c>
      <c r="J19" s="9">
        <v>152618</v>
      </c>
      <c r="K19" s="9">
        <v>180410</v>
      </c>
      <c r="L19" s="9">
        <v>119127</v>
      </c>
      <c r="M19" s="9">
        <v>186167</v>
      </c>
      <c r="N19" s="9">
        <v>255496</v>
      </c>
      <c r="O19" s="9">
        <v>387046</v>
      </c>
      <c r="P19" s="9">
        <v>406859</v>
      </c>
      <c r="Q19" s="9">
        <v>656161</v>
      </c>
    </row>
    <row r="20" spans="1:17" x14ac:dyDescent="0.25">
      <c r="A20" t="s">
        <v>19</v>
      </c>
      <c r="B20" s="9">
        <v>428</v>
      </c>
      <c r="C20" s="46">
        <v>1229.7</v>
      </c>
      <c r="D20" s="46">
        <v>2371.4</v>
      </c>
      <c r="E20" s="46">
        <v>3753.4</v>
      </c>
      <c r="F20" s="46">
        <v>1227.3</v>
      </c>
      <c r="G20" s="9">
        <v>1925</v>
      </c>
      <c r="H20">
        <f t="shared" si="0"/>
        <v>3471</v>
      </c>
      <c r="I20" s="9">
        <v>5017</v>
      </c>
      <c r="J20" s="9">
        <v>6245</v>
      </c>
      <c r="K20" s="9">
        <v>8337</v>
      </c>
      <c r="L20" s="9">
        <v>5433</v>
      </c>
      <c r="M20" s="9">
        <v>6377</v>
      </c>
      <c r="N20" s="9">
        <v>8191</v>
      </c>
      <c r="O20" s="9">
        <v>12643</v>
      </c>
      <c r="P20" s="9">
        <v>11761</v>
      </c>
      <c r="Q20" s="9">
        <v>18138</v>
      </c>
    </row>
    <row r="21" spans="1:17" x14ac:dyDescent="0.25">
      <c r="A21" t="s">
        <v>20</v>
      </c>
      <c r="B21" s="45">
        <v>1213</v>
      </c>
      <c r="C21" s="46">
        <v>4356.1000000000004</v>
      </c>
      <c r="D21" s="46">
        <v>4519.2</v>
      </c>
      <c r="E21" s="46">
        <v>5776.1</v>
      </c>
      <c r="F21" s="46">
        <v>2330.5</v>
      </c>
      <c r="G21" s="9">
        <v>4093</v>
      </c>
      <c r="H21">
        <f t="shared" si="0"/>
        <v>6677</v>
      </c>
      <c r="I21" s="9">
        <v>9261</v>
      </c>
      <c r="J21" s="9">
        <v>12937</v>
      </c>
      <c r="K21" s="9">
        <v>17269</v>
      </c>
      <c r="L21" s="9">
        <v>10677</v>
      </c>
      <c r="M21" s="9">
        <v>12106</v>
      </c>
      <c r="N21" s="9">
        <v>16173</v>
      </c>
      <c r="O21" s="9">
        <v>22328</v>
      </c>
      <c r="P21" s="9">
        <v>19786</v>
      </c>
      <c r="Q21" s="9">
        <v>28437</v>
      </c>
    </row>
    <row r="22" spans="1:17" x14ac:dyDescent="0.25">
      <c r="A22" t="s">
        <v>21</v>
      </c>
      <c r="B22" s="9">
        <v>557</v>
      </c>
      <c r="C22" s="46">
        <v>1852</v>
      </c>
      <c r="D22" s="46">
        <v>3965.4</v>
      </c>
      <c r="E22" s="46">
        <v>6080.1</v>
      </c>
      <c r="F22" s="46">
        <v>2397.1999999999998</v>
      </c>
      <c r="G22" s="9">
        <v>4779</v>
      </c>
      <c r="H22" s="53">
        <f t="shared" si="0"/>
        <v>7584.5</v>
      </c>
      <c r="I22" s="9">
        <v>10390</v>
      </c>
      <c r="J22" s="9">
        <v>12810</v>
      </c>
      <c r="K22" s="9">
        <v>17934</v>
      </c>
      <c r="L22" s="9">
        <v>13281</v>
      </c>
      <c r="M22" s="9">
        <v>14881</v>
      </c>
      <c r="N22" s="9">
        <v>20708</v>
      </c>
      <c r="O22" s="9">
        <v>28905</v>
      </c>
      <c r="P22" s="9">
        <v>27365</v>
      </c>
      <c r="Q22" s="9">
        <v>39393</v>
      </c>
    </row>
    <row r="23" spans="1:17" x14ac:dyDescent="0.25">
      <c r="A23" t="s">
        <v>22</v>
      </c>
      <c r="B23" s="9">
        <v>953</v>
      </c>
      <c r="C23" s="46">
        <v>2383.6</v>
      </c>
      <c r="D23" s="46">
        <v>4642.3</v>
      </c>
      <c r="E23" s="46">
        <v>6441.6</v>
      </c>
      <c r="F23" s="46">
        <v>1785.6</v>
      </c>
      <c r="G23" s="9">
        <v>3429</v>
      </c>
      <c r="H23">
        <f t="shared" si="0"/>
        <v>6547</v>
      </c>
      <c r="I23" s="9">
        <v>9665</v>
      </c>
      <c r="J23" s="9">
        <v>12934</v>
      </c>
      <c r="K23" s="9">
        <v>16247</v>
      </c>
      <c r="L23" s="9">
        <v>10070</v>
      </c>
      <c r="M23" s="9">
        <v>12605</v>
      </c>
      <c r="N23" s="9">
        <v>15776</v>
      </c>
      <c r="O23" s="9">
        <v>21557</v>
      </c>
      <c r="P23" s="9">
        <v>20818</v>
      </c>
      <c r="Q23" s="9">
        <v>31755</v>
      </c>
    </row>
    <row r="24" spans="1:17" x14ac:dyDescent="0.25">
      <c r="A24" t="s">
        <v>23</v>
      </c>
      <c r="B24" s="9">
        <v>267</v>
      </c>
      <c r="C24" s="46">
        <v>1374.9</v>
      </c>
      <c r="D24" s="46">
        <v>2800.4</v>
      </c>
      <c r="E24" s="46">
        <v>3447.5</v>
      </c>
      <c r="F24" s="46">
        <v>879.2</v>
      </c>
      <c r="G24" s="9">
        <v>1395</v>
      </c>
      <c r="H24" s="53">
        <f t="shared" si="0"/>
        <v>2956.5</v>
      </c>
      <c r="I24" s="9">
        <v>4518</v>
      </c>
      <c r="J24" s="9">
        <v>6945</v>
      </c>
      <c r="K24" s="9">
        <v>10333</v>
      </c>
      <c r="L24" s="9">
        <v>6862</v>
      </c>
      <c r="M24" s="9">
        <v>8591</v>
      </c>
      <c r="N24" s="9">
        <v>12265</v>
      </c>
      <c r="O24" s="9">
        <v>18974</v>
      </c>
      <c r="P24" s="9">
        <v>18985</v>
      </c>
      <c r="Q24" s="9">
        <v>29079</v>
      </c>
    </row>
    <row r="25" spans="1:17" x14ac:dyDescent="0.25">
      <c r="A25" t="s">
        <v>24</v>
      </c>
      <c r="B25" s="9">
        <v>362</v>
      </c>
      <c r="C25" s="46">
        <v>1359.2</v>
      </c>
      <c r="D25" s="46">
        <v>4309.5</v>
      </c>
      <c r="E25" s="46">
        <v>7058.5</v>
      </c>
      <c r="F25" s="46">
        <v>1396.6</v>
      </c>
      <c r="G25" s="9">
        <v>3333</v>
      </c>
      <c r="H25" s="53">
        <f t="shared" si="0"/>
        <v>7855.5</v>
      </c>
      <c r="I25" s="9">
        <v>12378</v>
      </c>
      <c r="J25" s="9">
        <v>16832</v>
      </c>
      <c r="K25" s="9">
        <v>22679</v>
      </c>
      <c r="L25" s="9">
        <v>16974</v>
      </c>
      <c r="M25" s="9">
        <v>22002</v>
      </c>
      <c r="N25" s="9">
        <v>31221</v>
      </c>
      <c r="O25" s="9">
        <v>48198</v>
      </c>
      <c r="P25" s="9">
        <v>46719</v>
      </c>
      <c r="Q25" s="9">
        <v>70938</v>
      </c>
    </row>
    <row r="26" spans="1:17" x14ac:dyDescent="0.25">
      <c r="A26" t="s">
        <v>25</v>
      </c>
      <c r="B26" s="9">
        <v>177</v>
      </c>
      <c r="C26" s="46">
        <v>758.2</v>
      </c>
      <c r="D26" s="46">
        <v>2115.8000000000002</v>
      </c>
      <c r="E26" s="46">
        <v>3309.2</v>
      </c>
      <c r="F26" s="46">
        <v>896.6</v>
      </c>
      <c r="G26" s="9">
        <v>1752</v>
      </c>
      <c r="H26">
        <f t="shared" si="0"/>
        <v>3427</v>
      </c>
      <c r="I26" s="9">
        <v>5102</v>
      </c>
      <c r="J26" s="9">
        <v>7333</v>
      </c>
      <c r="K26" s="9">
        <v>11231</v>
      </c>
      <c r="L26" s="9">
        <v>8539</v>
      </c>
      <c r="M26" s="9">
        <v>9301</v>
      </c>
      <c r="N26" s="9">
        <v>11231</v>
      </c>
      <c r="O26" s="9">
        <v>15900</v>
      </c>
      <c r="P26" s="9">
        <v>15754</v>
      </c>
      <c r="Q26" s="9">
        <v>23572</v>
      </c>
    </row>
    <row r="27" spans="1:17" x14ac:dyDescent="0.25">
      <c r="A27" t="s">
        <v>26</v>
      </c>
      <c r="B27" s="9">
        <v>300</v>
      </c>
      <c r="C27" s="46">
        <v>944.7</v>
      </c>
      <c r="D27" s="46">
        <v>2155.1</v>
      </c>
      <c r="E27" s="46">
        <v>2502.5</v>
      </c>
      <c r="F27" s="46">
        <v>636.4</v>
      </c>
      <c r="G27" s="9">
        <v>1341</v>
      </c>
      <c r="H27">
        <f t="shared" si="0"/>
        <v>2627</v>
      </c>
      <c r="I27" s="9">
        <v>3913</v>
      </c>
      <c r="J27" s="9">
        <v>4865</v>
      </c>
      <c r="K27" s="9">
        <v>6219</v>
      </c>
      <c r="L27" s="9">
        <v>4126</v>
      </c>
      <c r="M27" s="9">
        <v>5408</v>
      </c>
      <c r="N27" s="9">
        <v>6835</v>
      </c>
      <c r="O27" s="9">
        <v>10261</v>
      </c>
      <c r="P27" s="9">
        <v>9630</v>
      </c>
      <c r="Q27" s="9">
        <v>14327</v>
      </c>
    </row>
    <row r="28" spans="1:17" x14ac:dyDescent="0.25">
      <c r="A28" t="s">
        <v>27</v>
      </c>
      <c r="B28" s="9">
        <v>93</v>
      </c>
      <c r="C28" s="46">
        <v>438.4</v>
      </c>
      <c r="D28" s="46">
        <v>1106.8</v>
      </c>
      <c r="E28" s="46">
        <v>1490.3</v>
      </c>
      <c r="F28" s="46">
        <v>377.5</v>
      </c>
      <c r="G28" s="9">
        <v>855</v>
      </c>
      <c r="H28" s="53">
        <f t="shared" si="0"/>
        <v>1940.5</v>
      </c>
      <c r="I28" s="9">
        <v>3026</v>
      </c>
      <c r="J28" s="9">
        <v>4385</v>
      </c>
      <c r="K28" s="9">
        <v>5897</v>
      </c>
      <c r="L28" s="9">
        <v>3990</v>
      </c>
      <c r="M28" s="9">
        <v>4668</v>
      </c>
      <c r="N28" s="9">
        <v>6103</v>
      </c>
      <c r="O28" s="9">
        <v>8862</v>
      </c>
      <c r="P28" s="9">
        <v>8634</v>
      </c>
      <c r="Q28" s="9">
        <v>12577</v>
      </c>
    </row>
    <row r="29" spans="1:17" x14ac:dyDescent="0.25">
      <c r="A29" t="s">
        <v>28</v>
      </c>
      <c r="B29" s="9">
        <v>1347</v>
      </c>
      <c r="C29" s="46">
        <v>8669.4</v>
      </c>
      <c r="D29" s="46">
        <v>27264.2</v>
      </c>
      <c r="E29" s="46">
        <v>40578.800000000003</v>
      </c>
      <c r="F29" s="46">
        <v>6978.9</v>
      </c>
      <c r="G29" s="9">
        <v>15819</v>
      </c>
      <c r="H29">
        <f t="shared" si="0"/>
        <v>33712</v>
      </c>
      <c r="I29" s="9">
        <v>51605</v>
      </c>
      <c r="J29" s="9">
        <v>66079</v>
      </c>
      <c r="K29" s="9">
        <v>95216</v>
      </c>
      <c r="L29" s="9">
        <v>66931</v>
      </c>
      <c r="M29" s="9">
        <v>93456</v>
      </c>
      <c r="N29" s="9">
        <v>129428</v>
      </c>
      <c r="O29" s="9">
        <v>200539</v>
      </c>
      <c r="P29" s="9">
        <v>200193</v>
      </c>
      <c r="Q29" s="9">
        <v>294285</v>
      </c>
    </row>
    <row r="30" spans="1:17" x14ac:dyDescent="0.25">
      <c r="A30" t="s">
        <v>29</v>
      </c>
      <c r="B30" s="9">
        <v>79</v>
      </c>
      <c r="C30" s="46">
        <v>211.3</v>
      </c>
      <c r="D30" s="46">
        <v>610.1</v>
      </c>
      <c r="E30" s="46">
        <v>936.1</v>
      </c>
      <c r="F30" s="46">
        <v>217.4</v>
      </c>
      <c r="G30" s="9">
        <v>530</v>
      </c>
      <c r="H30" s="53">
        <f t="shared" si="0"/>
        <v>845.5</v>
      </c>
      <c r="I30" s="9">
        <v>1161</v>
      </c>
      <c r="J30" s="9">
        <v>2042</v>
      </c>
      <c r="K30" s="9">
        <v>2857</v>
      </c>
      <c r="L30" s="9">
        <v>2016</v>
      </c>
      <c r="M30" s="9">
        <v>2017</v>
      </c>
      <c r="N30" s="9">
        <v>2738</v>
      </c>
      <c r="O30" s="9">
        <v>4176</v>
      </c>
      <c r="P30" s="9">
        <v>4156</v>
      </c>
      <c r="Q30" s="9">
        <v>6282</v>
      </c>
    </row>
    <row r="31" spans="1:17" x14ac:dyDescent="0.25">
      <c r="A31" t="s">
        <v>30</v>
      </c>
      <c r="B31" s="9">
        <v>102</v>
      </c>
      <c r="C31" s="46">
        <v>136.19999999999999</v>
      </c>
      <c r="D31" s="46">
        <v>338.8</v>
      </c>
      <c r="E31" s="46">
        <v>500.2</v>
      </c>
      <c r="F31" s="46">
        <v>126.8</v>
      </c>
      <c r="G31" s="9">
        <v>663</v>
      </c>
      <c r="H31">
        <f t="shared" si="0"/>
        <v>1150</v>
      </c>
      <c r="I31" s="9">
        <v>1637</v>
      </c>
      <c r="J31" s="9">
        <v>2286</v>
      </c>
      <c r="K31" s="9">
        <v>2957</v>
      </c>
      <c r="L31" s="9">
        <v>1812</v>
      </c>
      <c r="M31" s="9">
        <v>2210</v>
      </c>
      <c r="N31" s="9">
        <v>3329</v>
      </c>
      <c r="O31" s="9">
        <v>5332</v>
      </c>
      <c r="P31" s="9">
        <v>5385</v>
      </c>
      <c r="Q31" s="9">
        <v>7999</v>
      </c>
    </row>
    <row r="32" spans="1:17" x14ac:dyDescent="0.25">
      <c r="A32" t="s">
        <v>31</v>
      </c>
      <c r="B32" s="120"/>
      <c r="C32" s="117"/>
      <c r="D32" s="117"/>
      <c r="E32" s="117"/>
      <c r="F32" s="117"/>
      <c r="G32" s="120"/>
      <c r="H32" s="117"/>
      <c r="I32" s="120"/>
      <c r="J32" s="120"/>
      <c r="K32" s="9">
        <v>50</v>
      </c>
      <c r="L32" s="9">
        <v>356</v>
      </c>
      <c r="M32" s="9">
        <v>1366</v>
      </c>
      <c r="N32" s="9">
        <v>2693</v>
      </c>
      <c r="O32" s="9">
        <v>6200</v>
      </c>
      <c r="P32" s="9">
        <v>8852</v>
      </c>
      <c r="Q32" s="9">
        <v>16310</v>
      </c>
    </row>
    <row r="33" spans="1:17" x14ac:dyDescent="0.25">
      <c r="A33" t="s">
        <v>32</v>
      </c>
      <c r="B33" s="9">
        <v>1435</v>
      </c>
      <c r="C33" s="46">
        <v>4884.2</v>
      </c>
      <c r="D33" s="46">
        <v>14000.4</v>
      </c>
      <c r="E33" s="46">
        <v>18374</v>
      </c>
      <c r="F33" s="46">
        <v>4438.7</v>
      </c>
      <c r="G33" s="9">
        <v>9373</v>
      </c>
      <c r="H33">
        <f t="shared" si="0"/>
        <v>17777</v>
      </c>
      <c r="I33" s="9">
        <v>26181</v>
      </c>
      <c r="J33" s="9">
        <v>36125</v>
      </c>
      <c r="K33" s="9">
        <v>51037</v>
      </c>
      <c r="L33" s="9">
        <v>28948</v>
      </c>
      <c r="M33" s="9">
        <v>36827</v>
      </c>
      <c r="N33" s="9">
        <v>52393</v>
      </c>
      <c r="O33" s="9">
        <v>78522</v>
      </c>
      <c r="P33" s="9">
        <v>79289</v>
      </c>
      <c r="Q33" s="9">
        <v>120221</v>
      </c>
    </row>
    <row r="34" spans="1:17" x14ac:dyDescent="0.25">
      <c r="A34" t="s">
        <v>33</v>
      </c>
      <c r="B34" s="9">
        <v>250</v>
      </c>
      <c r="C34" s="46">
        <v>1013.4</v>
      </c>
      <c r="D34" s="46">
        <v>2342.1999999999998</v>
      </c>
      <c r="E34" s="46">
        <v>2870.9</v>
      </c>
      <c r="F34" s="46">
        <v>1067.3</v>
      </c>
      <c r="G34" s="9">
        <v>2211</v>
      </c>
      <c r="H34">
        <f t="shared" si="0"/>
        <v>3630</v>
      </c>
      <c r="I34" s="9">
        <v>5049</v>
      </c>
      <c r="J34" s="9">
        <v>7638</v>
      </c>
      <c r="K34" s="9">
        <v>9835</v>
      </c>
      <c r="L34" s="9">
        <v>6244</v>
      </c>
      <c r="M34" s="9">
        <v>7187</v>
      </c>
      <c r="N34" s="9">
        <v>9336</v>
      </c>
      <c r="O34" s="9">
        <v>13617</v>
      </c>
      <c r="P34" s="9">
        <v>14018</v>
      </c>
      <c r="Q34" s="9">
        <v>19842</v>
      </c>
    </row>
    <row r="35" spans="1:17" x14ac:dyDescent="0.25">
      <c r="A35" t="s">
        <v>34</v>
      </c>
      <c r="B35" s="9">
        <v>662</v>
      </c>
      <c r="C35" s="46">
        <v>2853.8</v>
      </c>
      <c r="D35" s="46">
        <v>8427.7000000000007</v>
      </c>
      <c r="E35" s="46">
        <v>8943.5</v>
      </c>
      <c r="F35" s="46">
        <v>2000.2</v>
      </c>
      <c r="G35" s="9">
        <v>5286</v>
      </c>
      <c r="H35" s="53">
        <f t="shared" si="0"/>
        <v>8773.5</v>
      </c>
      <c r="I35" s="9">
        <v>12261</v>
      </c>
      <c r="J35" s="9">
        <v>16066</v>
      </c>
      <c r="K35" s="9">
        <v>22405</v>
      </c>
      <c r="L35" s="9">
        <v>14741</v>
      </c>
      <c r="M35" s="9">
        <v>18004</v>
      </c>
      <c r="N35" s="9">
        <v>25116</v>
      </c>
      <c r="O35" s="9">
        <v>35656</v>
      </c>
      <c r="P35" s="9">
        <v>35778</v>
      </c>
      <c r="Q35" s="9">
        <v>50507</v>
      </c>
    </row>
    <row r="36" spans="1:17" x14ac:dyDescent="0.25">
      <c r="A36" t="s">
        <v>35</v>
      </c>
      <c r="B36" s="9">
        <v>1498</v>
      </c>
      <c r="C36" s="46">
        <v>4082.6</v>
      </c>
      <c r="D36" s="46">
        <v>10953.7</v>
      </c>
      <c r="E36" s="46">
        <v>14950.1</v>
      </c>
      <c r="F36" s="46">
        <v>3373.4</v>
      </c>
      <c r="G36" s="9">
        <v>7691</v>
      </c>
      <c r="H36">
        <f t="shared" si="0"/>
        <v>13580</v>
      </c>
      <c r="I36" s="9">
        <v>19469</v>
      </c>
      <c r="J36" s="9">
        <v>27766</v>
      </c>
      <c r="K36" s="9">
        <v>39351</v>
      </c>
      <c r="L36" s="9">
        <v>24968</v>
      </c>
      <c r="M36" s="9">
        <v>30930</v>
      </c>
      <c r="N36" s="9">
        <v>42308</v>
      </c>
      <c r="O36" s="9">
        <v>62821</v>
      </c>
      <c r="P36" s="9">
        <v>60628</v>
      </c>
      <c r="Q36" s="9">
        <v>88376</v>
      </c>
    </row>
    <row r="37" spans="1:17" x14ac:dyDescent="0.25">
      <c r="A37" t="s">
        <v>36</v>
      </c>
      <c r="B37" s="120"/>
      <c r="C37" s="117"/>
      <c r="D37" s="117"/>
      <c r="E37" s="117"/>
      <c r="F37" s="117"/>
      <c r="G37" s="120"/>
      <c r="H37" s="117"/>
      <c r="I37" s="120"/>
      <c r="J37" s="120"/>
      <c r="K37" s="9">
        <v>16</v>
      </c>
      <c r="L37" s="9">
        <v>111</v>
      </c>
      <c r="M37" s="9">
        <v>469</v>
      </c>
      <c r="N37" s="9">
        <v>1010</v>
      </c>
      <c r="O37" s="9">
        <v>2150</v>
      </c>
      <c r="P37" s="9">
        <v>3011</v>
      </c>
      <c r="Q37" s="9">
        <v>5411</v>
      </c>
    </row>
    <row r="38" spans="1:17" x14ac:dyDescent="0.25">
      <c r="A38" t="s">
        <v>37</v>
      </c>
      <c r="B38" s="9">
        <v>64</v>
      </c>
      <c r="C38" s="46">
        <v>122.3</v>
      </c>
      <c r="D38" s="46">
        <v>295.60000000000002</v>
      </c>
      <c r="E38" s="46">
        <v>719.9</v>
      </c>
      <c r="F38" s="46">
        <v>336.9</v>
      </c>
      <c r="G38" s="9">
        <v>635</v>
      </c>
      <c r="H38">
        <f t="shared" si="0"/>
        <v>2830</v>
      </c>
      <c r="I38" s="9">
        <v>5025</v>
      </c>
      <c r="J38" s="9">
        <v>4455</v>
      </c>
      <c r="K38" s="9">
        <v>4712</v>
      </c>
      <c r="L38" s="9">
        <v>3528</v>
      </c>
      <c r="M38" s="9">
        <v>4187</v>
      </c>
      <c r="N38" s="9">
        <v>6020</v>
      </c>
      <c r="O38" s="9">
        <v>9550</v>
      </c>
      <c r="P38" s="9">
        <v>11738</v>
      </c>
      <c r="Q38" s="9">
        <v>17272</v>
      </c>
    </row>
    <row r="39" spans="1:17" x14ac:dyDescent="0.25">
      <c r="A39" t="s">
        <v>38</v>
      </c>
      <c r="B39" s="9">
        <v>22</v>
      </c>
      <c r="C39" s="46">
        <v>32.5</v>
      </c>
      <c r="D39" s="46">
        <v>33.9</v>
      </c>
      <c r="E39" s="46">
        <v>74</v>
      </c>
      <c r="F39" s="46">
        <v>20.8</v>
      </c>
      <c r="G39" s="9">
        <v>659</v>
      </c>
      <c r="H39">
        <f t="shared" si="0"/>
        <v>829</v>
      </c>
      <c r="I39" s="9">
        <v>999</v>
      </c>
      <c r="J39" s="9">
        <v>1221</v>
      </c>
      <c r="K39" s="9">
        <v>269</v>
      </c>
      <c r="L39" s="9">
        <v>128</v>
      </c>
      <c r="M39" s="9">
        <v>325</v>
      </c>
      <c r="N39" s="9">
        <v>309</v>
      </c>
      <c r="O39" s="9">
        <v>480</v>
      </c>
      <c r="P39" s="9">
        <v>397</v>
      </c>
      <c r="Q39" s="9">
        <v>1088</v>
      </c>
    </row>
    <row r="40" spans="1:17" x14ac:dyDescent="0.25">
      <c r="A40" t="s">
        <v>42</v>
      </c>
      <c r="B40" s="9">
        <v>120</v>
      </c>
      <c r="C40" s="46">
        <v>577.29999999999995</v>
      </c>
      <c r="D40" s="46">
        <v>1136</v>
      </c>
      <c r="E40" s="46">
        <v>1494.1</v>
      </c>
      <c r="F40" s="46">
        <v>484.9</v>
      </c>
      <c r="G40" s="9">
        <v>788</v>
      </c>
      <c r="H40" s="53">
        <f t="shared" si="0"/>
        <v>2311.5</v>
      </c>
      <c r="I40" s="9">
        <v>3835</v>
      </c>
      <c r="J40" s="9">
        <v>3934</v>
      </c>
      <c r="K40" s="9">
        <v>3600</v>
      </c>
      <c r="L40" s="9">
        <v>2300</v>
      </c>
      <c r="M40" s="9">
        <v>2973</v>
      </c>
      <c r="N40" s="9">
        <v>4009</v>
      </c>
      <c r="O40" s="9">
        <v>5784</v>
      </c>
      <c r="P40" s="9">
        <v>6184</v>
      </c>
      <c r="Q40" s="9">
        <v>9025</v>
      </c>
    </row>
    <row r="41" spans="1:17" x14ac:dyDescent="0.25">
      <c r="A41" t="s">
        <v>39</v>
      </c>
      <c r="B41" s="9">
        <v>41</v>
      </c>
      <c r="C41" s="46">
        <v>209.5</v>
      </c>
      <c r="D41" s="46">
        <v>304.60000000000002</v>
      </c>
      <c r="E41" s="46">
        <v>420</v>
      </c>
      <c r="F41" s="46">
        <v>151.69999999999999</v>
      </c>
      <c r="G41" s="9">
        <v>364</v>
      </c>
      <c r="H41">
        <f t="shared" si="0"/>
        <v>696</v>
      </c>
      <c r="I41" s="9">
        <v>1028</v>
      </c>
      <c r="J41" s="9">
        <v>1671</v>
      </c>
      <c r="K41" s="9">
        <v>2048</v>
      </c>
      <c r="L41" s="9">
        <v>1761</v>
      </c>
      <c r="M41" s="9">
        <v>1705</v>
      </c>
      <c r="N41" s="9">
        <v>2139</v>
      </c>
      <c r="O41" s="9">
        <v>3197</v>
      </c>
      <c r="P41" s="9">
        <v>3301</v>
      </c>
      <c r="Q41" s="9">
        <v>5121</v>
      </c>
    </row>
    <row r="42" spans="1:17" x14ac:dyDescent="0.25">
      <c r="A42" t="s">
        <v>43</v>
      </c>
      <c r="B42" s="9">
        <v>276</v>
      </c>
      <c r="C42" s="46">
        <v>787.3</v>
      </c>
      <c r="D42" s="46">
        <v>1051.3</v>
      </c>
      <c r="E42" s="46">
        <v>424.9</v>
      </c>
      <c r="F42" s="46">
        <v>182.8</v>
      </c>
      <c r="G42" s="9">
        <v>525</v>
      </c>
      <c r="H42">
        <f t="shared" si="0"/>
        <v>1224</v>
      </c>
      <c r="I42" s="9">
        <v>1923</v>
      </c>
      <c r="J42" s="9">
        <v>3258</v>
      </c>
      <c r="K42" s="9">
        <v>4108</v>
      </c>
      <c r="L42" s="9">
        <v>2962</v>
      </c>
      <c r="M42" s="9">
        <v>3760</v>
      </c>
      <c r="N42" s="9">
        <v>4105</v>
      </c>
      <c r="O42" s="9">
        <v>5933</v>
      </c>
      <c r="P42" s="9">
        <v>6063</v>
      </c>
      <c r="Q42" s="9">
        <v>8978</v>
      </c>
    </row>
    <row r="43" spans="1:17" x14ac:dyDescent="0.25">
      <c r="A43" t="s">
        <v>40</v>
      </c>
      <c r="B43" s="9">
        <v>4</v>
      </c>
      <c r="C43" s="46">
        <v>36.299999999999997</v>
      </c>
      <c r="D43" s="46">
        <v>19</v>
      </c>
      <c r="E43" s="46">
        <v>44.7</v>
      </c>
      <c r="F43" s="46">
        <v>12.4</v>
      </c>
      <c r="G43" s="9">
        <v>1190</v>
      </c>
      <c r="H43">
        <f t="shared" si="0"/>
        <v>661</v>
      </c>
      <c r="I43" s="9">
        <v>132</v>
      </c>
      <c r="J43" s="9">
        <v>206</v>
      </c>
      <c r="K43" s="9">
        <v>654</v>
      </c>
      <c r="L43" s="9">
        <v>637</v>
      </c>
      <c r="M43" s="9">
        <v>1018</v>
      </c>
      <c r="N43" s="9">
        <v>1149</v>
      </c>
      <c r="O43" s="9">
        <v>1919</v>
      </c>
      <c r="P43" s="9">
        <v>2576</v>
      </c>
      <c r="Q43" s="9">
        <v>5422</v>
      </c>
    </row>
    <row r="44" spans="1:17" x14ac:dyDescent="0.25">
      <c r="A44" t="s">
        <v>41</v>
      </c>
      <c r="B44" s="9">
        <v>1009</v>
      </c>
      <c r="C44" s="46">
        <v>3403.7</v>
      </c>
      <c r="D44" s="46">
        <v>5088.7</v>
      </c>
      <c r="E44" s="46">
        <v>7445.3</v>
      </c>
      <c r="F44" s="46">
        <v>2425.8000000000002</v>
      </c>
      <c r="G44" s="9">
        <v>5645</v>
      </c>
      <c r="H44">
        <f t="shared" si="0"/>
        <v>9295</v>
      </c>
      <c r="I44" s="9">
        <v>12945</v>
      </c>
      <c r="J44" s="9">
        <v>15856</v>
      </c>
      <c r="K44" s="9">
        <v>21201</v>
      </c>
      <c r="L44" s="9">
        <v>14793</v>
      </c>
      <c r="M44" s="9">
        <v>17274</v>
      </c>
      <c r="N44" s="9">
        <v>22579</v>
      </c>
      <c r="O44" s="9">
        <v>33864</v>
      </c>
      <c r="P44" s="9">
        <v>32977</v>
      </c>
      <c r="Q44" s="9">
        <v>46550</v>
      </c>
    </row>
    <row r="45" spans="1:17" x14ac:dyDescent="0.25">
      <c r="A45" t="s">
        <v>44</v>
      </c>
      <c r="B45" s="9">
        <v>5193</v>
      </c>
      <c r="C45" s="46">
        <v>10950.7</v>
      </c>
      <c r="D45" s="46">
        <v>15213</v>
      </c>
      <c r="E45" s="46">
        <v>16787.2</v>
      </c>
      <c r="F45" s="46">
        <v>3679.6</v>
      </c>
      <c r="G45" s="9">
        <v>10029</v>
      </c>
      <c r="H45" s="53">
        <f t="shared" si="0"/>
        <v>18543.5</v>
      </c>
      <c r="I45" s="9">
        <v>27058</v>
      </c>
      <c r="J45" s="9">
        <v>38192</v>
      </c>
      <c r="K45" s="9">
        <v>48663</v>
      </c>
      <c r="L45" s="9">
        <v>31885</v>
      </c>
      <c r="M45" s="9">
        <v>43864</v>
      </c>
      <c r="N45" s="9">
        <v>60909</v>
      </c>
      <c r="O45" s="9">
        <v>92720</v>
      </c>
      <c r="P45" s="9">
        <v>89114</v>
      </c>
      <c r="Q45" s="9">
        <v>126922</v>
      </c>
    </row>
    <row r="46" spans="1:17" x14ac:dyDescent="0.25">
      <c r="A46" t="s">
        <v>45</v>
      </c>
      <c r="B46" s="9">
        <v>345</v>
      </c>
      <c r="C46" s="46">
        <v>921.8</v>
      </c>
      <c r="D46" s="46">
        <v>2105.1</v>
      </c>
      <c r="E46" s="46">
        <v>2287.8000000000002</v>
      </c>
      <c r="F46" s="46">
        <v>508.6</v>
      </c>
      <c r="G46" s="9">
        <v>1372</v>
      </c>
      <c r="H46" s="53">
        <f t="shared" si="0"/>
        <v>2562.5</v>
      </c>
      <c r="I46" s="9">
        <v>3753</v>
      </c>
      <c r="J46" s="9">
        <v>5329</v>
      </c>
      <c r="K46" s="9">
        <v>7606</v>
      </c>
      <c r="L46" s="9">
        <v>5263</v>
      </c>
      <c r="M46" s="9">
        <v>7101</v>
      </c>
      <c r="N46" s="9">
        <v>8574</v>
      </c>
      <c r="O46" s="9">
        <v>12213</v>
      </c>
      <c r="P46" s="9">
        <v>10776</v>
      </c>
      <c r="Q46" s="9">
        <v>15217</v>
      </c>
    </row>
    <row r="47" spans="1:17" x14ac:dyDescent="0.25">
      <c r="A47" t="s">
        <v>46</v>
      </c>
      <c r="B47" s="9">
        <v>346</v>
      </c>
      <c r="C47" s="46">
        <v>940.2</v>
      </c>
      <c r="D47" s="46">
        <v>1720.3</v>
      </c>
      <c r="E47" s="46">
        <v>2883.7</v>
      </c>
      <c r="F47" s="46">
        <v>984.9</v>
      </c>
      <c r="G47" s="9">
        <v>1666</v>
      </c>
      <c r="H47">
        <f t="shared" si="0"/>
        <v>3005</v>
      </c>
      <c r="I47" s="9">
        <v>4344</v>
      </c>
      <c r="J47" s="9">
        <v>5660</v>
      </c>
      <c r="K47" s="9">
        <v>7783</v>
      </c>
      <c r="L47" s="9">
        <v>5006</v>
      </c>
      <c r="M47" s="9">
        <v>8225</v>
      </c>
      <c r="N47" s="9">
        <v>10406</v>
      </c>
      <c r="O47" s="9">
        <v>14239</v>
      </c>
      <c r="P47" s="9">
        <v>12282</v>
      </c>
      <c r="Q47" s="9">
        <v>17147</v>
      </c>
    </row>
    <row r="48" spans="1:17" x14ac:dyDescent="0.25">
      <c r="A48" t="s">
        <v>47</v>
      </c>
      <c r="B48" s="9">
        <v>1906</v>
      </c>
      <c r="C48" s="46">
        <v>7889.6</v>
      </c>
      <c r="D48" s="46">
        <v>15997.3</v>
      </c>
      <c r="E48" s="46">
        <v>14045.2</v>
      </c>
      <c r="F48" s="46">
        <v>3417.5</v>
      </c>
      <c r="G48" s="9">
        <v>13662</v>
      </c>
      <c r="H48" s="53">
        <f t="shared" si="0"/>
        <v>22167.5</v>
      </c>
      <c r="I48" s="9">
        <v>30673</v>
      </c>
      <c r="J48" s="9">
        <v>38414</v>
      </c>
      <c r="K48" s="9">
        <v>52953</v>
      </c>
      <c r="L48" s="9">
        <v>37957</v>
      </c>
      <c r="M48" s="9">
        <v>49003</v>
      </c>
      <c r="N48" s="9">
        <v>66972</v>
      </c>
      <c r="O48" s="9">
        <v>95770</v>
      </c>
      <c r="P48" s="9">
        <v>90309</v>
      </c>
      <c r="Q48" s="9">
        <v>141674</v>
      </c>
    </row>
    <row r="49" spans="1:17" x14ac:dyDescent="0.25">
      <c r="A49" t="s">
        <v>48</v>
      </c>
      <c r="B49" s="9">
        <v>1446</v>
      </c>
      <c r="C49" s="46">
        <v>5052.3</v>
      </c>
      <c r="D49" s="46">
        <v>6723.3</v>
      </c>
      <c r="E49" s="46">
        <v>6406.9</v>
      </c>
      <c r="F49" s="46">
        <v>3074.7</v>
      </c>
      <c r="G49" s="9">
        <v>5336</v>
      </c>
      <c r="H49" s="53">
        <f t="shared" si="0"/>
        <v>8507.5</v>
      </c>
      <c r="I49" s="9">
        <v>11679</v>
      </c>
      <c r="J49" s="9">
        <v>15508</v>
      </c>
      <c r="K49" s="9">
        <v>19904</v>
      </c>
      <c r="L49" s="9">
        <v>13431</v>
      </c>
      <c r="M49" s="9">
        <v>16465</v>
      </c>
      <c r="N49" s="9">
        <v>21039</v>
      </c>
      <c r="O49" s="9">
        <v>30466</v>
      </c>
      <c r="P49" s="9">
        <v>28812</v>
      </c>
      <c r="Q49" s="9">
        <v>45583</v>
      </c>
    </row>
    <row r="50" spans="1:17" x14ac:dyDescent="0.25">
      <c r="A50" t="s">
        <v>49</v>
      </c>
      <c r="B50" s="9">
        <v>1277</v>
      </c>
      <c r="C50" s="46">
        <v>3311.4</v>
      </c>
      <c r="D50" s="46">
        <v>4459.6000000000004</v>
      </c>
      <c r="E50" s="46">
        <v>6353.1</v>
      </c>
      <c r="F50" s="46">
        <v>1833.1</v>
      </c>
      <c r="G50" s="9">
        <v>3495</v>
      </c>
      <c r="H50" s="53">
        <f t="shared" si="0"/>
        <v>6539.5</v>
      </c>
      <c r="I50" s="9">
        <v>9584</v>
      </c>
      <c r="J50" s="9">
        <v>13491</v>
      </c>
      <c r="K50" s="9">
        <v>19020</v>
      </c>
      <c r="L50" s="9">
        <v>11936</v>
      </c>
      <c r="M50" s="9">
        <v>15302</v>
      </c>
      <c r="N50" s="9">
        <v>21378</v>
      </c>
      <c r="O50" s="9">
        <v>29265</v>
      </c>
      <c r="P50" s="9">
        <v>26372</v>
      </c>
      <c r="Q50" s="9">
        <v>40145</v>
      </c>
    </row>
    <row r="51" spans="1:17" x14ac:dyDescent="0.25">
      <c r="A51" t="s">
        <v>50</v>
      </c>
      <c r="B51" s="9">
        <v>2229</v>
      </c>
      <c r="C51" s="46">
        <v>6933.9</v>
      </c>
      <c r="D51" s="46">
        <v>14192.9</v>
      </c>
      <c r="E51" s="46">
        <v>17751.8</v>
      </c>
      <c r="F51" s="46">
        <v>5329.2</v>
      </c>
      <c r="G51" s="9">
        <v>9654</v>
      </c>
      <c r="H51" s="53">
        <f t="shared" si="0"/>
        <v>15294.5</v>
      </c>
      <c r="I51" s="9">
        <v>20935</v>
      </c>
      <c r="J51" s="9">
        <v>28175</v>
      </c>
      <c r="K51" s="9">
        <v>35141</v>
      </c>
      <c r="L51" s="9">
        <v>21556</v>
      </c>
      <c r="M51" s="9">
        <v>26231</v>
      </c>
      <c r="N51" s="9">
        <v>35556</v>
      </c>
      <c r="O51" s="9">
        <v>52211</v>
      </c>
      <c r="P51" s="9">
        <v>51714</v>
      </c>
      <c r="Q51" s="9">
        <v>77412</v>
      </c>
    </row>
    <row r="52" spans="1:17" x14ac:dyDescent="0.25">
      <c r="A52" t="s">
        <v>51</v>
      </c>
      <c r="B52" s="9">
        <v>733</v>
      </c>
      <c r="C52" s="46">
        <v>2734.2</v>
      </c>
      <c r="D52" s="46">
        <v>4258.6000000000004</v>
      </c>
      <c r="E52" s="46">
        <v>4693.3</v>
      </c>
      <c r="F52" s="46">
        <v>1922</v>
      </c>
      <c r="G52" s="9">
        <v>4216</v>
      </c>
      <c r="H52" s="53">
        <f t="shared" si="0"/>
        <v>6452.5</v>
      </c>
      <c r="I52" s="9">
        <v>8689</v>
      </c>
      <c r="J52" s="9">
        <v>11770</v>
      </c>
      <c r="K52" s="9">
        <v>16195</v>
      </c>
      <c r="L52" s="9">
        <v>10055</v>
      </c>
      <c r="M52" s="9">
        <v>12940</v>
      </c>
      <c r="N52" s="9">
        <v>18474</v>
      </c>
      <c r="O52" s="9">
        <v>25694</v>
      </c>
      <c r="P52" s="9">
        <v>22549</v>
      </c>
      <c r="Q52" s="9">
        <v>33498</v>
      </c>
    </row>
    <row r="53" spans="1:17" x14ac:dyDescent="0.25">
      <c r="A53" t="s">
        <v>52</v>
      </c>
      <c r="B53" s="9">
        <v>2426</v>
      </c>
      <c r="C53" s="46">
        <v>6301.4</v>
      </c>
      <c r="D53" s="46">
        <v>12037.1</v>
      </c>
      <c r="E53" s="46">
        <v>16345</v>
      </c>
      <c r="F53" s="46">
        <v>3531.3</v>
      </c>
      <c r="G53" s="9">
        <v>7749</v>
      </c>
      <c r="H53">
        <f t="shared" si="0"/>
        <v>13814</v>
      </c>
      <c r="I53" s="9">
        <v>19879</v>
      </c>
      <c r="J53" s="9">
        <v>28330</v>
      </c>
      <c r="K53" s="9">
        <v>37717</v>
      </c>
      <c r="L53" s="9">
        <v>23668</v>
      </c>
      <c r="M53" s="9">
        <v>30621</v>
      </c>
      <c r="N53" s="9">
        <v>40787</v>
      </c>
      <c r="O53" s="9">
        <v>57831</v>
      </c>
      <c r="P53" s="9">
        <v>52431</v>
      </c>
      <c r="Q53" s="9">
        <v>79809</v>
      </c>
    </row>
    <row r="54" spans="1:17" x14ac:dyDescent="0.25">
      <c r="A54" t="s">
        <v>53</v>
      </c>
      <c r="B54" s="9">
        <v>1216</v>
      </c>
      <c r="C54" s="46">
        <v>3518.3</v>
      </c>
      <c r="D54" s="46">
        <v>7208.7</v>
      </c>
      <c r="E54" s="46">
        <v>7324.5</v>
      </c>
      <c r="F54" s="46">
        <v>2365.1</v>
      </c>
      <c r="G54" s="9">
        <v>6144</v>
      </c>
      <c r="H54" s="53">
        <f t="shared" si="0"/>
        <v>9948.5</v>
      </c>
      <c r="I54" s="9">
        <v>13753</v>
      </c>
      <c r="J54" s="9">
        <v>17445</v>
      </c>
      <c r="K54" s="9">
        <v>23801</v>
      </c>
      <c r="L54" s="9">
        <v>16250</v>
      </c>
      <c r="M54" s="9">
        <v>18704</v>
      </c>
      <c r="N54" s="9">
        <v>25113</v>
      </c>
      <c r="O54" s="9">
        <v>38721</v>
      </c>
      <c r="P54" s="9">
        <v>36121</v>
      </c>
      <c r="Q54" s="9">
        <v>51819</v>
      </c>
    </row>
    <row r="55" spans="1:17" x14ac:dyDescent="0.25">
      <c r="A55" t="s">
        <v>54</v>
      </c>
      <c r="B55" s="9">
        <v>338</v>
      </c>
      <c r="C55" s="46">
        <v>1015.6</v>
      </c>
      <c r="D55" s="46">
        <v>2655.4</v>
      </c>
      <c r="E55" s="46">
        <v>3892.3</v>
      </c>
      <c r="F55" s="46">
        <v>1003.2</v>
      </c>
      <c r="G55" s="9">
        <v>2700</v>
      </c>
      <c r="H55">
        <f t="shared" si="0"/>
        <v>4587</v>
      </c>
      <c r="I55" s="9">
        <v>6474</v>
      </c>
      <c r="J55" s="9">
        <v>8976</v>
      </c>
      <c r="K55" s="9">
        <v>12836</v>
      </c>
      <c r="L55" s="9">
        <v>7981</v>
      </c>
      <c r="M55" s="9">
        <v>9827</v>
      </c>
      <c r="N55" s="9">
        <v>13904</v>
      </c>
      <c r="O55" s="9">
        <v>20246</v>
      </c>
      <c r="P55" s="9">
        <v>19640</v>
      </c>
      <c r="Q55" s="9">
        <v>31116</v>
      </c>
    </row>
    <row r="56" spans="1:17" x14ac:dyDescent="0.25">
      <c r="A56" t="s">
        <v>55</v>
      </c>
      <c r="B56" s="9">
        <v>2854</v>
      </c>
      <c r="C56" s="46">
        <v>8174.6</v>
      </c>
      <c r="D56" s="46">
        <v>18756.599999999999</v>
      </c>
      <c r="E56" s="46">
        <v>18970.400000000001</v>
      </c>
      <c r="F56" s="46">
        <v>4096.2</v>
      </c>
      <c r="G56" s="9">
        <v>9637</v>
      </c>
      <c r="H56" s="53">
        <f t="shared" si="0"/>
        <v>17088.5</v>
      </c>
      <c r="I56" s="9">
        <v>24540</v>
      </c>
      <c r="J56" s="9">
        <v>30911</v>
      </c>
      <c r="K56" s="9">
        <v>41181</v>
      </c>
      <c r="L56" s="9">
        <v>26065</v>
      </c>
      <c r="M56" s="9">
        <v>30521</v>
      </c>
      <c r="N56" s="9">
        <v>40665</v>
      </c>
      <c r="O56" s="9">
        <v>58453</v>
      </c>
      <c r="P56" s="9">
        <v>54127</v>
      </c>
      <c r="Q56" s="9">
        <v>76799</v>
      </c>
    </row>
    <row r="57" spans="1:17" x14ac:dyDescent="0.25">
      <c r="A57" t="s">
        <v>56</v>
      </c>
      <c r="B57" s="9">
        <v>622</v>
      </c>
      <c r="C57" s="46">
        <v>2663.6</v>
      </c>
      <c r="D57" s="46">
        <v>7082.4</v>
      </c>
      <c r="E57" s="46">
        <v>6835.6</v>
      </c>
      <c r="F57" s="46">
        <v>1926.8</v>
      </c>
      <c r="G57" s="9">
        <v>5276</v>
      </c>
      <c r="H57">
        <f t="shared" si="0"/>
        <v>9010</v>
      </c>
      <c r="I57" s="9">
        <v>12744</v>
      </c>
      <c r="J57" s="9">
        <v>17564</v>
      </c>
      <c r="K57" s="9">
        <v>23305</v>
      </c>
      <c r="L57" s="9">
        <v>14330</v>
      </c>
      <c r="M57" s="9">
        <v>17900</v>
      </c>
      <c r="N57" s="9">
        <v>24653</v>
      </c>
      <c r="O57" s="9">
        <v>36682</v>
      </c>
      <c r="P57" s="9">
        <v>35006</v>
      </c>
      <c r="Q57" s="9">
        <v>51284</v>
      </c>
    </row>
    <row r="58" spans="1:17" x14ac:dyDescent="0.25">
      <c r="A58" t="s">
        <v>57</v>
      </c>
      <c r="B58" s="9">
        <v>344</v>
      </c>
      <c r="C58" s="46">
        <v>1412.2</v>
      </c>
      <c r="D58" s="46">
        <v>4041.1</v>
      </c>
      <c r="E58" s="46">
        <v>4251.1000000000004</v>
      </c>
      <c r="F58" s="46">
        <v>1231.7</v>
      </c>
      <c r="G58" s="9">
        <v>3798</v>
      </c>
      <c r="H58" s="53">
        <f t="shared" si="0"/>
        <v>6694.5</v>
      </c>
      <c r="I58" s="9">
        <v>9591</v>
      </c>
      <c r="J58" s="9">
        <v>13294</v>
      </c>
      <c r="K58" s="9">
        <v>16926</v>
      </c>
      <c r="L58" s="9">
        <v>10234</v>
      </c>
      <c r="M58" s="9">
        <v>13065</v>
      </c>
      <c r="N58" s="9">
        <v>16595</v>
      </c>
      <c r="O58" s="9">
        <v>21930</v>
      </c>
      <c r="P58" s="9">
        <v>18890</v>
      </c>
      <c r="Q58" s="9">
        <v>28224</v>
      </c>
    </row>
    <row r="59" spans="1:17" x14ac:dyDescent="0.25">
      <c r="A59" t="s">
        <v>58</v>
      </c>
      <c r="B59" s="9">
        <v>221</v>
      </c>
      <c r="C59" s="46">
        <v>1532.9</v>
      </c>
      <c r="D59" s="46">
        <v>2827.2</v>
      </c>
      <c r="E59" s="46">
        <v>3179.2</v>
      </c>
      <c r="F59" s="46">
        <v>1141</v>
      </c>
      <c r="G59" s="9">
        <v>2092</v>
      </c>
      <c r="H59" s="53">
        <f t="shared" si="0"/>
        <v>3639.5</v>
      </c>
      <c r="I59" s="9">
        <v>5187</v>
      </c>
      <c r="J59" s="9">
        <v>6569</v>
      </c>
      <c r="K59" s="9">
        <v>8179</v>
      </c>
      <c r="L59" s="9">
        <v>12620</v>
      </c>
      <c r="M59" s="9">
        <v>6007</v>
      </c>
      <c r="N59" s="9">
        <v>8597</v>
      </c>
      <c r="O59" s="9">
        <v>12965</v>
      </c>
      <c r="P59" s="9">
        <v>12866</v>
      </c>
      <c r="Q59" s="9">
        <v>18310</v>
      </c>
    </row>
    <row r="60" spans="1:17" x14ac:dyDescent="0.25">
      <c r="A60" t="s">
        <v>59</v>
      </c>
      <c r="B60" s="9">
        <v>2518</v>
      </c>
      <c r="C60" s="46">
        <v>10681.8</v>
      </c>
      <c r="D60" s="46">
        <v>20072.8</v>
      </c>
      <c r="E60" s="46">
        <v>23567.3</v>
      </c>
      <c r="F60" s="46">
        <v>4368.7</v>
      </c>
      <c r="G60" s="9">
        <v>12844</v>
      </c>
      <c r="H60">
        <f t="shared" si="0"/>
        <v>24685</v>
      </c>
      <c r="I60" s="9">
        <v>36526</v>
      </c>
      <c r="J60" s="9">
        <v>47295</v>
      </c>
      <c r="K60" s="9">
        <v>59829</v>
      </c>
      <c r="L60" s="9">
        <v>35422</v>
      </c>
      <c r="M60" s="9">
        <v>44285</v>
      </c>
      <c r="N60" s="9">
        <v>65484</v>
      </c>
      <c r="O60" s="9">
        <v>98204</v>
      </c>
      <c r="P60" s="9">
        <v>93014</v>
      </c>
      <c r="Q60" s="9">
        <v>140885</v>
      </c>
    </row>
    <row r="61" spans="1:17" x14ac:dyDescent="0.25">
      <c r="A61" t="s">
        <v>60</v>
      </c>
      <c r="B61" s="9">
        <v>6109</v>
      </c>
      <c r="C61" s="46">
        <v>24700.6</v>
      </c>
      <c r="D61" s="46">
        <v>38247.9</v>
      </c>
      <c r="E61" s="46">
        <v>44733.2</v>
      </c>
      <c r="F61" s="46">
        <v>12160.4</v>
      </c>
      <c r="G61" s="9">
        <v>36123</v>
      </c>
      <c r="H61" s="53">
        <f t="shared" si="0"/>
        <v>52977.5</v>
      </c>
      <c r="I61" s="9">
        <v>69832</v>
      </c>
      <c r="J61" s="9">
        <v>86669</v>
      </c>
      <c r="K61" s="9">
        <v>94271</v>
      </c>
      <c r="L61" s="9">
        <v>62760</v>
      </c>
      <c r="M61" s="9">
        <v>73682</v>
      </c>
      <c r="N61" s="9">
        <v>101662</v>
      </c>
      <c r="O61" s="9">
        <v>142402</v>
      </c>
      <c r="P61" s="9">
        <v>132878</v>
      </c>
      <c r="Q61" s="9">
        <v>195721</v>
      </c>
    </row>
    <row r="62" spans="1:17" x14ac:dyDescent="0.25">
      <c r="A62" t="s">
        <v>61</v>
      </c>
      <c r="B62" s="9">
        <v>2293</v>
      </c>
      <c r="C62" s="46">
        <v>7827.8</v>
      </c>
      <c r="D62" s="46">
        <v>20932.2</v>
      </c>
      <c r="E62" s="46">
        <v>20579.2</v>
      </c>
      <c r="F62" s="46">
        <v>4474.3999999999996</v>
      </c>
      <c r="G62">
        <v>11711</v>
      </c>
      <c r="H62" s="53">
        <f t="shared" si="0"/>
        <v>19746.5</v>
      </c>
      <c r="I62">
        <v>27782</v>
      </c>
      <c r="J62" s="9">
        <v>37243</v>
      </c>
      <c r="K62" s="9">
        <v>42602</v>
      </c>
      <c r="L62" s="9">
        <v>26795</v>
      </c>
      <c r="M62" s="9">
        <v>32124</v>
      </c>
      <c r="N62" s="9">
        <v>42752</v>
      </c>
      <c r="O62" s="9">
        <v>59849</v>
      </c>
      <c r="P62" s="9">
        <v>58070</v>
      </c>
      <c r="Q62" s="9">
        <v>83916</v>
      </c>
    </row>
    <row r="63" spans="1:17" x14ac:dyDescent="0.25">
      <c r="A63" t="s">
        <v>62</v>
      </c>
      <c r="B63" s="9">
        <v>10</v>
      </c>
      <c r="C63" s="46">
        <v>80.099999999999994</v>
      </c>
      <c r="D63" s="46">
        <v>369.9</v>
      </c>
      <c r="E63" s="46">
        <v>401</v>
      </c>
      <c r="F63" s="46">
        <v>133.9</v>
      </c>
      <c r="G63">
        <v>832</v>
      </c>
      <c r="H63">
        <f t="shared" si="0"/>
        <v>628</v>
      </c>
      <c r="I63">
        <v>424</v>
      </c>
      <c r="J63" s="9">
        <v>661</v>
      </c>
      <c r="K63" s="9">
        <v>1098</v>
      </c>
      <c r="L63" s="9">
        <v>718</v>
      </c>
      <c r="M63" s="9">
        <v>684</v>
      </c>
      <c r="N63" s="9">
        <v>840</v>
      </c>
      <c r="O63" s="9">
        <v>1408</v>
      </c>
      <c r="P63" s="9">
        <v>1391</v>
      </c>
      <c r="Q63" s="9">
        <v>2434</v>
      </c>
    </row>
    <row r="64" spans="1:17" x14ac:dyDescent="0.25">
      <c r="A64" t="s">
        <v>63</v>
      </c>
      <c r="B64">
        <v>334</v>
      </c>
      <c r="C64" s="46">
        <v>1550.9</v>
      </c>
      <c r="D64" s="46">
        <v>2804.7</v>
      </c>
      <c r="E64" s="46">
        <v>3565.5</v>
      </c>
      <c r="F64" s="46">
        <v>772.7</v>
      </c>
      <c r="G64">
        <v>2625</v>
      </c>
      <c r="H64">
        <f t="shared" si="0"/>
        <v>4165</v>
      </c>
      <c r="I64" s="9">
        <v>5705</v>
      </c>
      <c r="J64" s="9">
        <v>7632</v>
      </c>
      <c r="K64" s="9">
        <v>9333</v>
      </c>
      <c r="L64" s="9">
        <v>4885</v>
      </c>
      <c r="M64" s="9">
        <v>5412</v>
      </c>
      <c r="N64" s="9">
        <v>7012</v>
      </c>
      <c r="O64" s="9">
        <v>11403</v>
      </c>
      <c r="P64" s="9">
        <v>11337</v>
      </c>
      <c r="Q64" s="9">
        <v>20192</v>
      </c>
    </row>
    <row r="65" spans="1:17" x14ac:dyDescent="0.25">
      <c r="A65" t="s">
        <v>64</v>
      </c>
      <c r="B65" s="9">
        <v>62</v>
      </c>
      <c r="C65" s="46">
        <v>120.1</v>
      </c>
      <c r="D65" s="46">
        <v>771.2</v>
      </c>
      <c r="E65" s="46">
        <v>1049.9000000000001</v>
      </c>
      <c r="F65" s="46">
        <v>249.5</v>
      </c>
      <c r="G65" s="9">
        <v>359</v>
      </c>
      <c r="H65">
        <f t="shared" si="0"/>
        <v>917</v>
      </c>
      <c r="I65" s="9">
        <v>1475</v>
      </c>
      <c r="J65" s="9">
        <v>1787</v>
      </c>
      <c r="K65" s="9">
        <v>2049</v>
      </c>
      <c r="L65" s="9">
        <v>1250</v>
      </c>
      <c r="M65" s="9">
        <v>1564</v>
      </c>
      <c r="N65" s="9">
        <v>2677</v>
      </c>
      <c r="O65" s="9">
        <v>4586</v>
      </c>
      <c r="P65" s="9">
        <v>4242</v>
      </c>
      <c r="Q65" s="9">
        <v>6382</v>
      </c>
    </row>
    <row r="66" spans="1:17" x14ac:dyDescent="0.25">
      <c r="A66" t="s">
        <v>65</v>
      </c>
      <c r="B66" s="9">
        <v>559</v>
      </c>
      <c r="C66" s="46">
        <v>1047</v>
      </c>
      <c r="D66" s="46">
        <v>2161.1999999999998</v>
      </c>
      <c r="E66" s="46">
        <v>2105</v>
      </c>
      <c r="F66" s="46">
        <v>735.5</v>
      </c>
      <c r="G66" s="9">
        <v>1739</v>
      </c>
      <c r="H66" s="53">
        <f t="shared" si="0"/>
        <v>2346.5</v>
      </c>
      <c r="I66" s="9">
        <v>2954</v>
      </c>
      <c r="J66" s="9">
        <v>3813</v>
      </c>
      <c r="K66" s="9">
        <v>4583</v>
      </c>
      <c r="L66" s="9">
        <v>3193</v>
      </c>
      <c r="M66" s="9">
        <v>3681</v>
      </c>
      <c r="N66" s="9">
        <v>5554</v>
      </c>
      <c r="O66" s="9">
        <v>7960</v>
      </c>
      <c r="P66" s="9">
        <v>7506</v>
      </c>
      <c r="Q66" s="9">
        <v>11879</v>
      </c>
    </row>
    <row r="67" spans="1:17" x14ac:dyDescent="0.25">
      <c r="A67" t="s">
        <v>66</v>
      </c>
      <c r="B67" s="9">
        <v>1874</v>
      </c>
      <c r="C67" s="46">
        <v>7969.9</v>
      </c>
      <c r="D67" s="46">
        <v>14276.3</v>
      </c>
      <c r="E67" s="46">
        <v>8476.5</v>
      </c>
      <c r="F67" s="46">
        <v>3818.7</v>
      </c>
      <c r="G67" s="9">
        <v>6718</v>
      </c>
      <c r="H67" s="53">
        <f t="shared" ref="H67:H83" si="1">(G67+I67)/2</f>
        <v>9970</v>
      </c>
      <c r="I67" s="9">
        <v>13222</v>
      </c>
      <c r="J67" s="9">
        <v>18422</v>
      </c>
      <c r="K67" s="9">
        <v>21169</v>
      </c>
      <c r="L67" s="9">
        <v>13426</v>
      </c>
      <c r="M67" s="9">
        <v>17141</v>
      </c>
      <c r="N67" s="9">
        <v>23910</v>
      </c>
      <c r="O67" s="9">
        <v>36292</v>
      </c>
      <c r="P67" s="9">
        <v>34287</v>
      </c>
      <c r="Q67" s="9">
        <v>53478</v>
      </c>
    </row>
    <row r="68" spans="1:17" x14ac:dyDescent="0.25">
      <c r="A68" t="s">
        <v>73</v>
      </c>
      <c r="B68">
        <v>336</v>
      </c>
      <c r="C68" s="46">
        <v>1163</v>
      </c>
      <c r="D68" s="46">
        <v>2798.7</v>
      </c>
      <c r="E68" s="46">
        <v>3307.4</v>
      </c>
      <c r="F68" s="46">
        <v>1079.5</v>
      </c>
      <c r="G68">
        <v>2942</v>
      </c>
      <c r="H68" s="53">
        <f t="shared" si="1"/>
        <v>5054.5</v>
      </c>
      <c r="I68" s="9">
        <v>7167</v>
      </c>
      <c r="J68" s="9">
        <v>8979</v>
      </c>
      <c r="K68" s="9">
        <v>11628</v>
      </c>
      <c r="L68" s="9">
        <v>6594</v>
      </c>
      <c r="M68" s="9">
        <v>7148</v>
      </c>
      <c r="N68" s="9">
        <v>10087</v>
      </c>
      <c r="O68" s="9">
        <v>15640</v>
      </c>
      <c r="P68" s="9">
        <v>14978</v>
      </c>
      <c r="Q68" s="9">
        <v>22606</v>
      </c>
    </row>
    <row r="69" spans="1:17" x14ac:dyDescent="0.25">
      <c r="A69" t="s">
        <v>67</v>
      </c>
      <c r="B69" s="9">
        <v>3246</v>
      </c>
      <c r="C69" s="46">
        <v>9234.2999999999993</v>
      </c>
      <c r="D69" s="46">
        <v>21147.599999999999</v>
      </c>
      <c r="E69" s="46">
        <v>21191.3</v>
      </c>
      <c r="F69" s="46">
        <v>5685.5</v>
      </c>
      <c r="G69" s="9">
        <v>12435</v>
      </c>
      <c r="H69" s="53">
        <f t="shared" si="1"/>
        <v>20124.5</v>
      </c>
      <c r="I69" s="9">
        <v>27814</v>
      </c>
      <c r="J69" s="9">
        <v>36518</v>
      </c>
      <c r="K69" s="9">
        <v>48207</v>
      </c>
      <c r="L69" s="9">
        <v>27583</v>
      </c>
      <c r="M69" s="9">
        <v>34037</v>
      </c>
      <c r="N69" s="9">
        <v>43850</v>
      </c>
      <c r="O69" s="9">
        <v>63273</v>
      </c>
      <c r="P69" s="9">
        <v>60335</v>
      </c>
      <c r="Q69" s="9">
        <v>95047</v>
      </c>
    </row>
    <row r="70" spans="1:17" x14ac:dyDescent="0.25">
      <c r="A70" t="s">
        <v>68</v>
      </c>
      <c r="B70" s="9">
        <v>1329</v>
      </c>
      <c r="C70" s="46">
        <v>4976.8</v>
      </c>
      <c r="D70" s="46">
        <v>11980.4</v>
      </c>
      <c r="E70" s="46">
        <v>14818.8</v>
      </c>
      <c r="F70" s="46">
        <v>4468</v>
      </c>
      <c r="G70" s="9">
        <v>10809</v>
      </c>
      <c r="H70" s="53">
        <f t="shared" si="1"/>
        <v>15579.5</v>
      </c>
      <c r="I70" s="9">
        <v>20350</v>
      </c>
      <c r="J70" s="9">
        <v>26121</v>
      </c>
      <c r="K70" s="9">
        <v>33352</v>
      </c>
      <c r="L70" s="9">
        <v>19784</v>
      </c>
      <c r="M70" s="9">
        <v>22973</v>
      </c>
      <c r="N70" s="9">
        <v>31385</v>
      </c>
      <c r="O70" s="9">
        <v>44387</v>
      </c>
      <c r="P70" s="9">
        <v>41882</v>
      </c>
      <c r="Q70" s="9">
        <v>61433</v>
      </c>
    </row>
    <row r="71" spans="1:17" x14ac:dyDescent="0.25">
      <c r="A71" t="s">
        <v>69</v>
      </c>
      <c r="B71" s="9">
        <v>2505</v>
      </c>
      <c r="C71" s="46">
        <v>5441.4</v>
      </c>
      <c r="D71" s="46">
        <v>12711.3</v>
      </c>
      <c r="E71" s="46">
        <v>12755.1</v>
      </c>
      <c r="F71" s="46">
        <v>2636.2</v>
      </c>
      <c r="G71" s="9">
        <v>5695</v>
      </c>
      <c r="H71" s="53">
        <f t="shared" si="1"/>
        <v>11285.5</v>
      </c>
      <c r="I71" s="9">
        <v>16876</v>
      </c>
      <c r="J71" s="9">
        <v>22254</v>
      </c>
      <c r="K71" s="9">
        <v>29638</v>
      </c>
      <c r="L71" s="9">
        <v>16939</v>
      </c>
      <c r="M71" s="9">
        <v>20258</v>
      </c>
      <c r="N71" s="9">
        <v>27754</v>
      </c>
      <c r="O71" s="9">
        <v>42108</v>
      </c>
      <c r="P71" s="9">
        <v>41471</v>
      </c>
      <c r="Q71" s="9">
        <v>59733</v>
      </c>
    </row>
    <row r="72" spans="1:17" x14ac:dyDescent="0.25">
      <c r="A72" t="s">
        <v>70</v>
      </c>
      <c r="B72" s="9">
        <v>2412</v>
      </c>
      <c r="C72" s="46">
        <v>9471.6</v>
      </c>
      <c r="D72" s="46">
        <v>20034.099999999999</v>
      </c>
      <c r="E72" s="46">
        <v>19188.5</v>
      </c>
      <c r="F72" s="46">
        <v>4709.5</v>
      </c>
      <c r="G72" s="9">
        <v>11783</v>
      </c>
      <c r="H72">
        <f t="shared" si="1"/>
        <v>19452</v>
      </c>
      <c r="I72" s="9">
        <v>27121</v>
      </c>
      <c r="J72" s="9">
        <v>36403</v>
      </c>
      <c r="K72" s="9">
        <v>43093</v>
      </c>
      <c r="L72" s="9">
        <v>25613</v>
      </c>
      <c r="M72" s="9">
        <v>33386</v>
      </c>
      <c r="N72" s="9">
        <v>46642</v>
      </c>
      <c r="O72" s="9">
        <v>70605</v>
      </c>
      <c r="P72" s="9">
        <v>69892</v>
      </c>
      <c r="Q72" s="9">
        <v>108462</v>
      </c>
    </row>
    <row r="73" spans="1:17" x14ac:dyDescent="0.25">
      <c r="A73" t="s">
        <v>71</v>
      </c>
      <c r="B73" s="9">
        <v>1912</v>
      </c>
      <c r="C73" s="46">
        <v>6978.6</v>
      </c>
      <c r="D73" s="46">
        <v>14721.7</v>
      </c>
      <c r="E73" s="46">
        <v>10843.5</v>
      </c>
      <c r="F73" s="46">
        <v>1847.8</v>
      </c>
      <c r="G73" s="9">
        <v>6320</v>
      </c>
      <c r="H73">
        <f t="shared" si="1"/>
        <v>9998</v>
      </c>
      <c r="I73" s="9">
        <v>13676</v>
      </c>
      <c r="J73" s="9">
        <v>16869</v>
      </c>
      <c r="K73" s="9">
        <v>21091</v>
      </c>
      <c r="L73" s="9">
        <v>13060</v>
      </c>
      <c r="M73" s="9">
        <v>16256</v>
      </c>
      <c r="N73" s="9">
        <v>23237</v>
      </c>
      <c r="O73" s="9">
        <v>35649</v>
      </c>
      <c r="P73" s="9">
        <v>35375</v>
      </c>
      <c r="Q73" s="9">
        <v>52891</v>
      </c>
    </row>
    <row r="74" spans="1:17" x14ac:dyDescent="0.25">
      <c r="A74" t="s">
        <v>72</v>
      </c>
      <c r="B74" s="9">
        <v>1374</v>
      </c>
      <c r="C74" s="46">
        <v>3364.5</v>
      </c>
      <c r="D74" s="46">
        <v>7629.8</v>
      </c>
      <c r="E74" s="46">
        <v>7932.9</v>
      </c>
      <c r="F74" s="46">
        <v>2199.1</v>
      </c>
      <c r="G74" s="9">
        <v>3995</v>
      </c>
      <c r="H74">
        <f t="shared" si="1"/>
        <v>6844</v>
      </c>
      <c r="I74" s="9">
        <v>9693</v>
      </c>
      <c r="J74" s="9">
        <v>11858</v>
      </c>
      <c r="K74" s="9">
        <v>14620</v>
      </c>
      <c r="L74" s="9">
        <v>8570</v>
      </c>
      <c r="M74" s="9">
        <v>11079</v>
      </c>
      <c r="N74" s="9">
        <v>13988</v>
      </c>
      <c r="O74" s="9">
        <v>20302</v>
      </c>
      <c r="P74" s="9">
        <v>18797</v>
      </c>
      <c r="Q74" s="9">
        <v>29783</v>
      </c>
    </row>
    <row r="75" spans="1:17" x14ac:dyDescent="0.25">
      <c r="A75" t="s">
        <v>74</v>
      </c>
      <c r="B75">
        <v>702</v>
      </c>
      <c r="C75" s="46">
        <v>1703.4</v>
      </c>
      <c r="D75" s="46">
        <v>3267.2</v>
      </c>
      <c r="E75" s="46">
        <v>4926.5</v>
      </c>
      <c r="F75" s="46">
        <v>1716</v>
      </c>
      <c r="G75">
        <v>3859</v>
      </c>
      <c r="H75" s="53">
        <f t="shared" si="1"/>
        <v>7307.5</v>
      </c>
      <c r="I75" s="9">
        <v>10756</v>
      </c>
      <c r="J75" s="9">
        <v>14575</v>
      </c>
      <c r="K75" s="9">
        <v>19745</v>
      </c>
      <c r="L75" s="9">
        <v>14145</v>
      </c>
      <c r="M75" s="9">
        <v>19713</v>
      </c>
      <c r="N75" s="9">
        <v>24586</v>
      </c>
      <c r="O75" s="9">
        <v>35572</v>
      </c>
      <c r="P75" s="9">
        <v>31703</v>
      </c>
      <c r="Q75" s="9">
        <v>47317</v>
      </c>
    </row>
    <row r="76" spans="1:17" x14ac:dyDescent="0.25">
      <c r="A76" t="s">
        <v>75</v>
      </c>
      <c r="B76" s="9">
        <v>42</v>
      </c>
      <c r="C76" s="46">
        <v>344</v>
      </c>
      <c r="D76" s="46">
        <v>839.1</v>
      </c>
      <c r="E76" s="46">
        <v>1360.4</v>
      </c>
      <c r="F76" s="46">
        <v>474.4</v>
      </c>
      <c r="G76" s="9">
        <v>1170</v>
      </c>
      <c r="H76" s="53">
        <f t="shared" si="1"/>
        <v>1988.5</v>
      </c>
      <c r="I76" s="9">
        <v>2807</v>
      </c>
      <c r="J76" s="9">
        <v>3424</v>
      </c>
      <c r="K76" s="9">
        <v>5111</v>
      </c>
      <c r="L76" s="9">
        <v>3508</v>
      </c>
      <c r="M76" s="9">
        <v>3677</v>
      </c>
      <c r="N76" s="9">
        <v>5151</v>
      </c>
      <c r="O76" s="9">
        <v>8031</v>
      </c>
      <c r="P76" s="9">
        <v>7986</v>
      </c>
      <c r="Q76" s="9">
        <v>11887</v>
      </c>
    </row>
    <row r="77" spans="1:17" x14ac:dyDescent="0.25">
      <c r="A77" t="s">
        <v>76</v>
      </c>
      <c r="B77" s="9">
        <v>369</v>
      </c>
      <c r="C77" s="46">
        <v>1742.5</v>
      </c>
      <c r="D77" s="46">
        <v>5198.1000000000004</v>
      </c>
      <c r="E77" s="46">
        <v>6534.9</v>
      </c>
      <c r="F77" s="46">
        <v>1278.7</v>
      </c>
      <c r="G77" s="9">
        <v>3975</v>
      </c>
      <c r="H77" s="53">
        <f t="shared" si="1"/>
        <v>8393.5</v>
      </c>
      <c r="I77" s="9">
        <v>12812</v>
      </c>
      <c r="J77" s="9">
        <v>16449</v>
      </c>
      <c r="K77" s="9">
        <v>21372</v>
      </c>
      <c r="L77" s="9">
        <v>13461</v>
      </c>
      <c r="M77" s="9">
        <v>17041</v>
      </c>
      <c r="N77" s="9">
        <v>24530</v>
      </c>
      <c r="O77" s="9">
        <v>36588</v>
      </c>
      <c r="P77" s="9">
        <v>37241</v>
      </c>
      <c r="Q77" s="9">
        <v>63465</v>
      </c>
    </row>
    <row r="78" spans="1:17" x14ac:dyDescent="0.25">
      <c r="A78" t="s">
        <v>77</v>
      </c>
      <c r="B78" s="9">
        <v>327</v>
      </c>
      <c r="C78" s="46">
        <v>1723.6</v>
      </c>
      <c r="D78" s="46">
        <v>6127.4</v>
      </c>
      <c r="E78" s="46">
        <v>7809.2</v>
      </c>
      <c r="F78" s="46">
        <v>2172.4</v>
      </c>
      <c r="G78" s="9">
        <v>5981</v>
      </c>
      <c r="H78" s="53">
        <f t="shared" si="1"/>
        <v>10103.5</v>
      </c>
      <c r="I78" s="9">
        <v>14226</v>
      </c>
      <c r="J78" s="9">
        <v>15082</v>
      </c>
      <c r="K78" s="9">
        <v>21395</v>
      </c>
      <c r="L78" s="9">
        <v>12428</v>
      </c>
      <c r="M78" s="9">
        <v>14136</v>
      </c>
      <c r="N78" s="9">
        <v>21255</v>
      </c>
      <c r="O78" s="9">
        <v>31087</v>
      </c>
      <c r="P78" s="9">
        <v>29696</v>
      </c>
      <c r="Q78" s="9">
        <v>48740</v>
      </c>
    </row>
    <row r="79" spans="1:17" x14ac:dyDescent="0.25">
      <c r="A79" t="s">
        <v>78</v>
      </c>
      <c r="B79" s="9">
        <v>272</v>
      </c>
      <c r="C79" s="46">
        <v>953</v>
      </c>
      <c r="D79" s="46">
        <v>2190.1</v>
      </c>
      <c r="E79" s="46">
        <v>3358.6</v>
      </c>
      <c r="F79" s="46">
        <v>893.1</v>
      </c>
      <c r="G79" s="9">
        <v>2262</v>
      </c>
      <c r="H79" s="53">
        <f t="shared" si="1"/>
        <v>4702</v>
      </c>
      <c r="I79" s="9">
        <v>7142</v>
      </c>
      <c r="J79" s="9">
        <v>6811</v>
      </c>
      <c r="K79" s="9">
        <v>10535</v>
      </c>
      <c r="L79" s="9">
        <v>5707</v>
      </c>
      <c r="M79" s="9">
        <v>6565</v>
      </c>
      <c r="N79" s="9">
        <v>9594</v>
      </c>
      <c r="O79" s="9">
        <v>15782</v>
      </c>
      <c r="P79" s="9">
        <v>14707</v>
      </c>
      <c r="Q79" s="9">
        <v>25190</v>
      </c>
    </row>
    <row r="80" spans="1:17" x14ac:dyDescent="0.25">
      <c r="A80" t="s">
        <v>79</v>
      </c>
      <c r="B80" s="9">
        <v>60</v>
      </c>
      <c r="C80" s="46">
        <v>271.39999999999998</v>
      </c>
      <c r="D80" s="46">
        <v>659.9</v>
      </c>
      <c r="E80" s="46">
        <v>888.4</v>
      </c>
      <c r="F80" s="46">
        <v>252.9</v>
      </c>
      <c r="G80" s="9">
        <v>589</v>
      </c>
      <c r="H80" s="53">
        <f t="shared" si="1"/>
        <v>1154.5</v>
      </c>
      <c r="I80" s="9">
        <v>1720</v>
      </c>
      <c r="J80" s="9">
        <v>2564</v>
      </c>
      <c r="K80" s="9">
        <v>3488</v>
      </c>
      <c r="L80" s="9">
        <v>2403</v>
      </c>
      <c r="M80" s="9">
        <v>2889</v>
      </c>
      <c r="N80" s="9">
        <v>3539</v>
      </c>
      <c r="O80" s="9">
        <v>5193</v>
      </c>
      <c r="P80" s="9">
        <v>4982</v>
      </c>
      <c r="Q80" s="9">
        <v>7447</v>
      </c>
    </row>
    <row r="81" spans="1:17" x14ac:dyDescent="0.25">
      <c r="A81" t="s">
        <v>80</v>
      </c>
      <c r="B81" s="9">
        <v>150</v>
      </c>
      <c r="C81" s="46">
        <v>597.9</v>
      </c>
      <c r="D81" s="46">
        <v>1388.9</v>
      </c>
      <c r="E81" s="46">
        <v>2303.1999999999998</v>
      </c>
      <c r="F81" s="46">
        <v>843.9</v>
      </c>
      <c r="G81" s="9">
        <v>2028</v>
      </c>
      <c r="H81">
        <f t="shared" si="1"/>
        <v>3323</v>
      </c>
      <c r="I81" s="9">
        <v>4618</v>
      </c>
      <c r="J81" s="9">
        <v>5178</v>
      </c>
      <c r="K81" s="9">
        <v>7760</v>
      </c>
      <c r="L81" s="9">
        <v>5072</v>
      </c>
      <c r="M81" s="9">
        <v>6302</v>
      </c>
      <c r="N81" s="9">
        <v>9102</v>
      </c>
      <c r="O81" s="9">
        <v>13482</v>
      </c>
      <c r="P81" s="9">
        <v>13519</v>
      </c>
      <c r="Q81" s="9">
        <v>22464</v>
      </c>
    </row>
    <row r="82" spans="1:17" x14ac:dyDescent="0.25">
      <c r="A82" t="s">
        <v>81</v>
      </c>
      <c r="B82" s="9">
        <v>16</v>
      </c>
      <c r="C82" s="46">
        <v>102.4</v>
      </c>
      <c r="D82" s="46">
        <v>400.8</v>
      </c>
      <c r="E82" s="46">
        <v>605.29999999999995</v>
      </c>
      <c r="F82" s="46">
        <v>232.5</v>
      </c>
      <c r="G82" s="9">
        <v>461</v>
      </c>
      <c r="H82">
        <f t="shared" si="1"/>
        <v>758</v>
      </c>
      <c r="I82" s="9">
        <v>1055</v>
      </c>
      <c r="J82" s="9">
        <v>1120</v>
      </c>
      <c r="K82" s="9">
        <v>1823</v>
      </c>
      <c r="L82" s="9">
        <v>956</v>
      </c>
      <c r="M82" s="9">
        <v>1043</v>
      </c>
      <c r="N82" s="9">
        <v>1416</v>
      </c>
      <c r="O82" s="9">
        <v>2328</v>
      </c>
      <c r="P82" s="9">
        <v>2066</v>
      </c>
      <c r="Q82" s="9">
        <v>2942</v>
      </c>
    </row>
    <row r="83" spans="1:17" x14ac:dyDescent="0.25">
      <c r="A83" t="s">
        <v>82</v>
      </c>
      <c r="B83" s="9">
        <v>6</v>
      </c>
      <c r="C83" s="46">
        <v>27.5</v>
      </c>
      <c r="D83" s="46">
        <v>103.9</v>
      </c>
      <c r="E83" s="46">
        <v>180.9</v>
      </c>
      <c r="F83" s="46">
        <v>73.900000000000006</v>
      </c>
      <c r="G83" s="9">
        <v>155</v>
      </c>
      <c r="H83" s="53">
        <f t="shared" si="1"/>
        <v>289.5</v>
      </c>
      <c r="I83" s="9">
        <v>424</v>
      </c>
      <c r="J83" s="9">
        <v>560</v>
      </c>
      <c r="K83" s="9">
        <v>919</v>
      </c>
      <c r="L83" s="9">
        <v>651</v>
      </c>
      <c r="M83" s="9">
        <v>755</v>
      </c>
      <c r="N83" s="9">
        <v>1010</v>
      </c>
      <c r="O83" s="9">
        <v>1504</v>
      </c>
      <c r="P83" s="9">
        <v>1668</v>
      </c>
      <c r="Q83" s="9">
        <v>2559</v>
      </c>
    </row>
    <row r="84" spans="1:17" x14ac:dyDescent="0.25">
      <c r="I84">
        <f>SUM(I2:I83)</f>
        <v>1054073</v>
      </c>
    </row>
    <row r="85" spans="1:17" x14ac:dyDescent="0.25">
      <c r="I85">
        <f>I84/Население!J84</f>
        <v>7.3532965461432749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51</vt:i4>
      </vt:variant>
    </vt:vector>
  </HeadingPairs>
  <TitlesOfParts>
    <vt:vector size="51" baseType="lpstr">
      <vt:lpstr>Население</vt:lpstr>
      <vt:lpstr>Площадь</vt:lpstr>
      <vt:lpstr>ВРП</vt:lpstr>
      <vt:lpstr>Общ объем прод+интенс затрат</vt:lpstr>
      <vt:lpstr>Оборот общ пит</vt:lpstr>
      <vt:lpstr>Объем  платных услуг насел</vt:lpstr>
      <vt:lpstr>15.1.1</vt:lpstr>
      <vt:lpstr>Налоговые поступл в бюджет</vt:lpstr>
      <vt:lpstr>Объем жил кредитов</vt:lpstr>
      <vt:lpstr>Вклады юр и физ лиц</vt:lpstr>
      <vt:lpstr>Ввод в действ жилых домов</vt:lpstr>
      <vt:lpstr>Дефлятор</vt:lpstr>
      <vt:lpstr>лист</vt:lpstr>
      <vt:lpstr>13.1</vt:lpstr>
      <vt:lpstr>13.1н</vt:lpstr>
      <vt:lpstr>13.2</vt:lpstr>
      <vt:lpstr>13.2н</vt:lpstr>
      <vt:lpstr>13.3</vt:lpstr>
      <vt:lpstr>13.3н</vt:lpstr>
      <vt:lpstr>14.1</vt:lpstr>
      <vt:lpstr>14.1н</vt:lpstr>
      <vt:lpstr>14.2</vt:lpstr>
      <vt:lpstr>14.2н</vt:lpstr>
      <vt:lpstr>14.3</vt:lpstr>
      <vt:lpstr>14.3н</vt:lpstr>
      <vt:lpstr>15.1</vt:lpstr>
      <vt:lpstr>15.1н</vt:lpstr>
      <vt:lpstr>15.2</vt:lpstr>
      <vt:lpstr>15.2н</vt:lpstr>
      <vt:lpstr>15.3</vt:lpstr>
      <vt:lpstr>15.3н</vt:lpstr>
      <vt:lpstr>16.1</vt:lpstr>
      <vt:lpstr>16.1н</vt:lpstr>
      <vt:lpstr>16.2</vt:lpstr>
      <vt:lpstr>16.2н</vt:lpstr>
      <vt:lpstr>16.3</vt:lpstr>
      <vt:lpstr>16.3н</vt:lpstr>
      <vt:lpstr>Показатели</vt:lpstr>
      <vt:lpstr>ЦФО</vt:lpstr>
      <vt:lpstr>СЗФО</vt:lpstr>
      <vt:lpstr>ЮФО</vt:lpstr>
      <vt:lpstr>СКФО</vt:lpstr>
      <vt:lpstr>ПФО</vt:lpstr>
      <vt:lpstr>УФО</vt:lpstr>
      <vt:lpstr>СФО</vt:lpstr>
      <vt:lpstr>ДФО</vt:lpstr>
      <vt:lpstr>ОИ1</vt:lpstr>
      <vt:lpstr>ОИ2</vt:lpstr>
      <vt:lpstr>ОИ3</vt:lpstr>
      <vt:lpstr>ОИ4</vt:lpstr>
      <vt:lpstr>Аналитика</vt:lpstr>
    </vt:vector>
  </TitlesOfParts>
  <Company>ФЭМИ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1226</dc:creator>
  <cp:lastModifiedBy>srezcov2002@gmail.com</cp:lastModifiedBy>
  <dcterms:created xsi:type="dcterms:W3CDTF">2021-10-12T08:31:28Z</dcterms:created>
  <dcterms:modified xsi:type="dcterms:W3CDTF">2023-10-22T09:03:58Z</dcterms:modified>
</cp:coreProperties>
</file>