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.zhang\Documents\Python Projects\Rail RPU Forecasting\"/>
    </mc:Choice>
  </mc:AlternateContent>
  <xr:revisionPtr revIDLastSave="0" documentId="13_ncr:1_{BCA8F9FF-4EA4-4840-BA31-E263E9F4EB4B}" xr6:coauthVersionLast="47" xr6:coauthVersionMax="47" xr10:uidLastSave="{00000000-0000-0000-0000-000000000000}"/>
  <bookViews>
    <workbookView xWindow="-110" yWindow="-110" windowWidth="19420" windowHeight="10420" xr2:uid="{77C181E1-A296-4868-9F6A-EA7D94523B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F3" i="1" s="1"/>
  <c r="G3" i="1" s="1"/>
  <c r="H3" i="1" s="1"/>
  <c r="I3" i="1" s="1"/>
  <c r="J3" i="1" s="1"/>
  <c r="K3" i="1" s="1"/>
  <c r="L3" i="1" s="1"/>
  <c r="M3" i="1" s="1"/>
  <c r="N3" i="1" s="1"/>
  <c r="O3" i="1" s="1"/>
  <c r="P3" i="1" s="1"/>
  <c r="Q3" i="1" s="1"/>
  <c r="R3" i="1" s="1"/>
  <c r="S3" i="1" s="1"/>
  <c r="T3" i="1" s="1"/>
  <c r="U3" i="1" s="1"/>
  <c r="V3" i="1" s="1"/>
  <c r="W3" i="1" s="1"/>
  <c r="X3" i="1" s="1"/>
  <c r="Y3" i="1" s="1"/>
  <c r="Z3" i="1" s="1"/>
  <c r="AA3" i="1" s="1"/>
  <c r="AB3" i="1" s="1"/>
  <c r="AC3" i="1" s="1"/>
  <c r="AD3" i="1" s="1"/>
  <c r="AE3" i="1" s="1"/>
  <c r="AF3" i="1" s="1"/>
  <c r="AG3" i="1" s="1"/>
  <c r="AH3" i="1" s="1"/>
  <c r="AI3" i="1" s="1"/>
  <c r="AJ3" i="1" s="1"/>
  <c r="AK3" i="1" s="1"/>
  <c r="AL3" i="1" s="1"/>
  <c r="AM3" i="1" s="1"/>
  <c r="AN3" i="1" s="1"/>
  <c r="AO3" i="1" s="1"/>
  <c r="AP3" i="1" s="1"/>
  <c r="AQ3" i="1" s="1"/>
  <c r="AR3" i="1" s="1"/>
  <c r="AS3" i="1" s="1"/>
  <c r="AT3" i="1" s="1"/>
  <c r="AU3" i="1" s="1"/>
  <c r="AV3" i="1" s="1"/>
  <c r="AW3" i="1" s="1"/>
  <c r="AX3" i="1" s="1"/>
  <c r="AY3" i="1" s="1"/>
  <c r="AU76" i="1" l="1"/>
  <c r="AT76" i="1"/>
  <c r="AS76" i="1"/>
  <c r="AR76" i="1"/>
  <c r="AQ76" i="1"/>
  <c r="AP76" i="1"/>
  <c r="AO76" i="1"/>
  <c r="AN76" i="1"/>
  <c r="AM76" i="1"/>
  <c r="AL76" i="1"/>
  <c r="AK76" i="1"/>
  <c r="AJ76" i="1"/>
  <c r="AI76" i="1"/>
  <c r="AH76" i="1"/>
  <c r="AG76" i="1"/>
  <c r="AF76" i="1"/>
  <c r="AE76" i="1"/>
  <c r="AD76" i="1"/>
  <c r="AC76" i="1"/>
  <c r="AB76" i="1"/>
  <c r="AA76" i="1"/>
  <c r="Z76" i="1"/>
  <c r="Y76" i="1"/>
  <c r="X76" i="1"/>
  <c r="W76" i="1"/>
  <c r="V76" i="1"/>
  <c r="U76" i="1"/>
  <c r="T76" i="1"/>
  <c r="S76" i="1"/>
  <c r="R76" i="1"/>
  <c r="Q76" i="1"/>
  <c r="P76" i="1"/>
  <c r="O76" i="1"/>
  <c r="N76" i="1"/>
  <c r="M76" i="1"/>
  <c r="L76" i="1"/>
  <c r="K76" i="1"/>
  <c r="J76" i="1"/>
  <c r="I76" i="1"/>
  <c r="H76" i="1"/>
  <c r="AU66" i="1"/>
  <c r="AT66" i="1"/>
  <c r="AS66" i="1"/>
  <c r="AR66" i="1"/>
  <c r="AQ66" i="1"/>
  <c r="AP66" i="1"/>
  <c r="AO66" i="1"/>
  <c r="AN66" i="1"/>
  <c r="AM66" i="1"/>
  <c r="AL66" i="1"/>
  <c r="AK66" i="1"/>
  <c r="AJ66" i="1"/>
  <c r="AI66" i="1"/>
  <c r="AH66" i="1"/>
  <c r="AG66" i="1"/>
  <c r="AF66" i="1"/>
  <c r="AE66" i="1"/>
  <c r="AD66" i="1"/>
  <c r="AC66" i="1"/>
  <c r="AB66" i="1"/>
  <c r="AA66" i="1"/>
  <c r="Z66" i="1"/>
  <c r="Y66" i="1"/>
  <c r="X66" i="1"/>
  <c r="W66" i="1"/>
  <c r="V66" i="1"/>
  <c r="U66" i="1"/>
  <c r="T66" i="1"/>
  <c r="S66" i="1"/>
  <c r="R66" i="1"/>
  <c r="Q66" i="1"/>
  <c r="P66" i="1"/>
  <c r="O66" i="1"/>
  <c r="N66" i="1"/>
  <c r="M66" i="1"/>
  <c r="L66" i="1"/>
  <c r="AU61" i="1"/>
  <c r="AT61" i="1"/>
  <c r="AS61" i="1"/>
  <c r="AR61" i="1"/>
  <c r="AQ61" i="1"/>
  <c r="AP61" i="1"/>
  <c r="AO61" i="1"/>
  <c r="AN61" i="1"/>
  <c r="AM61" i="1"/>
  <c r="AL61" i="1"/>
  <c r="AK61" i="1"/>
  <c r="AJ61" i="1"/>
  <c r="AI61" i="1"/>
  <c r="AH61" i="1"/>
  <c r="AG61" i="1"/>
  <c r="AF61" i="1"/>
  <c r="AE61" i="1"/>
  <c r="AD61" i="1"/>
  <c r="AC61" i="1"/>
  <c r="AB61" i="1"/>
  <c r="AA61" i="1"/>
  <c r="Z61" i="1"/>
  <c r="Y61" i="1"/>
  <c r="X61" i="1"/>
  <c r="W61" i="1"/>
  <c r="V61" i="1"/>
  <c r="U61" i="1"/>
  <c r="T61" i="1"/>
  <c r="S61" i="1"/>
  <c r="R61" i="1"/>
  <c r="Q61" i="1"/>
  <c r="P61" i="1"/>
  <c r="O61" i="1"/>
  <c r="N61" i="1"/>
  <c r="M61" i="1"/>
  <c r="L61" i="1"/>
  <c r="AT33" i="1"/>
  <c r="AS33" i="1"/>
  <c r="AR33" i="1"/>
  <c r="AP33" i="1"/>
  <c r="AO33" i="1"/>
  <c r="AN33" i="1"/>
  <c r="AL33" i="1"/>
  <c r="AK33" i="1"/>
  <c r="AJ33" i="1"/>
  <c r="AH33" i="1"/>
  <c r="AG33" i="1"/>
  <c r="AF33" i="1"/>
  <c r="AD33" i="1"/>
  <c r="AC33" i="1"/>
  <c r="AB33" i="1"/>
  <c r="Z33" i="1"/>
  <c r="Y33" i="1"/>
  <c r="X33" i="1"/>
  <c r="V33" i="1"/>
  <c r="U33" i="1"/>
  <c r="T33" i="1"/>
  <c r="R33" i="1"/>
  <c r="Q33" i="1"/>
  <c r="P33" i="1"/>
  <c r="N33" i="1"/>
  <c r="M33" i="1"/>
  <c r="L33" i="1"/>
  <c r="J33" i="1"/>
  <c r="I33" i="1"/>
  <c r="H33" i="1"/>
  <c r="AT25" i="1"/>
  <c r="AS25" i="1"/>
  <c r="AR25" i="1"/>
  <c r="AP25" i="1"/>
  <c r="AO25" i="1"/>
  <c r="AN25" i="1"/>
  <c r="AL25" i="1"/>
  <c r="AK25" i="1"/>
  <c r="AJ25" i="1"/>
  <c r="AH25" i="1"/>
  <c r="AG25" i="1"/>
  <c r="AF25" i="1"/>
  <c r="AD25" i="1"/>
  <c r="AC25" i="1"/>
  <c r="AB25" i="1"/>
  <c r="Z25" i="1"/>
  <c r="Y25" i="1"/>
  <c r="X25" i="1"/>
  <c r="V25" i="1"/>
  <c r="U25" i="1"/>
  <c r="T25" i="1"/>
  <c r="R25" i="1"/>
  <c r="Q25" i="1"/>
  <c r="P25" i="1"/>
  <c r="N25" i="1"/>
  <c r="M25" i="1"/>
  <c r="L25" i="1"/>
  <c r="J25" i="1"/>
  <c r="I25" i="1"/>
  <c r="H25" i="1"/>
  <c r="AT20" i="1"/>
  <c r="AS20" i="1"/>
  <c r="AR20" i="1"/>
  <c r="AP20" i="1"/>
  <c r="AO20" i="1"/>
  <c r="AN20" i="1"/>
  <c r="AL20" i="1"/>
  <c r="AK20" i="1"/>
  <c r="AJ20" i="1"/>
  <c r="AH20" i="1"/>
  <c r="AG20" i="1"/>
  <c r="AF20" i="1"/>
  <c r="AD20" i="1"/>
  <c r="AC20" i="1"/>
  <c r="AB20" i="1"/>
  <c r="Z20" i="1"/>
  <c r="Y20" i="1"/>
  <c r="X20" i="1"/>
  <c r="V20" i="1"/>
  <c r="U20" i="1"/>
  <c r="T20" i="1"/>
  <c r="R20" i="1"/>
  <c r="Q20" i="1"/>
  <c r="P20" i="1"/>
  <c r="N20" i="1"/>
  <c r="M20" i="1"/>
  <c r="L20" i="1"/>
  <c r="J20" i="1"/>
  <c r="I20" i="1"/>
  <c r="H20" i="1"/>
  <c r="AU14" i="1"/>
  <c r="AT14" i="1"/>
  <c r="AS14" i="1"/>
  <c r="AR14" i="1"/>
  <c r="AQ14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AT12" i="1"/>
  <c r="AS12" i="1"/>
  <c r="AR12" i="1"/>
  <c r="AP12" i="1"/>
  <c r="AO12" i="1"/>
  <c r="AN12" i="1"/>
  <c r="AL12" i="1"/>
  <c r="AK12" i="1"/>
  <c r="AJ12" i="1"/>
  <c r="AH12" i="1"/>
  <c r="AG12" i="1"/>
  <c r="AF12" i="1"/>
  <c r="AD12" i="1"/>
  <c r="AC12" i="1"/>
  <c r="AB12" i="1"/>
  <c r="Z12" i="1"/>
  <c r="Y12" i="1"/>
  <c r="X12" i="1"/>
  <c r="V12" i="1"/>
  <c r="U12" i="1"/>
  <c r="T12" i="1"/>
  <c r="R12" i="1"/>
  <c r="Q12" i="1"/>
  <c r="P12" i="1"/>
  <c r="AU9" i="1"/>
  <c r="AT9" i="1"/>
  <c r="AS9" i="1"/>
  <c r="AR9" i="1"/>
  <c r="AQ9" i="1"/>
  <c r="AO9" i="1"/>
  <c r="AN9" i="1"/>
  <c r="AM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AT7" i="1"/>
  <c r="AS7" i="1"/>
  <c r="AR7" i="1"/>
  <c r="AP7" i="1"/>
  <c r="AO7" i="1"/>
  <c r="AN7" i="1"/>
  <c r="AL7" i="1"/>
  <c r="AK7" i="1"/>
  <c r="AJ7" i="1"/>
  <c r="AH7" i="1"/>
  <c r="AG7" i="1"/>
  <c r="AF7" i="1"/>
  <c r="AD7" i="1"/>
  <c r="AC7" i="1"/>
  <c r="AB7" i="1"/>
  <c r="Z7" i="1"/>
  <c r="Y7" i="1"/>
  <c r="X7" i="1"/>
  <c r="V7" i="1"/>
  <c r="U7" i="1"/>
  <c r="T7" i="1"/>
  <c r="R7" i="1"/>
  <c r="Q7" i="1"/>
  <c r="P7" i="1"/>
  <c r="AT39" i="1" l="1"/>
  <c r="AS39" i="1"/>
  <c r="AR39" i="1"/>
  <c r="AP39" i="1"/>
  <c r="AO39" i="1"/>
  <c r="AN39" i="1"/>
  <c r="AT34" i="1"/>
  <c r="AS34" i="1"/>
  <c r="AR34" i="1"/>
  <c r="AP34" i="1"/>
  <c r="AO34" i="1"/>
  <c r="AN34" i="1"/>
  <c r="AR35" i="1" s="1"/>
  <c r="AL34" i="1"/>
  <c r="AK34" i="1"/>
  <c r="AO35" i="1" s="1"/>
  <c r="AJ34" i="1"/>
  <c r="AN35" i="1" s="1"/>
  <c r="AH34" i="1"/>
  <c r="AL35" i="1" s="1"/>
  <c r="AG34" i="1"/>
  <c r="AF34" i="1"/>
  <c r="AD34" i="1"/>
  <c r="AC34" i="1"/>
  <c r="AG35" i="1" s="1"/>
  <c r="AB34" i="1"/>
  <c r="AF35" i="1" s="1"/>
  <c r="Z34" i="1"/>
  <c r="AD35" i="1" s="1"/>
  <c r="Y34" i="1"/>
  <c r="AC35" i="1" s="1"/>
  <c r="X34" i="1"/>
  <c r="AB35" i="1" s="1"/>
  <c r="V34" i="1"/>
  <c r="U34" i="1"/>
  <c r="T34" i="1"/>
  <c r="R34" i="1"/>
  <c r="V35" i="1" s="1"/>
  <c r="Q34" i="1"/>
  <c r="U35" i="1" s="1"/>
  <c r="P34" i="1"/>
  <c r="T35" i="1" s="1"/>
  <c r="N34" i="1"/>
  <c r="R35" i="1" s="1"/>
  <c r="M34" i="1"/>
  <c r="Q35" i="1" s="1"/>
  <c r="L34" i="1"/>
  <c r="J34" i="1"/>
  <c r="I34" i="1"/>
  <c r="H34" i="1"/>
  <c r="G34" i="1"/>
  <c r="F34" i="1"/>
  <c r="E34" i="1"/>
  <c r="D34" i="1"/>
  <c r="G32" i="1"/>
  <c r="K32" i="1"/>
  <c r="K34" i="1" s="1"/>
  <c r="O32" i="1"/>
  <c r="S32" i="1"/>
  <c r="W32" i="1"/>
  <c r="AA32" i="1"/>
  <c r="AE32" i="1"/>
  <c r="X35" i="1" l="1"/>
  <c r="AH35" i="1"/>
  <c r="AS35" i="1"/>
  <c r="Y35" i="1"/>
  <c r="AJ35" i="1"/>
  <c r="AT35" i="1"/>
  <c r="P35" i="1"/>
  <c r="Z35" i="1"/>
  <c r="AK35" i="1"/>
  <c r="AP35" i="1"/>
  <c r="AE33" i="1"/>
  <c r="AE34" i="1"/>
  <c r="AA34" i="1"/>
  <c r="AE35" i="1" s="1"/>
  <c r="AA33" i="1"/>
  <c r="W34" i="1"/>
  <c r="AA35" i="1" s="1"/>
  <c r="W33" i="1"/>
  <c r="S34" i="1"/>
  <c r="S33" i="1"/>
  <c r="O34" i="1"/>
  <c r="S35" i="1" s="1"/>
  <c r="O35" i="1"/>
  <c r="K35" i="1"/>
  <c r="M35" i="1"/>
  <c r="I35" i="1"/>
  <c r="O33" i="1"/>
  <c r="K33" i="1"/>
  <c r="N35" i="1"/>
  <c r="J35" i="1"/>
  <c r="H35" i="1"/>
  <c r="L35" i="1"/>
  <c r="AI32" i="1"/>
  <c r="AM32" i="1"/>
  <c r="AQ32" i="1"/>
  <c r="AU32" i="1"/>
  <c r="AU34" i="1" s="1"/>
  <c r="AU37" i="1"/>
  <c r="AU39" i="1" s="1"/>
  <c r="AM37" i="1"/>
  <c r="AM39" i="1" s="1"/>
  <c r="AQ37" i="1"/>
  <c r="AQ39" i="1" s="1"/>
  <c r="W35" i="1" l="1"/>
  <c r="AU33" i="1"/>
  <c r="AQ34" i="1"/>
  <c r="AU35" i="1" s="1"/>
  <c r="AQ33" i="1"/>
  <c r="AM34" i="1"/>
  <c r="AQ35" i="1" s="1"/>
  <c r="AM33" i="1"/>
  <c r="AI34" i="1"/>
  <c r="AM35" i="1" s="1"/>
  <c r="AI33" i="1"/>
  <c r="O24" i="1"/>
  <c r="O19" i="1"/>
  <c r="G19" i="1"/>
  <c r="G24" i="1"/>
  <c r="K24" i="1"/>
  <c r="K19" i="1"/>
  <c r="W24" i="1"/>
  <c r="AA25" i="1" s="1"/>
  <c r="W19" i="1"/>
  <c r="AA24" i="1"/>
  <c r="AA19" i="1"/>
  <c r="S24" i="1"/>
  <c r="S19" i="1"/>
  <c r="AI24" i="1"/>
  <c r="AI19" i="1"/>
  <c r="AE24" i="1"/>
  <c r="AI25" i="1" s="1"/>
  <c r="AE19" i="1"/>
  <c r="AI20" i="1" s="1"/>
  <c r="AM24" i="1"/>
  <c r="AQ24" i="1"/>
  <c r="AM19" i="1"/>
  <c r="AQ19" i="1"/>
  <c r="W20" i="1" l="1"/>
  <c r="W25" i="1"/>
  <c r="AQ25" i="1"/>
  <c r="AQ20" i="1"/>
  <c r="AM20" i="1"/>
  <c r="AM25" i="1"/>
  <c r="AI35" i="1"/>
  <c r="AE20" i="1"/>
  <c r="AE25" i="1"/>
  <c r="AA20" i="1"/>
  <c r="S20" i="1"/>
  <c r="S25" i="1"/>
  <c r="O20" i="1"/>
  <c r="K20" i="1"/>
  <c r="O25" i="1"/>
  <c r="K25" i="1"/>
  <c r="AU24" i="1"/>
  <c r="AU25" i="1" s="1"/>
  <c r="AY24" i="1"/>
  <c r="AU19" i="1"/>
  <c r="AU20" i="1" s="1"/>
  <c r="AY19" i="1"/>
  <c r="F11" i="1" l="1"/>
  <c r="J11" i="1"/>
  <c r="F6" i="1"/>
  <c r="J6" i="1"/>
  <c r="E11" i="1"/>
  <c r="I11" i="1"/>
  <c r="E6" i="1"/>
  <c r="I6" i="1"/>
  <c r="D11" i="1"/>
  <c r="H11" i="1"/>
  <c r="D6" i="1"/>
  <c r="H6" i="1"/>
  <c r="O11" i="1"/>
  <c r="O6" i="1"/>
  <c r="S11" i="1"/>
  <c r="W12" i="1" s="1"/>
  <c r="S6" i="1"/>
  <c r="W11" i="1"/>
  <c r="AA11" i="1"/>
  <c r="W6" i="1"/>
  <c r="AA6" i="1"/>
  <c r="AE11" i="1"/>
  <c r="AI11" i="1"/>
  <c r="AM12" i="1" s="1"/>
  <c r="AE6" i="1"/>
  <c r="AI6" i="1"/>
  <c r="AM11" i="1"/>
  <c r="AL8" i="1"/>
  <c r="AM6" i="1"/>
  <c r="AQ6" i="1"/>
  <c r="AQ11" i="1"/>
  <c r="AU11" i="1"/>
  <c r="AU6" i="1"/>
  <c r="M12" i="1" l="1"/>
  <c r="I12" i="1"/>
  <c r="J7" i="1"/>
  <c r="N7" i="1"/>
  <c r="I7" i="1"/>
  <c r="M7" i="1"/>
  <c r="G6" i="1"/>
  <c r="K7" i="1" s="1"/>
  <c r="AU7" i="1"/>
  <c r="AE7" i="1"/>
  <c r="K6" i="1"/>
  <c r="H7" i="1"/>
  <c r="L7" i="1"/>
  <c r="AP9" i="1"/>
  <c r="AL9" i="1"/>
  <c r="K11" i="1"/>
  <c r="O12" i="1" s="1"/>
  <c r="L12" i="1"/>
  <c r="H12" i="1"/>
  <c r="J12" i="1"/>
  <c r="N12" i="1"/>
  <c r="G11" i="1"/>
  <c r="AU12" i="1"/>
  <c r="AQ7" i="1"/>
  <c r="AQ12" i="1"/>
  <c r="AM7" i="1"/>
  <c r="AI7" i="1"/>
  <c r="AI12" i="1"/>
  <c r="AE12" i="1"/>
  <c r="AA7" i="1"/>
  <c r="AA12" i="1"/>
  <c r="W7" i="1"/>
  <c r="S7" i="1"/>
  <c r="S12" i="1"/>
  <c r="O7" i="1"/>
  <c r="K12" i="1" l="1"/>
</calcChain>
</file>

<file path=xl/sharedStrings.xml><?xml version="1.0" encoding="utf-8"?>
<sst xmlns="http://schemas.openxmlformats.org/spreadsheetml/2006/main" count="98" uniqueCount="61">
  <si>
    <t>Intermodal Revenue per Unit</t>
  </si>
  <si>
    <t>Growth %</t>
  </si>
  <si>
    <t>Intermodal Revenue per Unit (ex. FSC)</t>
  </si>
  <si>
    <t>CSX</t>
  </si>
  <si>
    <t>1Q12</t>
  </si>
  <si>
    <t>2Q12</t>
  </si>
  <si>
    <t>3Q12</t>
  </si>
  <si>
    <t>4Q12</t>
  </si>
  <si>
    <t>1Q13</t>
  </si>
  <si>
    <t>2Q13</t>
  </si>
  <si>
    <t>3Q13</t>
  </si>
  <si>
    <t>4Q13</t>
  </si>
  <si>
    <t>Coal Revenue per Carload</t>
  </si>
  <si>
    <t>Coal Revenue per Carload (ex. FSC)</t>
  </si>
  <si>
    <t>2Q10</t>
  </si>
  <si>
    <t>3Q10</t>
  </si>
  <si>
    <t>4Q10</t>
  </si>
  <si>
    <t>1Q10</t>
  </si>
  <si>
    <t>1Q11</t>
  </si>
  <si>
    <t>2Q11</t>
  </si>
  <si>
    <t>3Q11</t>
  </si>
  <si>
    <t>4Q11</t>
  </si>
  <si>
    <t>1Q09</t>
  </si>
  <si>
    <t>2Q09</t>
  </si>
  <si>
    <t>3Q09</t>
  </si>
  <si>
    <t>4Q09</t>
  </si>
  <si>
    <t>1Q08</t>
  </si>
  <si>
    <t>2Q08</t>
  </si>
  <si>
    <t>3Q08</t>
  </si>
  <si>
    <t>4Q08</t>
  </si>
  <si>
    <t>1Q07</t>
  </si>
  <si>
    <t>2Q07</t>
  </si>
  <si>
    <t>3Q07</t>
  </si>
  <si>
    <t>4Q07</t>
  </si>
  <si>
    <t>1Q06</t>
  </si>
  <si>
    <t>2Q06</t>
  </si>
  <si>
    <t>3Q06</t>
  </si>
  <si>
    <t>4Q06</t>
  </si>
  <si>
    <t>1Q05</t>
  </si>
  <si>
    <t>2Q05</t>
  </si>
  <si>
    <t>3Q05</t>
  </si>
  <si>
    <t>4Q05</t>
  </si>
  <si>
    <t>1Q04</t>
  </si>
  <si>
    <t>2Q04</t>
  </si>
  <si>
    <t>3Q04</t>
  </si>
  <si>
    <t>4Q04</t>
  </si>
  <si>
    <t>1Q03</t>
  </si>
  <si>
    <t>2Q03</t>
  </si>
  <si>
    <t>3Q03</t>
  </si>
  <si>
    <t>4Q03</t>
  </si>
  <si>
    <t>NSC</t>
  </si>
  <si>
    <t>1Q14</t>
  </si>
  <si>
    <t>2Q14</t>
  </si>
  <si>
    <t>3Q14</t>
  </si>
  <si>
    <t>4Q14</t>
  </si>
  <si>
    <t>UNP</t>
  </si>
  <si>
    <t>CNI</t>
  </si>
  <si>
    <t>CAD/USD</t>
  </si>
  <si>
    <t>CP</t>
  </si>
  <si>
    <t>JBHT</t>
  </si>
  <si>
    <t>Intermodal Rev/Load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</si>
</sst>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#,##0_);\(#,##0\);#,##0_);@_)"/>
    <numFmt numFmtId="165" formatCode="0.0%_);\(0.0%\);0.0%_);@_)"/>
    <numFmt numFmtId="166" formatCode="_(* #,##0_);_(* \(#,##0\);_(* &quot;-&quot;??_);_(@_)"/>
    <numFmt numFmtId="167" formatCode="0.0%"/>
    <numFmt numFmtId="168" formatCode="m/d/yy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i/>
      <sz val="8"/>
      <color rgb="FF000000"/>
      <name val="Arial"/>
      <family val="2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i/>
      <sz val="11"/>
      <color theme="1"/>
      <name val="Arial"/>
      <family val="2"/>
    </font>
    <font>
      <b/>
      <sz val="11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8">
    <xf numFmtId="0" fontId="0" fillId="0" borderId="0" xfId="0"/>
    <xf numFmtId="164" fontId="2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left" inden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6" fillId="0" borderId="1" xfId="0" applyFont="1" applyBorder="1"/>
    <xf numFmtId="0" fontId="6" fillId="0" borderId="0" xfId="0" applyFont="1" applyBorder="1"/>
    <xf numFmtId="0" fontId="6" fillId="0" borderId="2" xfId="0" applyFont="1" applyBorder="1"/>
    <xf numFmtId="166" fontId="6" fillId="0" borderId="1" xfId="1" applyNumberFormat="1" applyFont="1" applyBorder="1"/>
    <xf numFmtId="166" fontId="6" fillId="0" borderId="0" xfId="1" applyNumberFormat="1" applyFont="1" applyBorder="1"/>
    <xf numFmtId="166" fontId="6" fillId="0" borderId="2" xfId="1" applyNumberFormat="1" applyFont="1" applyBorder="1"/>
    <xf numFmtId="166" fontId="7" fillId="0" borderId="1" xfId="1" applyNumberFormat="1" applyFont="1" applyBorder="1"/>
    <xf numFmtId="166" fontId="7" fillId="0" borderId="0" xfId="1" applyNumberFormat="1" applyFont="1" applyBorder="1"/>
    <xf numFmtId="166" fontId="7" fillId="0" borderId="2" xfId="1" applyNumberFormat="1" applyFont="1" applyBorder="1"/>
    <xf numFmtId="166" fontId="6" fillId="2" borderId="1" xfId="1" applyNumberFormat="1" applyFont="1" applyFill="1" applyBorder="1"/>
    <xf numFmtId="166" fontId="6" fillId="2" borderId="0" xfId="1" applyNumberFormat="1" applyFont="1" applyFill="1" applyBorder="1"/>
    <xf numFmtId="166" fontId="6" fillId="2" borderId="2" xfId="1" applyNumberFormat="1" applyFont="1" applyFill="1" applyBorder="1"/>
    <xf numFmtId="1" fontId="6" fillId="0" borderId="1" xfId="0" applyNumberFormat="1" applyFont="1" applyBorder="1"/>
    <xf numFmtId="167" fontId="7" fillId="0" borderId="1" xfId="2" applyNumberFormat="1" applyFont="1" applyBorder="1"/>
    <xf numFmtId="167" fontId="7" fillId="0" borderId="0" xfId="2" applyNumberFormat="1" applyFont="1" applyBorder="1"/>
    <xf numFmtId="167" fontId="7" fillId="0" borderId="2" xfId="2" applyNumberFormat="1" applyFont="1" applyBorder="1"/>
    <xf numFmtId="1" fontId="6" fillId="0" borderId="0" xfId="0" applyNumberFormat="1" applyFont="1" applyBorder="1"/>
    <xf numFmtId="2" fontId="6" fillId="0" borderId="1" xfId="0" applyNumberFormat="1" applyFont="1" applyBorder="1"/>
    <xf numFmtId="2" fontId="6" fillId="0" borderId="0" xfId="0" applyNumberFormat="1" applyFont="1" applyBorder="1"/>
    <xf numFmtId="2" fontId="6" fillId="0" borderId="2" xfId="0" applyNumberFormat="1" applyFont="1" applyBorder="1"/>
    <xf numFmtId="0" fontId="9" fillId="0" borderId="0" xfId="0" applyFont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14" fontId="10" fillId="0" borderId="1" xfId="0" applyNumberFormat="1" applyFont="1" applyBorder="1" applyAlignment="1">
      <alignment horizontal="center"/>
    </xf>
    <xf numFmtId="168" fontId="10" fillId="0" borderId="0" xfId="0" applyNumberFormat="1" applyFont="1" applyBorder="1" applyAlignment="1">
      <alignment horizontal="center"/>
    </xf>
    <xf numFmtId="168" fontId="10" fillId="0" borderId="2" xfId="0" applyNumberFormat="1" applyFont="1" applyBorder="1" applyAlignment="1">
      <alignment horizontal="center"/>
    </xf>
    <xf numFmtId="168" fontId="10" fillId="0" borderId="1" xfId="0" applyNumberFormat="1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9C6AE-2289-4B10-A730-BC1845B054C9}">
  <dimension ref="C2:AY76"/>
  <sheetViews>
    <sheetView showGridLines="0" tabSelected="1" workbookViewId="0">
      <pane xSplit="3" ySplit="4" topLeftCell="D28" activePane="bottomRight" state="frozen"/>
      <selection pane="topRight" activeCell="D1" sqref="D1"/>
      <selection pane="bottomLeft" activeCell="A4" sqref="A4"/>
      <selection pane="bottomRight" activeCell="D28" sqref="D28"/>
    </sheetView>
  </sheetViews>
  <sheetFormatPr defaultColWidth="9.1796875" defaultRowHeight="14" x14ac:dyDescent="0.3"/>
  <cols>
    <col min="1" max="2" width="9.1796875" style="3"/>
    <col min="3" max="3" width="32" style="3" bestFit="1" customWidth="1"/>
    <col min="4" max="4" width="9.453125" style="5" bestFit="1" customWidth="1"/>
    <col min="5" max="5" width="9.7265625" style="5" bestFit="1" customWidth="1"/>
    <col min="6" max="7" width="9.453125" style="5" bestFit="1" customWidth="1"/>
    <col min="8" max="51" width="9.7265625" style="5" bestFit="1" customWidth="1"/>
    <col min="52" max="16384" width="9.1796875" style="3"/>
  </cols>
  <sheetData>
    <row r="2" spans="3:51" s="27" customFormat="1" x14ac:dyDescent="0.3">
      <c r="D2" s="31">
        <v>2003</v>
      </c>
      <c r="E2" s="32"/>
      <c r="F2" s="32"/>
      <c r="G2" s="33"/>
      <c r="H2" s="31">
        <v>2004</v>
      </c>
      <c r="I2" s="32"/>
      <c r="J2" s="32"/>
      <c r="K2" s="33"/>
      <c r="L2" s="31">
        <v>2005</v>
      </c>
      <c r="M2" s="32"/>
      <c r="N2" s="32"/>
      <c r="O2" s="33"/>
      <c r="P2" s="31">
        <v>2006</v>
      </c>
      <c r="Q2" s="32"/>
      <c r="R2" s="32"/>
      <c r="S2" s="33"/>
      <c r="T2" s="31">
        <v>2007</v>
      </c>
      <c r="U2" s="32"/>
      <c r="V2" s="32"/>
      <c r="W2" s="33"/>
      <c r="X2" s="31">
        <v>2008</v>
      </c>
      <c r="Y2" s="32"/>
      <c r="Z2" s="32"/>
      <c r="AA2" s="33"/>
      <c r="AB2" s="31">
        <v>2009</v>
      </c>
      <c r="AC2" s="32"/>
      <c r="AD2" s="32"/>
      <c r="AE2" s="33"/>
      <c r="AF2" s="31">
        <v>2010</v>
      </c>
      <c r="AG2" s="32"/>
      <c r="AH2" s="32"/>
      <c r="AI2" s="33"/>
      <c r="AJ2" s="31">
        <v>2011</v>
      </c>
      <c r="AK2" s="32"/>
      <c r="AL2" s="32"/>
      <c r="AM2" s="33"/>
      <c r="AN2" s="31">
        <v>2012</v>
      </c>
      <c r="AO2" s="32"/>
      <c r="AP2" s="32"/>
      <c r="AQ2" s="33"/>
      <c r="AR2" s="31">
        <v>2013</v>
      </c>
      <c r="AS2" s="32"/>
      <c r="AT2" s="32"/>
      <c r="AU2" s="33"/>
      <c r="AV2" s="31">
        <v>2014</v>
      </c>
      <c r="AW2" s="32"/>
      <c r="AX2" s="32"/>
      <c r="AY2" s="33"/>
    </row>
    <row r="3" spans="3:51" s="27" customFormat="1" x14ac:dyDescent="0.3">
      <c r="D3" s="34">
        <v>37711</v>
      </c>
      <c r="E3" s="35">
        <f>EOMONTH(D3,3)</f>
        <v>37802</v>
      </c>
      <c r="F3" s="35">
        <f>EOMONTH(E3,3)</f>
        <v>37894</v>
      </c>
      <c r="G3" s="36">
        <f t="shared" ref="G3:AY3" si="0">EOMONTH(F3,3)</f>
        <v>37986</v>
      </c>
      <c r="H3" s="37">
        <f t="shared" si="0"/>
        <v>38077</v>
      </c>
      <c r="I3" s="35">
        <f t="shared" si="0"/>
        <v>38168</v>
      </c>
      <c r="J3" s="35">
        <f t="shared" si="0"/>
        <v>38260</v>
      </c>
      <c r="K3" s="36">
        <f t="shared" si="0"/>
        <v>38352</v>
      </c>
      <c r="L3" s="37">
        <f t="shared" si="0"/>
        <v>38442</v>
      </c>
      <c r="M3" s="35">
        <f t="shared" si="0"/>
        <v>38533</v>
      </c>
      <c r="N3" s="35">
        <f t="shared" si="0"/>
        <v>38625</v>
      </c>
      <c r="O3" s="36">
        <f t="shared" si="0"/>
        <v>38717</v>
      </c>
      <c r="P3" s="37">
        <f t="shared" si="0"/>
        <v>38807</v>
      </c>
      <c r="Q3" s="35">
        <f t="shared" si="0"/>
        <v>38898</v>
      </c>
      <c r="R3" s="35">
        <f t="shared" si="0"/>
        <v>38990</v>
      </c>
      <c r="S3" s="36">
        <f t="shared" si="0"/>
        <v>39082</v>
      </c>
      <c r="T3" s="37">
        <f t="shared" si="0"/>
        <v>39172</v>
      </c>
      <c r="U3" s="35">
        <f t="shared" si="0"/>
        <v>39263</v>
      </c>
      <c r="V3" s="35">
        <f t="shared" si="0"/>
        <v>39355</v>
      </c>
      <c r="W3" s="36">
        <f t="shared" si="0"/>
        <v>39447</v>
      </c>
      <c r="X3" s="37">
        <f t="shared" si="0"/>
        <v>39538</v>
      </c>
      <c r="Y3" s="35">
        <f t="shared" si="0"/>
        <v>39629</v>
      </c>
      <c r="Z3" s="35">
        <f t="shared" si="0"/>
        <v>39721</v>
      </c>
      <c r="AA3" s="36">
        <f t="shared" si="0"/>
        <v>39813</v>
      </c>
      <c r="AB3" s="37">
        <f t="shared" si="0"/>
        <v>39903</v>
      </c>
      <c r="AC3" s="35">
        <f t="shared" si="0"/>
        <v>39994</v>
      </c>
      <c r="AD3" s="35">
        <f t="shared" si="0"/>
        <v>40086</v>
      </c>
      <c r="AE3" s="36">
        <f t="shared" si="0"/>
        <v>40178</v>
      </c>
      <c r="AF3" s="37">
        <f t="shared" si="0"/>
        <v>40268</v>
      </c>
      <c r="AG3" s="35">
        <f t="shared" si="0"/>
        <v>40359</v>
      </c>
      <c r="AH3" s="35">
        <f t="shared" si="0"/>
        <v>40451</v>
      </c>
      <c r="AI3" s="36">
        <f t="shared" si="0"/>
        <v>40543</v>
      </c>
      <c r="AJ3" s="37">
        <f t="shared" si="0"/>
        <v>40633</v>
      </c>
      <c r="AK3" s="35">
        <f t="shared" si="0"/>
        <v>40724</v>
      </c>
      <c r="AL3" s="35">
        <f t="shared" si="0"/>
        <v>40816</v>
      </c>
      <c r="AM3" s="36">
        <f t="shared" si="0"/>
        <v>40908</v>
      </c>
      <c r="AN3" s="37">
        <f t="shared" si="0"/>
        <v>40999</v>
      </c>
      <c r="AO3" s="35">
        <f t="shared" si="0"/>
        <v>41090</v>
      </c>
      <c r="AP3" s="35">
        <f t="shared" si="0"/>
        <v>41182</v>
      </c>
      <c r="AQ3" s="36">
        <f t="shared" si="0"/>
        <v>41274</v>
      </c>
      <c r="AR3" s="37">
        <f t="shared" si="0"/>
        <v>41364</v>
      </c>
      <c r="AS3" s="35">
        <f t="shared" si="0"/>
        <v>41455</v>
      </c>
      <c r="AT3" s="35">
        <f t="shared" si="0"/>
        <v>41547</v>
      </c>
      <c r="AU3" s="36">
        <f t="shared" si="0"/>
        <v>41639</v>
      </c>
      <c r="AV3" s="37">
        <f t="shared" si="0"/>
        <v>41729</v>
      </c>
      <c r="AW3" s="35">
        <f t="shared" si="0"/>
        <v>41820</v>
      </c>
      <c r="AX3" s="35">
        <f t="shared" si="0"/>
        <v>41912</v>
      </c>
      <c r="AY3" s="36">
        <f t="shared" si="0"/>
        <v>42004</v>
      </c>
    </row>
    <row r="4" spans="3:51" s="27" customFormat="1" x14ac:dyDescent="0.3">
      <c r="D4" s="28" t="s">
        <v>46</v>
      </c>
      <c r="E4" s="29" t="s">
        <v>47</v>
      </c>
      <c r="F4" s="29" t="s">
        <v>48</v>
      </c>
      <c r="G4" s="30" t="s">
        <v>49</v>
      </c>
      <c r="H4" s="28" t="s">
        <v>42</v>
      </c>
      <c r="I4" s="29" t="s">
        <v>43</v>
      </c>
      <c r="J4" s="29" t="s">
        <v>44</v>
      </c>
      <c r="K4" s="30" t="s">
        <v>45</v>
      </c>
      <c r="L4" s="28" t="s">
        <v>38</v>
      </c>
      <c r="M4" s="29" t="s">
        <v>39</v>
      </c>
      <c r="N4" s="29" t="s">
        <v>40</v>
      </c>
      <c r="O4" s="30" t="s">
        <v>41</v>
      </c>
      <c r="P4" s="28" t="s">
        <v>34</v>
      </c>
      <c r="Q4" s="29" t="s">
        <v>35</v>
      </c>
      <c r="R4" s="29" t="s">
        <v>36</v>
      </c>
      <c r="S4" s="30" t="s">
        <v>37</v>
      </c>
      <c r="T4" s="28" t="s">
        <v>30</v>
      </c>
      <c r="U4" s="29" t="s">
        <v>31</v>
      </c>
      <c r="V4" s="29" t="s">
        <v>32</v>
      </c>
      <c r="W4" s="30" t="s">
        <v>33</v>
      </c>
      <c r="X4" s="28" t="s">
        <v>26</v>
      </c>
      <c r="Y4" s="29" t="s">
        <v>27</v>
      </c>
      <c r="Z4" s="29" t="s">
        <v>28</v>
      </c>
      <c r="AA4" s="30" t="s">
        <v>29</v>
      </c>
      <c r="AB4" s="28" t="s">
        <v>22</v>
      </c>
      <c r="AC4" s="29" t="s">
        <v>23</v>
      </c>
      <c r="AD4" s="29" t="s">
        <v>24</v>
      </c>
      <c r="AE4" s="30" t="s">
        <v>25</v>
      </c>
      <c r="AF4" s="28" t="s">
        <v>17</v>
      </c>
      <c r="AG4" s="29" t="s">
        <v>14</v>
      </c>
      <c r="AH4" s="29" t="s">
        <v>15</v>
      </c>
      <c r="AI4" s="30" t="s">
        <v>16</v>
      </c>
      <c r="AJ4" s="28" t="s">
        <v>18</v>
      </c>
      <c r="AK4" s="29" t="s">
        <v>19</v>
      </c>
      <c r="AL4" s="29" t="s">
        <v>20</v>
      </c>
      <c r="AM4" s="30" t="s">
        <v>21</v>
      </c>
      <c r="AN4" s="28" t="s">
        <v>4</v>
      </c>
      <c r="AO4" s="29" t="s">
        <v>5</v>
      </c>
      <c r="AP4" s="29" t="s">
        <v>6</v>
      </c>
      <c r="AQ4" s="30" t="s">
        <v>7</v>
      </c>
      <c r="AR4" s="28" t="s">
        <v>8</v>
      </c>
      <c r="AS4" s="29" t="s">
        <v>9</v>
      </c>
      <c r="AT4" s="29" t="s">
        <v>10</v>
      </c>
      <c r="AU4" s="30" t="s">
        <v>11</v>
      </c>
      <c r="AV4" s="28" t="s">
        <v>51</v>
      </c>
      <c r="AW4" s="29" t="s">
        <v>52</v>
      </c>
      <c r="AX4" s="29" t="s">
        <v>53</v>
      </c>
      <c r="AY4" s="30" t="s">
        <v>54</v>
      </c>
    </row>
    <row r="5" spans="3:51" ht="20" x14ac:dyDescent="0.4">
      <c r="C5" s="4" t="s">
        <v>3</v>
      </c>
      <c r="D5" s="7"/>
      <c r="E5" s="8"/>
      <c r="F5" s="8"/>
      <c r="G5" s="9"/>
      <c r="H5" s="7"/>
      <c r="I5" s="8"/>
      <c r="J5" s="8"/>
      <c r="K5" s="9"/>
      <c r="L5" s="7"/>
      <c r="M5" s="8"/>
      <c r="N5" s="8"/>
      <c r="O5" s="9"/>
      <c r="P5" s="7"/>
      <c r="Q5" s="8"/>
      <c r="R5" s="8"/>
      <c r="S5" s="9"/>
      <c r="T5" s="7"/>
      <c r="U5" s="8"/>
      <c r="V5" s="8"/>
      <c r="W5" s="9"/>
      <c r="X5" s="7"/>
      <c r="Y5" s="8"/>
      <c r="Z5" s="8"/>
      <c r="AA5" s="9"/>
      <c r="AB5" s="7"/>
      <c r="AC5" s="8"/>
      <c r="AD5" s="8"/>
      <c r="AE5" s="9"/>
      <c r="AF5" s="7"/>
      <c r="AG5" s="8"/>
      <c r="AH5" s="8"/>
      <c r="AI5" s="9"/>
      <c r="AJ5" s="7"/>
      <c r="AK5" s="8"/>
      <c r="AL5" s="8"/>
      <c r="AM5" s="9"/>
      <c r="AN5" s="7"/>
      <c r="AO5" s="8"/>
      <c r="AP5" s="8"/>
      <c r="AQ5" s="9"/>
      <c r="AR5" s="7"/>
      <c r="AS5" s="8"/>
      <c r="AT5" s="8"/>
      <c r="AU5" s="9"/>
      <c r="AV5" s="7"/>
      <c r="AW5" s="8"/>
      <c r="AX5" s="8"/>
      <c r="AY5" s="9"/>
    </row>
    <row r="6" spans="3:51" x14ac:dyDescent="0.3">
      <c r="C6" s="1" t="s">
        <v>0</v>
      </c>
      <c r="D6" s="10">
        <f>302/526*1000</f>
        <v>574.14448669201522</v>
      </c>
      <c r="E6" s="11">
        <f>314/565*1000</f>
        <v>555.75221238938059</v>
      </c>
      <c r="F6" s="11">
        <f>313/564*1000</f>
        <v>554.96453900709218</v>
      </c>
      <c r="G6" s="12">
        <f>4*(1257/2230*1000)-SUM(D6:F6)</f>
        <v>569.84728209088462</v>
      </c>
      <c r="H6" s="10">
        <f>310/549*1000</f>
        <v>564.66302367941717</v>
      </c>
      <c r="I6" s="11">
        <f>323/589*1000</f>
        <v>548.38709677419354</v>
      </c>
      <c r="J6" s="11">
        <f>322/559*1000</f>
        <v>576.02862254025047</v>
      </c>
      <c r="K6" s="12">
        <f>4*(1326/2306*1000)-SUM(H6:J6)</f>
        <v>611.00798727500251</v>
      </c>
      <c r="L6" s="10">
        <v>623</v>
      </c>
      <c r="M6" s="11">
        <v>608</v>
      </c>
      <c r="N6" s="11">
        <v>619</v>
      </c>
      <c r="O6" s="12">
        <f>4*629-SUM(L6:N6)</f>
        <v>666</v>
      </c>
      <c r="P6" s="10">
        <v>647</v>
      </c>
      <c r="Q6" s="11">
        <v>651</v>
      </c>
      <c r="R6" s="11">
        <v>645</v>
      </c>
      <c r="S6" s="12">
        <f>4*648-SUM(P6:R6)</f>
        <v>649</v>
      </c>
      <c r="T6" s="10">
        <v>625</v>
      </c>
      <c r="U6" s="11">
        <v>636</v>
      </c>
      <c r="V6" s="11">
        <v>636</v>
      </c>
      <c r="W6" s="12">
        <f>4*642-SUM(T6:V6)</f>
        <v>671</v>
      </c>
      <c r="X6" s="10">
        <v>685</v>
      </c>
      <c r="Y6" s="11">
        <v>726</v>
      </c>
      <c r="Z6" s="11">
        <v>750</v>
      </c>
      <c r="AA6" s="12">
        <f>4*709-SUM(X6:Z6)</f>
        <v>675</v>
      </c>
      <c r="AB6" s="10">
        <v>614</v>
      </c>
      <c r="AC6" s="11">
        <v>624</v>
      </c>
      <c r="AD6" s="11">
        <v>622</v>
      </c>
      <c r="AE6" s="12">
        <f>4*633-SUM(AB6:AD6)</f>
        <v>672</v>
      </c>
      <c r="AF6" s="10">
        <v>646</v>
      </c>
      <c r="AG6" s="11">
        <v>565</v>
      </c>
      <c r="AH6" s="11">
        <v>554</v>
      </c>
      <c r="AI6" s="12">
        <f>4*581-SUM(AF6:AH6)</f>
        <v>559</v>
      </c>
      <c r="AJ6" s="10">
        <v>591</v>
      </c>
      <c r="AK6" s="11">
        <v>635</v>
      </c>
      <c r="AL6" s="11">
        <v>630</v>
      </c>
      <c r="AM6" s="12">
        <f>4*626-SUM(AJ6:AL6)</f>
        <v>648</v>
      </c>
      <c r="AN6" s="10">
        <v>648</v>
      </c>
      <c r="AO6" s="11">
        <v>649</v>
      </c>
      <c r="AP6" s="11">
        <v>641</v>
      </c>
      <c r="AQ6" s="12">
        <f>4*650-SUM(AN6:AP6)</f>
        <v>662</v>
      </c>
      <c r="AR6" s="10">
        <v>657</v>
      </c>
      <c r="AS6" s="11">
        <v>660</v>
      </c>
      <c r="AT6" s="11">
        <v>656</v>
      </c>
      <c r="AU6" s="12">
        <f>4*657-SUM(AR6:AT6)</f>
        <v>655</v>
      </c>
      <c r="AV6" s="10"/>
      <c r="AW6" s="11"/>
      <c r="AX6" s="11"/>
      <c r="AY6" s="12"/>
    </row>
    <row r="7" spans="3:51" s="6" customFormat="1" ht="14.5" x14ac:dyDescent="0.35">
      <c r="C7" s="2" t="s">
        <v>1</v>
      </c>
      <c r="D7" s="13"/>
      <c r="E7" s="14"/>
      <c r="F7" s="14"/>
      <c r="G7" s="15"/>
      <c r="H7" s="20">
        <f t="shared" ref="H7:AT7" si="1">+H6/D6-1</f>
        <v>-1.6514071339823078E-2</v>
      </c>
      <c r="I7" s="21">
        <f t="shared" si="1"/>
        <v>-1.3252516950893911E-2</v>
      </c>
      <c r="J7" s="21">
        <f t="shared" si="1"/>
        <v>3.7955728794572652E-2</v>
      </c>
      <c r="K7" s="22">
        <f t="shared" si="1"/>
        <v>7.2231116086209912E-2</v>
      </c>
      <c r="L7" s="20">
        <f t="shared" si="1"/>
        <v>0.10331290322580644</v>
      </c>
      <c r="M7" s="21">
        <f t="shared" si="1"/>
        <v>0.10870588235294121</v>
      </c>
      <c r="N7" s="21">
        <f t="shared" si="1"/>
        <v>7.4599378881987644E-2</v>
      </c>
      <c r="O7" s="22">
        <f t="shared" si="1"/>
        <v>9.000211759956378E-2</v>
      </c>
      <c r="P7" s="20">
        <f t="shared" si="1"/>
        <v>3.8523274478330594E-2</v>
      </c>
      <c r="Q7" s="21">
        <f t="shared" si="1"/>
        <v>7.0723684210526327E-2</v>
      </c>
      <c r="R7" s="21">
        <f t="shared" si="1"/>
        <v>4.2003231017770704E-2</v>
      </c>
      <c r="S7" s="22">
        <f t="shared" si="1"/>
        <v>-2.5525525525525561E-2</v>
      </c>
      <c r="T7" s="20">
        <f t="shared" si="1"/>
        <v>-3.4003091190108137E-2</v>
      </c>
      <c r="U7" s="21">
        <f t="shared" si="1"/>
        <v>-2.3041474654377891E-2</v>
      </c>
      <c r="V7" s="21">
        <f t="shared" si="1"/>
        <v>-1.3953488372092981E-2</v>
      </c>
      <c r="W7" s="22">
        <f t="shared" si="1"/>
        <v>3.3898305084745672E-2</v>
      </c>
      <c r="X7" s="20">
        <f t="shared" si="1"/>
        <v>9.6000000000000085E-2</v>
      </c>
      <c r="Y7" s="21">
        <f t="shared" si="1"/>
        <v>0.14150943396226423</v>
      </c>
      <c r="Z7" s="21">
        <f t="shared" si="1"/>
        <v>0.179245283018868</v>
      </c>
      <c r="AA7" s="22">
        <f t="shared" si="1"/>
        <v>5.9612518628913147E-3</v>
      </c>
      <c r="AB7" s="20">
        <f t="shared" si="1"/>
        <v>-0.10364963503649638</v>
      </c>
      <c r="AC7" s="21">
        <f t="shared" si="1"/>
        <v>-0.14049586776859502</v>
      </c>
      <c r="AD7" s="21">
        <f t="shared" si="1"/>
        <v>-0.17066666666666663</v>
      </c>
      <c r="AE7" s="22">
        <f t="shared" si="1"/>
        <v>-4.4444444444444731E-3</v>
      </c>
      <c r="AF7" s="20">
        <f t="shared" si="1"/>
        <v>5.2117263843648232E-2</v>
      </c>
      <c r="AG7" s="21">
        <f t="shared" si="1"/>
        <v>-9.4551282051282048E-2</v>
      </c>
      <c r="AH7" s="21">
        <f t="shared" si="1"/>
        <v>-0.10932475884244375</v>
      </c>
      <c r="AI7" s="22">
        <f t="shared" si="1"/>
        <v>-0.16815476190476186</v>
      </c>
      <c r="AJ7" s="20">
        <f t="shared" si="1"/>
        <v>-8.51393188854489E-2</v>
      </c>
      <c r="AK7" s="21">
        <f t="shared" si="1"/>
        <v>0.12389380530973448</v>
      </c>
      <c r="AL7" s="21">
        <f t="shared" si="1"/>
        <v>0.13718411552346566</v>
      </c>
      <c r="AM7" s="22">
        <f t="shared" si="1"/>
        <v>0.15921288014311274</v>
      </c>
      <c r="AN7" s="20">
        <f t="shared" si="1"/>
        <v>9.6446700507614169E-2</v>
      </c>
      <c r="AO7" s="21">
        <f t="shared" si="1"/>
        <v>2.2047244094488105E-2</v>
      </c>
      <c r="AP7" s="21">
        <f t="shared" si="1"/>
        <v>1.7460317460317398E-2</v>
      </c>
      <c r="AQ7" s="22">
        <f t="shared" si="1"/>
        <v>2.1604938271605034E-2</v>
      </c>
      <c r="AR7" s="20">
        <f t="shared" si="1"/>
        <v>1.388888888888884E-2</v>
      </c>
      <c r="AS7" s="21">
        <f t="shared" si="1"/>
        <v>1.6949152542372836E-2</v>
      </c>
      <c r="AT7" s="21">
        <f t="shared" si="1"/>
        <v>2.3400936037441422E-2</v>
      </c>
      <c r="AU7" s="22">
        <f>+AU6/AQ6-1</f>
        <v>-1.0574018126888185E-2</v>
      </c>
      <c r="AV7" s="20"/>
      <c r="AW7" s="21"/>
      <c r="AX7" s="21"/>
      <c r="AY7" s="22"/>
    </row>
    <row r="8" spans="3:51" x14ac:dyDescent="0.3">
      <c r="C8" s="1" t="s">
        <v>2</v>
      </c>
      <c r="D8" s="10">
        <v>574.14448669201522</v>
      </c>
      <c r="E8" s="11">
        <v>555.75221238938059</v>
      </c>
      <c r="F8" s="11">
        <v>554.96453900709218</v>
      </c>
      <c r="G8" s="12">
        <v>569.84728209088462</v>
      </c>
      <c r="H8" s="10">
        <v>564.66302367941717</v>
      </c>
      <c r="I8" s="11">
        <v>548.38709677419354</v>
      </c>
      <c r="J8" s="11">
        <v>576.02862254025047</v>
      </c>
      <c r="K8" s="12">
        <v>611.00798727500251</v>
      </c>
      <c r="L8" s="10">
        <v>623</v>
      </c>
      <c r="M8" s="11">
        <v>608</v>
      </c>
      <c r="N8" s="11">
        <v>619</v>
      </c>
      <c r="O8" s="12">
        <v>666</v>
      </c>
      <c r="P8" s="10">
        <v>647</v>
      </c>
      <c r="Q8" s="11">
        <v>651</v>
      </c>
      <c r="R8" s="11">
        <v>645</v>
      </c>
      <c r="S8" s="12">
        <v>649</v>
      </c>
      <c r="T8" s="10">
        <v>625</v>
      </c>
      <c r="U8" s="11">
        <v>636</v>
      </c>
      <c r="V8" s="11">
        <v>636</v>
      </c>
      <c r="W8" s="12">
        <v>671</v>
      </c>
      <c r="X8" s="10">
        <v>685</v>
      </c>
      <c r="Y8" s="11">
        <v>726</v>
      </c>
      <c r="Z8" s="11">
        <v>750</v>
      </c>
      <c r="AA8" s="12">
        <v>675</v>
      </c>
      <c r="AB8" s="10">
        <v>614</v>
      </c>
      <c r="AC8" s="11">
        <v>624</v>
      </c>
      <c r="AD8" s="11">
        <v>622</v>
      </c>
      <c r="AE8" s="12">
        <v>672</v>
      </c>
      <c r="AF8" s="10">
        <v>646</v>
      </c>
      <c r="AG8" s="11">
        <v>565</v>
      </c>
      <c r="AH8" s="11">
        <v>554</v>
      </c>
      <c r="AI8" s="12">
        <v>559</v>
      </c>
      <c r="AJ8" s="10">
        <v>591</v>
      </c>
      <c r="AK8" s="11">
        <v>635</v>
      </c>
      <c r="AL8" s="11">
        <f>+(0.630208333333333)*1000</f>
        <v>630.20833333333303</v>
      </c>
      <c r="AM8" s="12">
        <v>648</v>
      </c>
      <c r="AN8" s="10">
        <v>648</v>
      </c>
      <c r="AO8" s="11">
        <v>649</v>
      </c>
      <c r="AP8" s="11">
        <v>641</v>
      </c>
      <c r="AQ8" s="12">
        <v>662</v>
      </c>
      <c r="AR8" s="10">
        <v>657</v>
      </c>
      <c r="AS8" s="11">
        <v>660</v>
      </c>
      <c r="AT8" s="11">
        <v>656</v>
      </c>
      <c r="AU8" s="12">
        <v>655</v>
      </c>
      <c r="AV8" s="10"/>
      <c r="AW8" s="11"/>
      <c r="AX8" s="11"/>
      <c r="AY8" s="12"/>
    </row>
    <row r="9" spans="3:51" s="6" customFormat="1" ht="14.5" x14ac:dyDescent="0.35">
      <c r="C9" s="2" t="s">
        <v>1</v>
      </c>
      <c r="D9" s="13"/>
      <c r="E9" s="14"/>
      <c r="F9" s="14"/>
      <c r="G9" s="15"/>
      <c r="H9" s="20">
        <f t="shared" ref="H9" si="2">+H8/D8-1</f>
        <v>-1.6514071339823078E-2</v>
      </c>
      <c r="I9" s="21">
        <f t="shared" ref="I9" si="3">+I8/E8-1</f>
        <v>-1.3252516950893911E-2</v>
      </c>
      <c r="J9" s="21">
        <f t="shared" ref="J9" si="4">+J8/F8-1</f>
        <v>3.7955728794572652E-2</v>
      </c>
      <c r="K9" s="22">
        <f t="shared" ref="K9" si="5">+K8/G8-1</f>
        <v>7.2231116086209912E-2</v>
      </c>
      <c r="L9" s="20">
        <f t="shared" ref="L9" si="6">+L8/H8-1</f>
        <v>0.10331290322580644</v>
      </c>
      <c r="M9" s="21">
        <f t="shared" ref="M9" si="7">+M8/I8-1</f>
        <v>0.10870588235294121</v>
      </c>
      <c r="N9" s="21">
        <f t="shared" ref="N9" si="8">+N8/J8-1</f>
        <v>7.4599378881987644E-2</v>
      </c>
      <c r="O9" s="22">
        <f t="shared" ref="O9" si="9">+O8/K8-1</f>
        <v>9.000211759956378E-2</v>
      </c>
      <c r="P9" s="20">
        <f t="shared" ref="P9" si="10">+P8/L8-1</f>
        <v>3.8523274478330594E-2</v>
      </c>
      <c r="Q9" s="21">
        <f t="shared" ref="Q9" si="11">+Q8/M8-1</f>
        <v>7.0723684210526327E-2</v>
      </c>
      <c r="R9" s="21">
        <f t="shared" ref="R9" si="12">+R8/N8-1</f>
        <v>4.2003231017770704E-2</v>
      </c>
      <c r="S9" s="22">
        <f t="shared" ref="S9" si="13">+S8/O8-1</f>
        <v>-2.5525525525525561E-2</v>
      </c>
      <c r="T9" s="20">
        <f t="shared" ref="T9" si="14">+T8/P8-1</f>
        <v>-3.4003091190108137E-2</v>
      </c>
      <c r="U9" s="21">
        <f t="shared" ref="U9" si="15">+U8/Q8-1</f>
        <v>-2.3041474654377891E-2</v>
      </c>
      <c r="V9" s="21">
        <f t="shared" ref="V9" si="16">+V8/R8-1</f>
        <v>-1.3953488372092981E-2</v>
      </c>
      <c r="W9" s="22">
        <f t="shared" ref="W9" si="17">+W8/S8-1</f>
        <v>3.3898305084745672E-2</v>
      </c>
      <c r="X9" s="20">
        <f t="shared" ref="X9" si="18">+X8/T8-1</f>
        <v>9.6000000000000085E-2</v>
      </c>
      <c r="Y9" s="21">
        <f t="shared" ref="Y9" si="19">+Y8/U8-1</f>
        <v>0.14150943396226423</v>
      </c>
      <c r="Z9" s="21">
        <f t="shared" ref="Z9" si="20">+Z8/V8-1</f>
        <v>0.179245283018868</v>
      </c>
      <c r="AA9" s="22">
        <f t="shared" ref="AA9" si="21">+AA8/W8-1</f>
        <v>5.9612518628913147E-3</v>
      </c>
      <c r="AB9" s="20">
        <f t="shared" ref="AB9" si="22">+AB8/X8-1</f>
        <v>-0.10364963503649638</v>
      </c>
      <c r="AC9" s="21">
        <f t="shared" ref="AC9" si="23">+AC8/Y8-1</f>
        <v>-0.14049586776859502</v>
      </c>
      <c r="AD9" s="21">
        <f t="shared" ref="AD9" si="24">+AD8/Z8-1</f>
        <v>-0.17066666666666663</v>
      </c>
      <c r="AE9" s="22">
        <f t="shared" ref="AE9" si="25">+AE8/AA8-1</f>
        <v>-4.4444444444444731E-3</v>
      </c>
      <c r="AF9" s="20">
        <f t="shared" ref="AF9" si="26">+AF8/AB8-1</f>
        <v>5.2117263843648232E-2</v>
      </c>
      <c r="AG9" s="21">
        <f t="shared" ref="AG9" si="27">+AG8/AC8-1</f>
        <v>-9.4551282051282048E-2</v>
      </c>
      <c r="AH9" s="21">
        <f t="shared" ref="AH9" si="28">+AH8/AD8-1</f>
        <v>-0.10932475884244375</v>
      </c>
      <c r="AI9" s="22">
        <f t="shared" ref="AI9" si="29">+AI8/AE8-1</f>
        <v>-0.16815476190476186</v>
      </c>
      <c r="AJ9" s="20">
        <f t="shared" ref="AJ9" si="30">+AJ8/AF8-1</f>
        <v>-8.51393188854489E-2</v>
      </c>
      <c r="AK9" s="21">
        <f t="shared" ref="AK9" si="31">+AK8/AG8-1</f>
        <v>0.12389380530973448</v>
      </c>
      <c r="AL9" s="21">
        <f t="shared" ref="AL9" si="32">+AL8/AH8-1</f>
        <v>0.13756016847172026</v>
      </c>
      <c r="AM9" s="22">
        <f t="shared" ref="AM9" si="33">+AM8/AI8-1</f>
        <v>0.15921288014311274</v>
      </c>
      <c r="AN9" s="20">
        <f t="shared" ref="AN9" si="34">+AN8/AJ8-1</f>
        <v>9.6446700507614169E-2</v>
      </c>
      <c r="AO9" s="21">
        <f t="shared" ref="AO9" si="35">+AO8/AK8-1</f>
        <v>2.2047244094488105E-2</v>
      </c>
      <c r="AP9" s="21">
        <f t="shared" ref="AP9" si="36">+AP8/AL8-1</f>
        <v>1.7123966942149238E-2</v>
      </c>
      <c r="AQ9" s="22">
        <f t="shared" ref="AQ9" si="37">+AQ8/AM8-1</f>
        <v>2.1604938271605034E-2</v>
      </c>
      <c r="AR9" s="20">
        <f t="shared" ref="AR9" si="38">+AR8/AN8-1</f>
        <v>1.388888888888884E-2</v>
      </c>
      <c r="AS9" s="21">
        <f t="shared" ref="AS9" si="39">+AS8/AO8-1</f>
        <v>1.6949152542372836E-2</v>
      </c>
      <c r="AT9" s="21">
        <f t="shared" ref="AT9" si="40">+AT8/AP8-1</f>
        <v>2.3400936037441422E-2</v>
      </c>
      <c r="AU9" s="22">
        <f>+AU8/AQ8-1</f>
        <v>-1.0574018126888185E-2</v>
      </c>
      <c r="AV9" s="20"/>
      <c r="AW9" s="21"/>
      <c r="AX9" s="21"/>
      <c r="AY9" s="22"/>
    </row>
    <row r="10" spans="3:51" ht="3" customHeight="1" x14ac:dyDescent="0.3">
      <c r="D10" s="10"/>
      <c r="E10" s="11"/>
      <c r="F10" s="11"/>
      <c r="G10" s="12"/>
      <c r="H10" s="10"/>
      <c r="I10" s="11"/>
      <c r="J10" s="11"/>
      <c r="K10" s="12"/>
      <c r="L10" s="10"/>
      <c r="M10" s="11"/>
      <c r="N10" s="11"/>
      <c r="O10" s="12"/>
      <c r="P10" s="10"/>
      <c r="Q10" s="11"/>
      <c r="R10" s="11"/>
      <c r="S10" s="12"/>
      <c r="T10" s="10"/>
      <c r="U10" s="11"/>
      <c r="V10" s="11"/>
      <c r="W10" s="12"/>
      <c r="X10" s="10"/>
      <c r="Y10" s="11"/>
      <c r="Z10" s="11"/>
      <c r="AA10" s="12"/>
      <c r="AB10" s="10"/>
      <c r="AC10" s="11"/>
      <c r="AD10" s="11"/>
      <c r="AE10" s="12"/>
      <c r="AF10" s="10"/>
      <c r="AG10" s="11"/>
      <c r="AH10" s="11"/>
      <c r="AI10" s="12"/>
      <c r="AJ10" s="10"/>
      <c r="AK10" s="11"/>
      <c r="AL10" s="11"/>
      <c r="AM10" s="12"/>
      <c r="AN10" s="10"/>
      <c r="AO10" s="11"/>
      <c r="AP10" s="11"/>
      <c r="AQ10" s="12"/>
      <c r="AR10" s="10"/>
      <c r="AS10" s="11"/>
      <c r="AT10" s="11"/>
      <c r="AU10" s="12"/>
      <c r="AV10" s="10"/>
      <c r="AW10" s="11"/>
      <c r="AX10" s="11"/>
      <c r="AY10" s="12"/>
    </row>
    <row r="11" spans="3:51" x14ac:dyDescent="0.3">
      <c r="C11" s="1" t="s">
        <v>12</v>
      </c>
      <c r="D11" s="10">
        <f>370/373*1000</f>
        <v>991.95710455764072</v>
      </c>
      <c r="E11" s="11">
        <f>401/400*1000</f>
        <v>1002.5</v>
      </c>
      <c r="F11" s="11">
        <f>384/391*1000</f>
        <v>982.09718670076734</v>
      </c>
      <c r="G11" s="12">
        <f>4*(1543/1570*1000)-SUM(D11:F11)</f>
        <v>954.65589982439406</v>
      </c>
      <c r="H11" s="10">
        <f>405/403*1000</f>
        <v>1004.9627791563275</v>
      </c>
      <c r="I11" s="11">
        <f>426/410*1000</f>
        <v>1039.0243902439024</v>
      </c>
      <c r="J11" s="11">
        <f>423/406*1000</f>
        <v>1041.8719211822661</v>
      </c>
      <c r="K11" s="12">
        <f>4*(1714/1659*1000)-SUM(H11:J11)</f>
        <v>1046.7509154452318</v>
      </c>
      <c r="L11" s="10">
        <v>1105</v>
      </c>
      <c r="M11" s="11">
        <v>1179</v>
      </c>
      <c r="N11" s="11">
        <v>1158</v>
      </c>
      <c r="O11" s="12">
        <f>4*1154-SUM(L11:N11)</f>
        <v>1174</v>
      </c>
      <c r="P11" s="10">
        <v>1216</v>
      </c>
      <c r="Q11" s="11">
        <v>1262</v>
      </c>
      <c r="R11" s="11">
        <v>1267</v>
      </c>
      <c r="S11" s="12">
        <f>4*1257-SUM(P11:R11)</f>
        <v>1283</v>
      </c>
      <c r="T11" s="10">
        <v>1370</v>
      </c>
      <c r="U11" s="11">
        <v>1369</v>
      </c>
      <c r="V11" s="11">
        <v>1396</v>
      </c>
      <c r="W11" s="12">
        <f>4*1398-SUM(T11:V11)</f>
        <v>1457</v>
      </c>
      <c r="X11" s="10">
        <v>1646</v>
      </c>
      <c r="Y11" s="11">
        <v>1727</v>
      </c>
      <c r="Z11" s="11">
        <v>1816</v>
      </c>
      <c r="AA11" s="12">
        <f>4*1748-SUM(X11:Z11)</f>
        <v>1803</v>
      </c>
      <c r="AB11" s="10">
        <v>1726</v>
      </c>
      <c r="AC11" s="11">
        <v>1765</v>
      </c>
      <c r="AD11" s="11">
        <v>1780</v>
      </c>
      <c r="AE11" s="12">
        <f>4*1756-SUM(AB11:AD11)</f>
        <v>1753</v>
      </c>
      <c r="AF11" s="10">
        <v>1973</v>
      </c>
      <c r="AG11" s="11">
        <v>2082</v>
      </c>
      <c r="AH11" s="11">
        <v>2130</v>
      </c>
      <c r="AI11" s="12">
        <f>4*2077-SUM(AF11:AH11)</f>
        <v>2123</v>
      </c>
      <c r="AJ11" s="10">
        <v>2283</v>
      </c>
      <c r="AK11" s="11">
        <v>2469</v>
      </c>
      <c r="AL11" s="11">
        <v>2479</v>
      </c>
      <c r="AM11" s="12">
        <f>4*626-SUM(AJ11:AL11)</f>
        <v>-4727</v>
      </c>
      <c r="AN11" s="10">
        <v>2514</v>
      </c>
      <c r="AO11" s="11">
        <v>2477</v>
      </c>
      <c r="AP11" s="11">
        <v>2449</v>
      </c>
      <c r="AQ11" s="12">
        <f>4*2473-SUM(AN11:AP11)</f>
        <v>2452</v>
      </c>
      <c r="AR11" s="10">
        <v>2444</v>
      </c>
      <c r="AS11" s="11">
        <v>2484</v>
      </c>
      <c r="AT11" s="11">
        <v>2408</v>
      </c>
      <c r="AU11" s="12">
        <f>4*2423-SUM(AR11:AT11)</f>
        <v>2356</v>
      </c>
      <c r="AV11" s="10"/>
      <c r="AW11" s="11"/>
      <c r="AX11" s="11"/>
      <c r="AY11" s="12"/>
    </row>
    <row r="12" spans="3:51" s="6" customFormat="1" ht="14.5" x14ac:dyDescent="0.35">
      <c r="C12" s="2" t="s">
        <v>1</v>
      </c>
      <c r="D12" s="13"/>
      <c r="E12" s="14"/>
      <c r="F12" s="14"/>
      <c r="G12" s="15"/>
      <c r="H12" s="20">
        <f t="shared" ref="H12" si="41">+H11/D11-1</f>
        <v>1.3111126014351937E-2</v>
      </c>
      <c r="I12" s="21">
        <f t="shared" ref="I12" si="42">+I11/E11-1</f>
        <v>3.6433306976461299E-2</v>
      </c>
      <c r="J12" s="21">
        <f t="shared" ref="J12" si="43">+J11/F11-1</f>
        <v>6.0864378078817616E-2</v>
      </c>
      <c r="K12" s="22">
        <f t="shared" ref="K12" si="44">+K11/G11-1</f>
        <v>9.6469330611981041E-2</v>
      </c>
      <c r="L12" s="20">
        <f t="shared" ref="L12" si="45">+L11/H11-1</f>
        <v>9.9543209876543193E-2</v>
      </c>
      <c r="M12" s="21">
        <f t="shared" ref="M12" si="46">+M11/I11-1</f>
        <v>0.13471830985915489</v>
      </c>
      <c r="N12" s="21">
        <f t="shared" ref="N12" si="47">+N11/J11-1</f>
        <v>0.11146099290780143</v>
      </c>
      <c r="O12" s="22">
        <f t="shared" ref="O12" si="48">+O11/K11-1</f>
        <v>0.1215657733632296</v>
      </c>
      <c r="P12" s="20">
        <f t="shared" ref="P12" si="49">+P11/L11-1</f>
        <v>0.10045248868778289</v>
      </c>
      <c r="Q12" s="21">
        <f t="shared" ref="Q12" si="50">+Q11/M11-1</f>
        <v>7.0398642917726795E-2</v>
      </c>
      <c r="R12" s="21">
        <f t="shared" ref="R12" si="51">+R11/N11-1</f>
        <v>9.4127806563039762E-2</v>
      </c>
      <c r="S12" s="22">
        <f t="shared" ref="S12" si="52">+S11/O11-1</f>
        <v>9.2844974446337325E-2</v>
      </c>
      <c r="T12" s="20">
        <f t="shared" ref="T12" si="53">+T11/P11-1</f>
        <v>0.12664473684210531</v>
      </c>
      <c r="U12" s="21">
        <f t="shared" ref="U12" si="54">+U11/Q11-1</f>
        <v>8.4786053882725865E-2</v>
      </c>
      <c r="V12" s="21">
        <f t="shared" ref="V12" si="55">+V11/R11-1</f>
        <v>0.10181531176006309</v>
      </c>
      <c r="W12" s="22">
        <f t="shared" ref="W12" si="56">+W11/S11-1</f>
        <v>0.13561964146531569</v>
      </c>
      <c r="X12" s="20">
        <f t="shared" ref="X12" si="57">+X11/T11-1</f>
        <v>0.20145985401459865</v>
      </c>
      <c r="Y12" s="21">
        <f t="shared" ref="Y12" si="58">+Y11/U11-1</f>
        <v>0.26150474799123447</v>
      </c>
      <c r="Z12" s="21">
        <f t="shared" ref="Z12" si="59">+Z11/V11-1</f>
        <v>0.30085959885386826</v>
      </c>
      <c r="AA12" s="22">
        <f t="shared" ref="AA12" si="60">+AA11/W11-1</f>
        <v>0.23747426218256695</v>
      </c>
      <c r="AB12" s="20">
        <f t="shared" ref="AB12" si="61">+AB11/X11-1</f>
        <v>4.8602673147023046E-2</v>
      </c>
      <c r="AC12" s="21">
        <f t="shared" ref="AC12" si="62">+AC11/Y11-1</f>
        <v>2.200347423277349E-2</v>
      </c>
      <c r="AD12" s="21">
        <f t="shared" ref="AD12" si="63">+AD11/Z11-1</f>
        <v>-1.982378854625555E-2</v>
      </c>
      <c r="AE12" s="22">
        <f t="shared" ref="AE12" si="64">+AE11/AA11-1</f>
        <v>-2.7731558513588439E-2</v>
      </c>
      <c r="AF12" s="20">
        <f t="shared" ref="AF12" si="65">+AF11/AB11-1</f>
        <v>0.14310544611819243</v>
      </c>
      <c r="AG12" s="21">
        <f t="shared" ref="AG12" si="66">+AG11/AC11-1</f>
        <v>0.17960339943342785</v>
      </c>
      <c r="AH12" s="21">
        <f t="shared" ref="AH12" si="67">+AH11/AD11-1</f>
        <v>0.19662921348314599</v>
      </c>
      <c r="AI12" s="22">
        <f t="shared" ref="AI12" si="68">+AI11/AE11-1</f>
        <v>0.21106674272675408</v>
      </c>
      <c r="AJ12" s="20">
        <f t="shared" ref="AJ12" si="69">+AJ11/AF11-1</f>
        <v>0.1571211353269133</v>
      </c>
      <c r="AK12" s="21">
        <f t="shared" ref="AK12" si="70">+AK11/AG11-1</f>
        <v>0.1858789625360231</v>
      </c>
      <c r="AL12" s="21">
        <f t="shared" ref="AL12" si="71">+AL11/AH11-1</f>
        <v>0.16384976525821604</v>
      </c>
      <c r="AM12" s="22">
        <f t="shared" ref="AM12" si="72">+AM11/AI11-1</f>
        <v>-3.2265661799340557</v>
      </c>
      <c r="AN12" s="20">
        <f t="shared" ref="AN12" si="73">+AN11/AJ11-1</f>
        <v>0.10118265440210239</v>
      </c>
      <c r="AO12" s="21">
        <f t="shared" ref="AO12" si="74">+AO11/AK11-1</f>
        <v>3.240178209801492E-3</v>
      </c>
      <c r="AP12" s="21">
        <f t="shared" ref="AP12" si="75">+AP11/AL11-1</f>
        <v>-1.2101653892698683E-2</v>
      </c>
      <c r="AQ12" s="22">
        <f t="shared" ref="AQ12" si="76">+AQ11/AM11-1</f>
        <v>-1.518722233975037</v>
      </c>
      <c r="AR12" s="20">
        <f t="shared" ref="AR12" si="77">+AR11/AN11-1</f>
        <v>-2.7844073190135266E-2</v>
      </c>
      <c r="AS12" s="21">
        <f t="shared" ref="AS12" si="78">+AS11/AO11-1</f>
        <v>2.8259991925716488E-3</v>
      </c>
      <c r="AT12" s="21">
        <f t="shared" ref="AT12" si="79">+AT11/AP11-1</f>
        <v>-1.6741527153940394E-2</v>
      </c>
      <c r="AU12" s="22">
        <f>+AU11/AQ11-1</f>
        <v>-3.9151712887438794E-2</v>
      </c>
      <c r="AV12" s="20"/>
      <c r="AW12" s="21"/>
      <c r="AX12" s="21"/>
      <c r="AY12" s="22"/>
    </row>
    <row r="13" spans="3:51" x14ac:dyDescent="0.3">
      <c r="C13" s="1" t="s">
        <v>13</v>
      </c>
      <c r="D13" s="10">
        <v>991.95710455764072</v>
      </c>
      <c r="E13" s="11">
        <v>1002.5</v>
      </c>
      <c r="F13" s="11">
        <v>982.09718670076734</v>
      </c>
      <c r="G13" s="12">
        <v>954.65589982439406</v>
      </c>
      <c r="H13" s="10">
        <v>1004.9627791563275</v>
      </c>
      <c r="I13" s="11">
        <v>1039.0243902439024</v>
      </c>
      <c r="J13" s="11">
        <v>1041.8719211822661</v>
      </c>
      <c r="K13" s="12">
        <v>1046.7509154452318</v>
      </c>
      <c r="L13" s="10">
        <v>1105</v>
      </c>
      <c r="M13" s="11">
        <v>1179</v>
      </c>
      <c r="N13" s="11">
        <v>1158</v>
      </c>
      <c r="O13" s="12">
        <v>1174</v>
      </c>
      <c r="P13" s="10">
        <v>1216</v>
      </c>
      <c r="Q13" s="11">
        <v>1262</v>
      </c>
      <c r="R13" s="11">
        <v>1267</v>
      </c>
      <c r="S13" s="12">
        <v>1283</v>
      </c>
      <c r="T13" s="10">
        <v>1370</v>
      </c>
      <c r="U13" s="11">
        <v>1369</v>
      </c>
      <c r="V13" s="11">
        <v>1396</v>
      </c>
      <c r="W13" s="12">
        <v>1457</v>
      </c>
      <c r="X13" s="10">
        <v>1646</v>
      </c>
      <c r="Y13" s="11">
        <v>1727</v>
      </c>
      <c r="Z13" s="11">
        <v>1816</v>
      </c>
      <c r="AA13" s="12">
        <v>1803</v>
      </c>
      <c r="AB13" s="10">
        <v>1726</v>
      </c>
      <c r="AC13" s="11">
        <v>1765</v>
      </c>
      <c r="AD13" s="11">
        <v>1780</v>
      </c>
      <c r="AE13" s="12">
        <v>1753</v>
      </c>
      <c r="AF13" s="10">
        <v>1973</v>
      </c>
      <c r="AG13" s="11">
        <v>2082</v>
      </c>
      <c r="AH13" s="11">
        <v>2130</v>
      </c>
      <c r="AI13" s="12">
        <v>2123</v>
      </c>
      <c r="AJ13" s="10">
        <v>2283</v>
      </c>
      <c r="AK13" s="11">
        <v>2469</v>
      </c>
      <c r="AL13" s="11">
        <v>2479</v>
      </c>
      <c r="AM13" s="12">
        <v>2445</v>
      </c>
      <c r="AN13" s="10">
        <v>2514</v>
      </c>
      <c r="AO13" s="11">
        <v>2477</v>
      </c>
      <c r="AP13" s="11">
        <v>2449</v>
      </c>
      <c r="AQ13" s="12">
        <v>2452</v>
      </c>
      <c r="AR13" s="10">
        <v>2444</v>
      </c>
      <c r="AS13" s="11">
        <v>2484</v>
      </c>
      <c r="AT13" s="11">
        <v>2408</v>
      </c>
      <c r="AU13" s="12">
        <v>2356</v>
      </c>
      <c r="AV13" s="10"/>
      <c r="AW13" s="11"/>
      <c r="AX13" s="11"/>
      <c r="AY13" s="12"/>
    </row>
    <row r="14" spans="3:51" s="6" customFormat="1" ht="14.5" x14ac:dyDescent="0.35">
      <c r="C14" s="2" t="s">
        <v>1</v>
      </c>
      <c r="D14" s="13"/>
      <c r="E14" s="14"/>
      <c r="F14" s="14"/>
      <c r="G14" s="15"/>
      <c r="H14" s="20">
        <f t="shared" ref="H14" si="80">+H13/D13-1</f>
        <v>1.3111126014351937E-2</v>
      </c>
      <c r="I14" s="21">
        <f t="shared" ref="I14" si="81">+I13/E13-1</f>
        <v>3.6433306976461299E-2</v>
      </c>
      <c r="J14" s="21">
        <f t="shared" ref="J14" si="82">+J13/F13-1</f>
        <v>6.0864378078817616E-2</v>
      </c>
      <c r="K14" s="22">
        <f t="shared" ref="K14" si="83">+K13/G13-1</f>
        <v>9.6469330611981041E-2</v>
      </c>
      <c r="L14" s="20">
        <f t="shared" ref="L14" si="84">+L13/H13-1</f>
        <v>9.9543209876543193E-2</v>
      </c>
      <c r="M14" s="21">
        <f t="shared" ref="M14" si="85">+M13/I13-1</f>
        <v>0.13471830985915489</v>
      </c>
      <c r="N14" s="21">
        <f t="shared" ref="N14" si="86">+N13/J13-1</f>
        <v>0.11146099290780143</v>
      </c>
      <c r="O14" s="22">
        <f t="shared" ref="O14" si="87">+O13/K13-1</f>
        <v>0.1215657733632296</v>
      </c>
      <c r="P14" s="20">
        <f t="shared" ref="P14" si="88">+P13/L13-1</f>
        <v>0.10045248868778289</v>
      </c>
      <c r="Q14" s="21">
        <f t="shared" ref="Q14" si="89">+Q13/M13-1</f>
        <v>7.0398642917726795E-2</v>
      </c>
      <c r="R14" s="21">
        <f t="shared" ref="R14" si="90">+R13/N13-1</f>
        <v>9.4127806563039762E-2</v>
      </c>
      <c r="S14" s="22">
        <f t="shared" ref="S14" si="91">+S13/O13-1</f>
        <v>9.2844974446337325E-2</v>
      </c>
      <c r="T14" s="20">
        <f t="shared" ref="T14" si="92">+T13/P13-1</f>
        <v>0.12664473684210531</v>
      </c>
      <c r="U14" s="21">
        <f t="shared" ref="U14" si="93">+U13/Q13-1</f>
        <v>8.4786053882725865E-2</v>
      </c>
      <c r="V14" s="21">
        <f t="shared" ref="V14" si="94">+V13/R13-1</f>
        <v>0.10181531176006309</v>
      </c>
      <c r="W14" s="22">
        <f t="shared" ref="W14" si="95">+W13/S13-1</f>
        <v>0.13561964146531569</v>
      </c>
      <c r="X14" s="20">
        <f t="shared" ref="X14" si="96">+X13/T13-1</f>
        <v>0.20145985401459865</v>
      </c>
      <c r="Y14" s="21">
        <f t="shared" ref="Y14" si="97">+Y13/U13-1</f>
        <v>0.26150474799123447</v>
      </c>
      <c r="Z14" s="21">
        <f t="shared" ref="Z14" si="98">+Z13/V13-1</f>
        <v>0.30085959885386826</v>
      </c>
      <c r="AA14" s="22">
        <f t="shared" ref="AA14" si="99">+AA13/W13-1</f>
        <v>0.23747426218256695</v>
      </c>
      <c r="AB14" s="20">
        <f t="shared" ref="AB14" si="100">+AB13/X13-1</f>
        <v>4.8602673147023046E-2</v>
      </c>
      <c r="AC14" s="21">
        <f t="shared" ref="AC14" si="101">+AC13/Y13-1</f>
        <v>2.200347423277349E-2</v>
      </c>
      <c r="AD14" s="21">
        <f t="shared" ref="AD14" si="102">+AD13/Z13-1</f>
        <v>-1.982378854625555E-2</v>
      </c>
      <c r="AE14" s="22">
        <f t="shared" ref="AE14" si="103">+AE13/AA13-1</f>
        <v>-2.7731558513588439E-2</v>
      </c>
      <c r="AF14" s="20">
        <f t="shared" ref="AF14" si="104">+AF13/AB13-1</f>
        <v>0.14310544611819243</v>
      </c>
      <c r="AG14" s="21">
        <f t="shared" ref="AG14" si="105">+AG13/AC13-1</f>
        <v>0.17960339943342785</v>
      </c>
      <c r="AH14" s="21">
        <f t="shared" ref="AH14" si="106">+AH13/AD13-1</f>
        <v>0.19662921348314599</v>
      </c>
      <c r="AI14" s="22">
        <f t="shared" ref="AI14" si="107">+AI13/AE13-1</f>
        <v>0.21106674272675408</v>
      </c>
      <c r="AJ14" s="20">
        <f t="shared" ref="AJ14" si="108">+AJ13/AF13-1</f>
        <v>0.1571211353269133</v>
      </c>
      <c r="AK14" s="21">
        <f t="shared" ref="AK14" si="109">+AK13/AG13-1</f>
        <v>0.1858789625360231</v>
      </c>
      <c r="AL14" s="21">
        <f t="shared" ref="AL14" si="110">+AL13/AH13-1</f>
        <v>0.16384976525821604</v>
      </c>
      <c r="AM14" s="22">
        <f t="shared" ref="AM14" si="111">+AM13/AI13-1</f>
        <v>0.15167216203485623</v>
      </c>
      <c r="AN14" s="20">
        <f t="shared" ref="AN14" si="112">+AN13/AJ13-1</f>
        <v>0.10118265440210239</v>
      </c>
      <c r="AO14" s="21">
        <f t="shared" ref="AO14" si="113">+AO13/AK13-1</f>
        <v>3.240178209801492E-3</v>
      </c>
      <c r="AP14" s="21">
        <f t="shared" ref="AP14" si="114">+AP13/AL13-1</f>
        <v>-1.2101653892698683E-2</v>
      </c>
      <c r="AQ14" s="22">
        <f t="shared" ref="AQ14" si="115">+AQ13/AM13-1</f>
        <v>2.8629856850714841E-3</v>
      </c>
      <c r="AR14" s="20">
        <f t="shared" ref="AR14" si="116">+AR13/AN13-1</f>
        <v>-2.7844073190135266E-2</v>
      </c>
      <c r="AS14" s="21">
        <f t="shared" ref="AS14" si="117">+AS13/AO13-1</f>
        <v>2.8259991925716488E-3</v>
      </c>
      <c r="AT14" s="21">
        <f t="shared" ref="AT14" si="118">+AT13/AP13-1</f>
        <v>-1.6741527153940394E-2</v>
      </c>
      <c r="AU14" s="22">
        <f>+AU13/AQ13-1</f>
        <v>-3.9151712887438794E-2</v>
      </c>
      <c r="AV14" s="20"/>
      <c r="AW14" s="21"/>
      <c r="AX14" s="21"/>
      <c r="AY14" s="22"/>
    </row>
    <row r="15" spans="3:51" x14ac:dyDescent="0.3">
      <c r="D15" s="7"/>
      <c r="E15" s="8"/>
      <c r="F15" s="8"/>
      <c r="G15" s="9"/>
      <c r="H15" s="7"/>
      <c r="I15" s="8"/>
      <c r="J15" s="8"/>
      <c r="K15" s="9"/>
      <c r="L15" s="7"/>
      <c r="M15" s="8"/>
      <c r="N15" s="8"/>
      <c r="O15" s="9"/>
      <c r="P15" s="7"/>
      <c r="Q15" s="8"/>
      <c r="R15" s="8"/>
      <c r="S15" s="9"/>
      <c r="T15" s="7"/>
      <c r="U15" s="8"/>
      <c r="V15" s="8"/>
      <c r="W15" s="9"/>
      <c r="X15" s="7"/>
      <c r="Y15" s="8"/>
      <c r="Z15" s="8"/>
      <c r="AA15" s="9"/>
      <c r="AB15" s="7"/>
      <c r="AC15" s="8"/>
      <c r="AD15" s="8"/>
      <c r="AE15" s="9"/>
      <c r="AF15" s="7"/>
      <c r="AG15" s="8"/>
      <c r="AH15" s="8"/>
      <c r="AI15" s="9"/>
      <c r="AJ15" s="7"/>
      <c r="AK15" s="8"/>
      <c r="AL15" s="8"/>
      <c r="AM15" s="9"/>
      <c r="AN15" s="7"/>
      <c r="AO15" s="8"/>
      <c r="AP15" s="8"/>
      <c r="AQ15" s="9"/>
      <c r="AR15" s="7"/>
      <c r="AS15" s="8"/>
      <c r="AT15" s="8"/>
      <c r="AU15" s="9"/>
      <c r="AV15" s="7"/>
      <c r="AW15" s="8"/>
      <c r="AX15" s="8"/>
      <c r="AY15" s="9"/>
    </row>
    <row r="16" spans="3:51" x14ac:dyDescent="0.3">
      <c r="D16" s="7"/>
      <c r="E16" s="8"/>
      <c r="F16" s="8"/>
      <c r="G16" s="9"/>
      <c r="H16" s="7"/>
      <c r="I16" s="8"/>
      <c r="J16" s="8"/>
      <c r="K16" s="9"/>
      <c r="L16" s="7"/>
      <c r="M16" s="8"/>
      <c r="N16" s="8"/>
      <c r="O16" s="9"/>
      <c r="P16" s="7"/>
      <c r="Q16" s="8"/>
      <c r="R16" s="8"/>
      <c r="S16" s="9"/>
      <c r="T16" s="7"/>
      <c r="U16" s="8"/>
      <c r="V16" s="8"/>
      <c r="W16" s="9"/>
      <c r="X16" s="7"/>
      <c r="Y16" s="8"/>
      <c r="Z16" s="8"/>
      <c r="AA16" s="9"/>
      <c r="AB16" s="7"/>
      <c r="AC16" s="8"/>
      <c r="AD16" s="8"/>
      <c r="AE16" s="9"/>
      <c r="AF16" s="7"/>
      <c r="AG16" s="8"/>
      <c r="AH16" s="8"/>
      <c r="AI16" s="9"/>
      <c r="AJ16" s="7"/>
      <c r="AK16" s="8"/>
      <c r="AL16" s="8"/>
      <c r="AM16" s="9"/>
      <c r="AN16" s="7"/>
      <c r="AO16" s="8"/>
      <c r="AP16" s="8"/>
      <c r="AQ16" s="9"/>
      <c r="AR16" s="7"/>
      <c r="AS16" s="8"/>
      <c r="AT16" s="8"/>
      <c r="AU16" s="9"/>
      <c r="AV16" s="7"/>
      <c r="AW16" s="8"/>
      <c r="AX16" s="8"/>
      <c r="AY16" s="9"/>
    </row>
    <row r="17" spans="3:51" x14ac:dyDescent="0.3">
      <c r="D17" s="7"/>
      <c r="E17" s="8"/>
      <c r="F17" s="8"/>
      <c r="G17" s="9"/>
      <c r="H17" s="7"/>
      <c r="I17" s="8"/>
      <c r="J17" s="8"/>
      <c r="K17" s="9"/>
      <c r="L17" s="7"/>
      <c r="M17" s="8"/>
      <c r="N17" s="8"/>
      <c r="O17" s="9"/>
      <c r="P17" s="7"/>
      <c r="Q17" s="8"/>
      <c r="R17" s="8"/>
      <c r="S17" s="9"/>
      <c r="T17" s="7"/>
      <c r="U17" s="8"/>
      <c r="V17" s="8"/>
      <c r="W17" s="9"/>
      <c r="X17" s="7"/>
      <c r="Y17" s="8"/>
      <c r="Z17" s="8"/>
      <c r="AA17" s="9"/>
      <c r="AB17" s="7"/>
      <c r="AC17" s="8"/>
      <c r="AD17" s="8"/>
      <c r="AE17" s="9"/>
      <c r="AF17" s="7"/>
      <c r="AG17" s="8"/>
      <c r="AH17" s="8"/>
      <c r="AI17" s="9"/>
      <c r="AJ17" s="7"/>
      <c r="AK17" s="8"/>
      <c r="AL17" s="8"/>
      <c r="AM17" s="9"/>
      <c r="AN17" s="7"/>
      <c r="AO17" s="8"/>
      <c r="AP17" s="8"/>
      <c r="AQ17" s="9"/>
      <c r="AR17" s="7"/>
      <c r="AS17" s="8"/>
      <c r="AT17" s="8"/>
      <c r="AU17" s="9"/>
      <c r="AV17" s="7"/>
      <c r="AW17" s="8"/>
      <c r="AX17" s="8"/>
      <c r="AY17" s="9"/>
    </row>
    <row r="18" spans="3:51" ht="20" x14ac:dyDescent="0.4">
      <c r="C18" s="4" t="s">
        <v>50</v>
      </c>
      <c r="D18" s="7"/>
      <c r="E18" s="8"/>
      <c r="F18" s="8"/>
      <c r="G18" s="9"/>
      <c r="H18" s="7"/>
      <c r="I18" s="8"/>
      <c r="J18" s="8"/>
      <c r="K18" s="9"/>
      <c r="L18" s="7"/>
      <c r="M18" s="8"/>
      <c r="N18" s="8"/>
      <c r="O18" s="9"/>
      <c r="P18" s="7"/>
      <c r="Q18" s="8"/>
      <c r="R18" s="8"/>
      <c r="S18" s="9"/>
      <c r="T18" s="7"/>
      <c r="U18" s="8"/>
      <c r="V18" s="8"/>
      <c r="W18" s="9"/>
      <c r="X18" s="7"/>
      <c r="Y18" s="8"/>
      <c r="Z18" s="8"/>
      <c r="AA18" s="9"/>
      <c r="AB18" s="7"/>
      <c r="AC18" s="8"/>
      <c r="AD18" s="8"/>
      <c r="AE18" s="9"/>
      <c r="AF18" s="7"/>
      <c r="AG18" s="8"/>
      <c r="AH18" s="8"/>
      <c r="AI18" s="9"/>
      <c r="AJ18" s="7"/>
      <c r="AK18" s="8"/>
      <c r="AL18" s="8"/>
      <c r="AM18" s="9"/>
      <c r="AN18" s="7"/>
      <c r="AO18" s="8"/>
      <c r="AP18" s="8"/>
      <c r="AQ18" s="9"/>
      <c r="AR18" s="7"/>
      <c r="AS18" s="8"/>
      <c r="AT18" s="8"/>
      <c r="AU18" s="9"/>
      <c r="AV18" s="7"/>
      <c r="AW18" s="8"/>
      <c r="AX18" s="8"/>
      <c r="AY18" s="9"/>
    </row>
    <row r="19" spans="3:51" x14ac:dyDescent="0.3">
      <c r="C19" s="1" t="s">
        <v>0</v>
      </c>
      <c r="D19" s="10">
        <v>500</v>
      </c>
      <c r="E19" s="11">
        <v>493</v>
      </c>
      <c r="F19" s="11">
        <v>502</v>
      </c>
      <c r="G19" s="12">
        <f>4*502-SUM(D19:F19)</f>
        <v>513</v>
      </c>
      <c r="H19" s="10">
        <v>506</v>
      </c>
      <c r="I19" s="11">
        <v>514</v>
      </c>
      <c r="J19" s="11">
        <v>532</v>
      </c>
      <c r="K19" s="12">
        <f>4*531-SUM(H19:J19)</f>
        <v>572</v>
      </c>
      <c r="L19" s="10">
        <v>561</v>
      </c>
      <c r="M19" s="11">
        <v>562</v>
      </c>
      <c r="N19" s="11">
        <v>569</v>
      </c>
      <c r="O19" s="12">
        <f>4*579-SUM(L19:N19)</f>
        <v>624</v>
      </c>
      <c r="P19" s="10">
        <v>595</v>
      </c>
      <c r="Q19" s="11">
        <v>605</v>
      </c>
      <c r="R19" s="11">
        <v>614</v>
      </c>
      <c r="S19" s="12">
        <f>4*605-SUM(P19:R19)</f>
        <v>606</v>
      </c>
      <c r="T19" s="10">
        <v>598</v>
      </c>
      <c r="U19" s="11">
        <v>611</v>
      </c>
      <c r="V19" s="11">
        <v>612</v>
      </c>
      <c r="W19" s="12">
        <f>4*615-SUM(T19:V19)</f>
        <v>639</v>
      </c>
      <c r="X19" s="10">
        <v>656</v>
      </c>
      <c r="Y19" s="11">
        <v>698</v>
      </c>
      <c r="Z19" s="11">
        <v>708</v>
      </c>
      <c r="AA19" s="12">
        <f>4*679-SUM(X19:Z19)</f>
        <v>654</v>
      </c>
      <c r="AB19" s="10">
        <v>604</v>
      </c>
      <c r="AC19" s="11">
        <v>600</v>
      </c>
      <c r="AD19" s="11">
        <v>608</v>
      </c>
      <c r="AE19" s="12">
        <f>4*605-SUM(AB19:AD19)</f>
        <v>608</v>
      </c>
      <c r="AF19" s="10">
        <v>605</v>
      </c>
      <c r="AG19" s="11">
        <v>616</v>
      </c>
      <c r="AH19" s="11">
        <v>609</v>
      </c>
      <c r="AI19" s="12">
        <f>4*614-SUM(AF19:AH19)</f>
        <v>626</v>
      </c>
      <c r="AJ19" s="10">
        <v>649</v>
      </c>
      <c r="AK19" s="11">
        <v>674</v>
      </c>
      <c r="AL19" s="11">
        <v>664</v>
      </c>
      <c r="AM19" s="12">
        <f>4*663-SUM(AJ19:AL19)</f>
        <v>665</v>
      </c>
      <c r="AN19" s="10">
        <v>671</v>
      </c>
      <c r="AO19" s="11">
        <v>671</v>
      </c>
      <c r="AP19" s="11">
        <v>665</v>
      </c>
      <c r="AQ19" s="12">
        <f>4*667-SUM(AN19:AP19)</f>
        <v>661</v>
      </c>
      <c r="AR19" s="10">
        <v>669</v>
      </c>
      <c r="AS19" s="11">
        <v>667</v>
      </c>
      <c r="AT19" s="11">
        <v>663</v>
      </c>
      <c r="AU19" s="12">
        <f>4*667-SUM(AR19:AT19)</f>
        <v>669</v>
      </c>
      <c r="AV19" s="10">
        <v>673</v>
      </c>
      <c r="AW19" s="11">
        <v>666</v>
      </c>
      <c r="AX19" s="11">
        <v>664</v>
      </c>
      <c r="AY19" s="12">
        <f>4*666-SUM(AV19:AX19)</f>
        <v>661</v>
      </c>
    </row>
    <row r="20" spans="3:51" s="6" customFormat="1" ht="14.5" x14ac:dyDescent="0.35">
      <c r="C20" s="2" t="s">
        <v>1</v>
      </c>
      <c r="D20" s="13"/>
      <c r="E20" s="14"/>
      <c r="F20" s="14"/>
      <c r="G20" s="15"/>
      <c r="H20" s="20">
        <f t="shared" ref="H20" si="119">+H19/D19-1</f>
        <v>1.2000000000000011E-2</v>
      </c>
      <c r="I20" s="21">
        <f t="shared" ref="I20" si="120">+I19/E19-1</f>
        <v>4.2596348884381241E-2</v>
      </c>
      <c r="J20" s="21">
        <f t="shared" ref="J20" si="121">+J19/F19-1</f>
        <v>5.9760956175298752E-2</v>
      </c>
      <c r="K20" s="22">
        <f t="shared" ref="K20" si="122">+K19/G19-1</f>
        <v>0.1150097465886939</v>
      </c>
      <c r="L20" s="20">
        <f t="shared" ref="L20" si="123">+L19/H19-1</f>
        <v>0.10869565217391308</v>
      </c>
      <c r="M20" s="21">
        <f t="shared" ref="M20" si="124">+M19/I19-1</f>
        <v>9.3385214007781991E-2</v>
      </c>
      <c r="N20" s="21">
        <f t="shared" ref="N20" si="125">+N19/J19-1</f>
        <v>6.9548872180451138E-2</v>
      </c>
      <c r="O20" s="22">
        <f t="shared" ref="O20" si="126">+O19/K19-1</f>
        <v>9.0909090909090828E-2</v>
      </c>
      <c r="P20" s="20">
        <f t="shared" ref="P20" si="127">+P19/L19-1</f>
        <v>6.0606060606060552E-2</v>
      </c>
      <c r="Q20" s="21">
        <f t="shared" ref="Q20" si="128">+Q19/M19-1</f>
        <v>7.6512455516014155E-2</v>
      </c>
      <c r="R20" s="21">
        <f t="shared" ref="R20" si="129">+R19/N19-1</f>
        <v>7.9086115992970107E-2</v>
      </c>
      <c r="S20" s="22">
        <f t="shared" ref="S20" si="130">+S19/O19-1</f>
        <v>-2.8846153846153855E-2</v>
      </c>
      <c r="T20" s="20">
        <f t="shared" ref="T20" si="131">+T19/P19-1</f>
        <v>5.0420168067226712E-3</v>
      </c>
      <c r="U20" s="21">
        <f t="shared" ref="U20" si="132">+U19/Q19-1</f>
        <v>9.917355371900749E-3</v>
      </c>
      <c r="V20" s="21">
        <f t="shared" ref="V20" si="133">+V19/R19-1</f>
        <v>-3.2573289902280145E-3</v>
      </c>
      <c r="W20" s="22">
        <f t="shared" ref="W20" si="134">+W19/S19-1</f>
        <v>5.4455445544554504E-2</v>
      </c>
      <c r="X20" s="20">
        <f t="shared" ref="X20" si="135">+X19/T19-1</f>
        <v>9.6989966555183882E-2</v>
      </c>
      <c r="Y20" s="21">
        <f t="shared" ref="Y20" si="136">+Y19/U19-1</f>
        <v>0.14238952536824878</v>
      </c>
      <c r="Z20" s="21">
        <f t="shared" ref="Z20" si="137">+Z19/V19-1</f>
        <v>0.15686274509803932</v>
      </c>
      <c r="AA20" s="22">
        <f t="shared" ref="AA20" si="138">+AA19/W19-1</f>
        <v>2.3474178403755763E-2</v>
      </c>
      <c r="AB20" s="20">
        <f t="shared" ref="AB20" si="139">+AB19/X19-1</f>
        <v>-7.9268292682926789E-2</v>
      </c>
      <c r="AC20" s="21">
        <f t="shared" ref="AC20" si="140">+AC19/Y19-1</f>
        <v>-0.14040114613180521</v>
      </c>
      <c r="AD20" s="21">
        <f t="shared" ref="AD20" si="141">+AD19/Z19-1</f>
        <v>-0.14124293785310738</v>
      </c>
      <c r="AE20" s="22">
        <f t="shared" ref="AE20" si="142">+AE19/AA19-1</f>
        <v>-7.0336391437308854E-2</v>
      </c>
      <c r="AF20" s="20">
        <f t="shared" ref="AF20" si="143">+AF19/AB19-1</f>
        <v>1.6556291390728006E-3</v>
      </c>
      <c r="AG20" s="21">
        <f t="shared" ref="AG20" si="144">+AG19/AC19-1</f>
        <v>2.6666666666666616E-2</v>
      </c>
      <c r="AH20" s="21">
        <f t="shared" ref="AH20" si="145">+AH19/AD19-1</f>
        <v>1.6447368421053099E-3</v>
      </c>
      <c r="AI20" s="22">
        <f t="shared" ref="AI20" si="146">+AI19/AE19-1</f>
        <v>2.960526315789469E-2</v>
      </c>
      <c r="AJ20" s="20">
        <f t="shared" ref="AJ20" si="147">+AJ19/AF19-1</f>
        <v>7.2727272727272751E-2</v>
      </c>
      <c r="AK20" s="21">
        <f t="shared" ref="AK20" si="148">+AK19/AG19-1</f>
        <v>9.4155844155844104E-2</v>
      </c>
      <c r="AL20" s="21">
        <f t="shared" ref="AL20" si="149">+AL19/AH19-1</f>
        <v>9.0311986863711002E-2</v>
      </c>
      <c r="AM20" s="22">
        <f t="shared" ref="AM20" si="150">+AM19/AI19-1</f>
        <v>6.2300319488817868E-2</v>
      </c>
      <c r="AN20" s="20">
        <f t="shared" ref="AN20" si="151">+AN19/AJ19-1</f>
        <v>3.3898305084745672E-2</v>
      </c>
      <c r="AO20" s="21">
        <f t="shared" ref="AO20" si="152">+AO19/AK19-1</f>
        <v>-4.4510385756676429E-3</v>
      </c>
      <c r="AP20" s="21">
        <f t="shared" ref="AP20" si="153">+AP19/AL19-1</f>
        <v>1.5060240963855609E-3</v>
      </c>
      <c r="AQ20" s="22">
        <f t="shared" ref="AQ20" si="154">+AQ19/AM19-1</f>
        <v>-6.0150375939849177E-3</v>
      </c>
      <c r="AR20" s="20">
        <f t="shared" ref="AR20" si="155">+AR19/AN19-1</f>
        <v>-2.9806259314456574E-3</v>
      </c>
      <c r="AS20" s="21">
        <f t="shared" ref="AS20" si="156">+AS19/AO19-1</f>
        <v>-5.9612518628912037E-3</v>
      </c>
      <c r="AT20" s="21">
        <f t="shared" ref="AT20" si="157">+AT19/AP19-1</f>
        <v>-3.0075187969924588E-3</v>
      </c>
      <c r="AU20" s="22">
        <f>+AU19/AQ19-1</f>
        <v>1.2102874432677657E-2</v>
      </c>
      <c r="AV20" s="20"/>
      <c r="AW20" s="21"/>
      <c r="AX20" s="21"/>
      <c r="AY20" s="22"/>
    </row>
    <row r="21" spans="3:51" x14ac:dyDescent="0.3">
      <c r="C21" s="1" t="s">
        <v>2</v>
      </c>
      <c r="D21" s="10"/>
      <c r="E21" s="11"/>
      <c r="F21" s="11"/>
      <c r="G21" s="12"/>
      <c r="H21" s="10"/>
      <c r="I21" s="11"/>
      <c r="J21" s="11"/>
      <c r="K21" s="12"/>
      <c r="L21" s="10"/>
      <c r="M21" s="11"/>
      <c r="N21" s="11"/>
      <c r="O21" s="12"/>
      <c r="P21" s="10"/>
      <c r="Q21" s="11"/>
      <c r="R21" s="11"/>
      <c r="S21" s="12"/>
      <c r="T21" s="10"/>
      <c r="U21" s="11"/>
      <c r="V21" s="11"/>
      <c r="W21" s="12"/>
      <c r="X21" s="10"/>
      <c r="Y21" s="11"/>
      <c r="Z21" s="11"/>
      <c r="AA21" s="12"/>
      <c r="AB21" s="10"/>
      <c r="AC21" s="11"/>
      <c r="AD21" s="11"/>
      <c r="AE21" s="12"/>
      <c r="AF21" s="10"/>
      <c r="AG21" s="11"/>
      <c r="AH21" s="11"/>
      <c r="AI21" s="12"/>
      <c r="AJ21" s="10"/>
      <c r="AK21" s="11"/>
      <c r="AL21" s="11"/>
      <c r="AM21" s="12"/>
      <c r="AN21" s="10"/>
      <c r="AO21" s="11"/>
      <c r="AP21" s="11"/>
      <c r="AQ21" s="12"/>
      <c r="AR21" s="10"/>
      <c r="AS21" s="11"/>
      <c r="AT21" s="11"/>
      <c r="AU21" s="12"/>
      <c r="AV21" s="10"/>
      <c r="AW21" s="11"/>
      <c r="AX21" s="11"/>
      <c r="AY21" s="12"/>
    </row>
    <row r="22" spans="3:51" x14ac:dyDescent="0.3">
      <c r="C22" s="2" t="s">
        <v>1</v>
      </c>
      <c r="D22" s="10"/>
      <c r="E22" s="11"/>
      <c r="F22" s="11"/>
      <c r="G22" s="12"/>
      <c r="H22" s="10"/>
      <c r="I22" s="11"/>
      <c r="J22" s="11"/>
      <c r="K22" s="12"/>
      <c r="L22" s="10"/>
      <c r="M22" s="11"/>
      <c r="N22" s="11"/>
      <c r="O22" s="12"/>
      <c r="P22" s="10"/>
      <c r="Q22" s="11"/>
      <c r="R22" s="11"/>
      <c r="S22" s="12"/>
      <c r="T22" s="10"/>
      <c r="U22" s="11"/>
      <c r="V22" s="11"/>
      <c r="W22" s="12"/>
      <c r="X22" s="10"/>
      <c r="Y22" s="11"/>
      <c r="Z22" s="11"/>
      <c r="AA22" s="12"/>
      <c r="AB22" s="10"/>
      <c r="AC22" s="11"/>
      <c r="AD22" s="11"/>
      <c r="AE22" s="12"/>
      <c r="AF22" s="10"/>
      <c r="AG22" s="11"/>
      <c r="AH22" s="11"/>
      <c r="AI22" s="12"/>
      <c r="AJ22" s="10"/>
      <c r="AK22" s="11"/>
      <c r="AL22" s="11"/>
      <c r="AM22" s="12"/>
      <c r="AN22" s="10"/>
      <c r="AO22" s="11"/>
      <c r="AP22" s="11"/>
      <c r="AQ22" s="12"/>
      <c r="AR22" s="10"/>
      <c r="AS22" s="11"/>
      <c r="AT22" s="11"/>
      <c r="AU22" s="12"/>
      <c r="AV22" s="10"/>
      <c r="AW22" s="11"/>
      <c r="AX22" s="11"/>
      <c r="AY22" s="12"/>
    </row>
    <row r="23" spans="3:51" ht="3" customHeight="1" x14ac:dyDescent="0.3">
      <c r="D23" s="10"/>
      <c r="E23" s="11"/>
      <c r="F23" s="11"/>
      <c r="G23" s="12"/>
      <c r="H23" s="10"/>
      <c r="I23" s="11"/>
      <c r="J23" s="11"/>
      <c r="K23" s="12"/>
      <c r="L23" s="10"/>
      <c r="M23" s="11"/>
      <c r="N23" s="11"/>
      <c r="O23" s="12"/>
      <c r="P23" s="10"/>
      <c r="Q23" s="11"/>
      <c r="R23" s="11"/>
      <c r="S23" s="12"/>
      <c r="T23" s="10"/>
      <c r="U23" s="11"/>
      <c r="V23" s="11"/>
      <c r="W23" s="12"/>
      <c r="X23" s="10"/>
      <c r="Y23" s="11"/>
      <c r="Z23" s="11"/>
      <c r="AA23" s="12"/>
      <c r="AB23" s="10"/>
      <c r="AC23" s="11"/>
      <c r="AD23" s="11"/>
      <c r="AE23" s="12"/>
      <c r="AF23" s="10"/>
      <c r="AG23" s="11"/>
      <c r="AH23" s="11"/>
      <c r="AI23" s="12"/>
      <c r="AJ23" s="10"/>
      <c r="AK23" s="11"/>
      <c r="AL23" s="11"/>
      <c r="AM23" s="12"/>
      <c r="AN23" s="10"/>
      <c r="AO23" s="11"/>
      <c r="AP23" s="11"/>
      <c r="AQ23" s="12"/>
      <c r="AR23" s="10"/>
      <c r="AS23" s="11"/>
      <c r="AT23" s="11"/>
      <c r="AU23" s="12"/>
      <c r="AV23" s="10"/>
      <c r="AW23" s="11"/>
      <c r="AX23" s="11"/>
      <c r="AY23" s="12"/>
    </row>
    <row r="24" spans="3:51" x14ac:dyDescent="0.3">
      <c r="C24" s="1" t="s">
        <v>12</v>
      </c>
      <c r="D24" s="10">
        <v>895</v>
      </c>
      <c r="E24" s="11">
        <v>927</v>
      </c>
      <c r="F24" s="11">
        <v>915</v>
      </c>
      <c r="G24" s="12">
        <f>4*929-SUM(D24:F24)</f>
        <v>979</v>
      </c>
      <c r="H24" s="10">
        <v>979</v>
      </c>
      <c r="I24" s="11">
        <v>992</v>
      </c>
      <c r="J24" s="11">
        <v>1045</v>
      </c>
      <c r="K24" s="12">
        <f>4*1022-SUM(H24:J24)</f>
        <v>1072</v>
      </c>
      <c r="L24" s="10">
        <v>1111</v>
      </c>
      <c r="M24" s="11">
        <v>1314</v>
      </c>
      <c r="N24" s="11">
        <v>1209</v>
      </c>
      <c r="O24" s="12">
        <f>4*1219-SUM(L24:N24)</f>
        <v>1242</v>
      </c>
      <c r="P24" s="10">
        <v>1282</v>
      </c>
      <c r="Q24" s="11">
        <v>1304</v>
      </c>
      <c r="R24" s="11">
        <v>1362</v>
      </c>
      <c r="S24" s="12">
        <f>4*1324-SUM(P24:R24)</f>
        <v>1348</v>
      </c>
      <c r="T24" s="10">
        <v>1326</v>
      </c>
      <c r="U24" s="11">
        <v>1332</v>
      </c>
      <c r="V24" s="11">
        <v>1353</v>
      </c>
      <c r="W24" s="12">
        <f>4*1363-SUM(T24:V24)</f>
        <v>1441</v>
      </c>
      <c r="X24" s="10">
        <v>1551</v>
      </c>
      <c r="Y24" s="11">
        <v>1729</v>
      </c>
      <c r="Z24" s="11">
        <v>1941</v>
      </c>
      <c r="AA24" s="12">
        <f>4*1762-SUM(X24:Z24)</f>
        <v>1827</v>
      </c>
      <c r="AB24" s="10">
        <v>1581</v>
      </c>
      <c r="AC24" s="11">
        <v>1538</v>
      </c>
      <c r="AD24" s="11">
        <v>1627</v>
      </c>
      <c r="AE24" s="12">
        <f>4*1596-SUM(AB24:AD24)</f>
        <v>1638</v>
      </c>
      <c r="AF24" s="10">
        <v>1726</v>
      </c>
      <c r="AG24" s="11">
        <v>1765</v>
      </c>
      <c r="AH24" s="11">
        <v>1762</v>
      </c>
      <c r="AI24" s="12">
        <f>4*1747-SUM(AF24:AH24)</f>
        <v>1735</v>
      </c>
      <c r="AJ24" s="10">
        <v>2009</v>
      </c>
      <c r="AK24" s="11">
        <v>2217</v>
      </c>
      <c r="AL24" s="11">
        <v>2148</v>
      </c>
      <c r="AM24" s="12">
        <f>4*2135-SUM(AJ24:AL24)</f>
        <v>2166</v>
      </c>
      <c r="AN24" s="10">
        <v>2134</v>
      </c>
      <c r="AO24" s="11">
        <v>2126</v>
      </c>
      <c r="AP24" s="11">
        <v>2092</v>
      </c>
      <c r="AQ24" s="12">
        <f>4*2036-SUM(AN24:AP24)</f>
        <v>1792</v>
      </c>
      <c r="AR24" s="10">
        <v>1850</v>
      </c>
      <c r="AS24" s="11">
        <v>1833</v>
      </c>
      <c r="AT24" s="11">
        <v>1885</v>
      </c>
      <c r="AU24" s="12">
        <f>4*1888-SUM(AR24:AT24)</f>
        <v>1984</v>
      </c>
      <c r="AV24" s="10">
        <v>1805</v>
      </c>
      <c r="AW24" s="11">
        <v>1916</v>
      </c>
      <c r="AX24" s="11">
        <v>1885</v>
      </c>
      <c r="AY24" s="12">
        <f>4*1855-SUM(AV24:AX24)</f>
        <v>1814</v>
      </c>
    </row>
    <row r="25" spans="3:51" s="6" customFormat="1" ht="14.5" x14ac:dyDescent="0.35">
      <c r="C25" s="2" t="s">
        <v>1</v>
      </c>
      <c r="D25" s="13"/>
      <c r="E25" s="14"/>
      <c r="F25" s="14"/>
      <c r="G25" s="15"/>
      <c r="H25" s="20">
        <f t="shared" ref="H25" si="158">+H24/D24-1</f>
        <v>9.3854748603351856E-2</v>
      </c>
      <c r="I25" s="21">
        <f t="shared" ref="I25" si="159">+I24/E24-1</f>
        <v>7.0118662351672079E-2</v>
      </c>
      <c r="J25" s="21">
        <f t="shared" ref="J25" si="160">+J24/F24-1</f>
        <v>0.14207650273224037</v>
      </c>
      <c r="K25" s="22">
        <f t="shared" ref="K25" si="161">+K24/G24-1</f>
        <v>9.4994892747701787E-2</v>
      </c>
      <c r="L25" s="20">
        <f t="shared" ref="L25" si="162">+L24/H24-1</f>
        <v>0.13483146067415741</v>
      </c>
      <c r="M25" s="21">
        <f t="shared" ref="M25" si="163">+M24/I24-1</f>
        <v>0.32459677419354849</v>
      </c>
      <c r="N25" s="21">
        <f t="shared" ref="N25" si="164">+N24/J24-1</f>
        <v>0.15693779904306226</v>
      </c>
      <c r="O25" s="22">
        <f t="shared" ref="O25" si="165">+O24/K24-1</f>
        <v>0.15858208955223874</v>
      </c>
      <c r="P25" s="20">
        <f t="shared" ref="P25" si="166">+P24/L24-1</f>
        <v>0.15391539153915401</v>
      </c>
      <c r="Q25" s="21">
        <f t="shared" ref="Q25" si="167">+Q24/M24-1</f>
        <v>-7.6103500761035558E-3</v>
      </c>
      <c r="R25" s="21">
        <f t="shared" ref="R25" si="168">+R24/N24-1</f>
        <v>0.12655086848635233</v>
      </c>
      <c r="S25" s="22">
        <f t="shared" ref="S25" si="169">+S24/O24-1</f>
        <v>8.5346215780998325E-2</v>
      </c>
      <c r="T25" s="20">
        <f t="shared" ref="T25" si="170">+T24/P24-1</f>
        <v>3.4321372854914101E-2</v>
      </c>
      <c r="U25" s="21">
        <f t="shared" ref="U25" si="171">+U24/Q24-1</f>
        <v>2.1472392638036908E-2</v>
      </c>
      <c r="V25" s="21">
        <f t="shared" ref="V25" si="172">+V24/R24-1</f>
        <v>-6.6079295154185536E-3</v>
      </c>
      <c r="W25" s="22">
        <f t="shared" ref="W25" si="173">+W24/S24-1</f>
        <v>6.8991097922848743E-2</v>
      </c>
      <c r="X25" s="20">
        <f t="shared" ref="X25" si="174">+X24/T24-1</f>
        <v>0.1696832579185521</v>
      </c>
      <c r="Y25" s="21">
        <f t="shared" ref="Y25" si="175">+Y24/U24-1</f>
        <v>0.29804804804804808</v>
      </c>
      <c r="Z25" s="21">
        <f t="shared" ref="Z25" si="176">+Z24/V24-1</f>
        <v>0.43458980044345896</v>
      </c>
      <c r="AA25" s="22">
        <f t="shared" ref="AA25" si="177">+AA24/W24-1</f>
        <v>0.26786953504510747</v>
      </c>
      <c r="AB25" s="20">
        <f t="shared" ref="AB25" si="178">+AB24/X24-1</f>
        <v>1.934235976789167E-2</v>
      </c>
      <c r="AC25" s="21">
        <f t="shared" ref="AC25" si="179">+AC24/Y24-1</f>
        <v>-0.11046847888953149</v>
      </c>
      <c r="AD25" s="21">
        <f t="shared" ref="AD25" si="180">+AD24/Z24-1</f>
        <v>-0.16177228232869656</v>
      </c>
      <c r="AE25" s="22">
        <f t="shared" ref="AE25" si="181">+AE24/AA24-1</f>
        <v>-0.10344827586206895</v>
      </c>
      <c r="AF25" s="20">
        <f t="shared" ref="AF25" si="182">+AF24/AB24-1</f>
        <v>9.171410499683752E-2</v>
      </c>
      <c r="AG25" s="21">
        <f t="shared" ref="AG25" si="183">+AG24/AC24-1</f>
        <v>0.14759427828348515</v>
      </c>
      <c r="AH25" s="21">
        <f t="shared" ref="AH25" si="184">+AH24/AD24-1</f>
        <v>8.2974800245851243E-2</v>
      </c>
      <c r="AI25" s="22">
        <f t="shared" ref="AI25" si="185">+AI24/AE24-1</f>
        <v>5.921855921855923E-2</v>
      </c>
      <c r="AJ25" s="20">
        <f t="shared" ref="AJ25" si="186">+AJ24/AF24-1</f>
        <v>0.16396292004634994</v>
      </c>
      <c r="AK25" s="21">
        <f t="shared" ref="AK25" si="187">+AK24/AG24-1</f>
        <v>0.25609065155807365</v>
      </c>
      <c r="AL25" s="21">
        <f t="shared" ref="AL25" si="188">+AL24/AH24-1</f>
        <v>0.21906923950056756</v>
      </c>
      <c r="AM25" s="22">
        <f t="shared" ref="AM25" si="189">+AM24/AI24-1</f>
        <v>0.24841498559077801</v>
      </c>
      <c r="AN25" s="20">
        <f t="shared" ref="AN25" si="190">+AN24/AJ24-1</f>
        <v>6.2220009955201494E-2</v>
      </c>
      <c r="AO25" s="21">
        <f t="shared" ref="AO25" si="191">+AO24/AK24-1</f>
        <v>-4.1046459179070793E-2</v>
      </c>
      <c r="AP25" s="21">
        <f t="shared" ref="AP25" si="192">+AP24/AL24-1</f>
        <v>-2.6070763500931071E-2</v>
      </c>
      <c r="AQ25" s="22">
        <f t="shared" ref="AQ25" si="193">+AQ24/AM24-1</f>
        <v>-0.17266851338873501</v>
      </c>
      <c r="AR25" s="20">
        <f t="shared" ref="AR25" si="194">+AR24/AN24-1</f>
        <v>-0.13308341143392688</v>
      </c>
      <c r="AS25" s="21">
        <f t="shared" ref="AS25" si="195">+AS24/AO24-1</f>
        <v>-0.13781749764816553</v>
      </c>
      <c r="AT25" s="21">
        <f t="shared" ref="AT25" si="196">+AT24/AP24-1</f>
        <v>-9.8948374760994273E-2</v>
      </c>
      <c r="AU25" s="22">
        <f>+AU24/AQ24-1</f>
        <v>0.10714285714285721</v>
      </c>
      <c r="AV25" s="20"/>
      <c r="AW25" s="21"/>
      <c r="AX25" s="21"/>
      <c r="AY25" s="22"/>
    </row>
    <row r="26" spans="3:51" x14ac:dyDescent="0.3">
      <c r="C26" s="1" t="s">
        <v>13</v>
      </c>
      <c r="D26" s="10"/>
      <c r="E26" s="11"/>
      <c r="F26" s="11"/>
      <c r="G26" s="12"/>
      <c r="H26" s="10"/>
      <c r="I26" s="11"/>
      <c r="J26" s="11"/>
      <c r="K26" s="12"/>
      <c r="L26" s="10"/>
      <c r="M26" s="11"/>
      <c r="N26" s="11"/>
      <c r="O26" s="12"/>
      <c r="P26" s="10"/>
      <c r="Q26" s="11"/>
      <c r="R26" s="11"/>
      <c r="S26" s="12"/>
      <c r="T26" s="10"/>
      <c r="U26" s="11"/>
      <c r="V26" s="11"/>
      <c r="W26" s="12"/>
      <c r="X26" s="10"/>
      <c r="Y26" s="11"/>
      <c r="Z26" s="11"/>
      <c r="AA26" s="12"/>
      <c r="AB26" s="10"/>
      <c r="AC26" s="11"/>
      <c r="AD26" s="11"/>
      <c r="AE26" s="12"/>
      <c r="AF26" s="10"/>
      <c r="AG26" s="11"/>
      <c r="AH26" s="11"/>
      <c r="AI26" s="12"/>
      <c r="AJ26" s="10"/>
      <c r="AK26" s="11"/>
      <c r="AL26" s="11"/>
      <c r="AM26" s="12"/>
      <c r="AN26" s="10"/>
      <c r="AO26" s="11"/>
      <c r="AP26" s="11"/>
      <c r="AQ26" s="12"/>
      <c r="AR26" s="10"/>
      <c r="AS26" s="11"/>
      <c r="AT26" s="11"/>
      <c r="AU26" s="12"/>
      <c r="AV26" s="10"/>
      <c r="AW26" s="11"/>
      <c r="AX26" s="11"/>
      <c r="AY26" s="12"/>
    </row>
    <row r="27" spans="3:51" x14ac:dyDescent="0.3">
      <c r="C27" s="2" t="s">
        <v>1</v>
      </c>
      <c r="D27" s="10"/>
      <c r="E27" s="11"/>
      <c r="F27" s="11"/>
      <c r="G27" s="12"/>
      <c r="H27" s="10"/>
      <c r="I27" s="11"/>
      <c r="J27" s="11"/>
      <c r="K27" s="12"/>
      <c r="L27" s="10"/>
      <c r="M27" s="11"/>
      <c r="N27" s="11"/>
      <c r="O27" s="12"/>
      <c r="P27" s="10"/>
      <c r="Q27" s="11"/>
      <c r="R27" s="11"/>
      <c r="S27" s="12"/>
      <c r="T27" s="10"/>
      <c r="U27" s="11"/>
      <c r="V27" s="11"/>
      <c r="W27" s="12"/>
      <c r="X27" s="10"/>
      <c r="Y27" s="11"/>
      <c r="Z27" s="11"/>
      <c r="AA27" s="12"/>
      <c r="AB27" s="10"/>
      <c r="AC27" s="11"/>
      <c r="AD27" s="11"/>
      <c r="AE27" s="12"/>
      <c r="AF27" s="10"/>
      <c r="AG27" s="11"/>
      <c r="AH27" s="11"/>
      <c r="AI27" s="12"/>
      <c r="AJ27" s="10"/>
      <c r="AK27" s="11"/>
      <c r="AL27" s="11"/>
      <c r="AM27" s="12"/>
      <c r="AN27" s="10"/>
      <c r="AO27" s="11"/>
      <c r="AP27" s="11"/>
      <c r="AQ27" s="12"/>
      <c r="AR27" s="10"/>
      <c r="AS27" s="11"/>
      <c r="AT27" s="11"/>
      <c r="AU27" s="12"/>
      <c r="AV27" s="10"/>
      <c r="AW27" s="11"/>
      <c r="AX27" s="11"/>
      <c r="AY27" s="12"/>
    </row>
    <row r="28" spans="3:51" x14ac:dyDescent="0.3">
      <c r="D28" s="7"/>
      <c r="E28" s="8"/>
      <c r="F28" s="8"/>
      <c r="G28" s="9"/>
      <c r="H28" s="7"/>
      <c r="I28" s="8"/>
      <c r="J28" s="8"/>
      <c r="K28" s="9"/>
      <c r="L28" s="7"/>
      <c r="M28" s="8"/>
      <c r="N28" s="8"/>
      <c r="O28" s="9"/>
      <c r="P28" s="7"/>
      <c r="Q28" s="8"/>
      <c r="R28" s="8"/>
      <c r="S28" s="9"/>
      <c r="T28" s="7"/>
      <c r="U28" s="8"/>
      <c r="V28" s="8"/>
      <c r="W28" s="9"/>
      <c r="X28" s="7"/>
      <c r="Y28" s="8"/>
      <c r="Z28" s="8"/>
      <c r="AA28" s="9"/>
      <c r="AB28" s="7"/>
      <c r="AC28" s="8"/>
      <c r="AD28" s="8"/>
      <c r="AE28" s="9"/>
      <c r="AF28" s="7"/>
      <c r="AG28" s="8"/>
      <c r="AH28" s="8"/>
      <c r="AI28" s="9"/>
      <c r="AJ28" s="7"/>
      <c r="AK28" s="8"/>
      <c r="AL28" s="8"/>
      <c r="AM28" s="9"/>
      <c r="AN28" s="7"/>
      <c r="AO28" s="8"/>
      <c r="AP28" s="8"/>
      <c r="AQ28" s="9"/>
      <c r="AR28" s="7"/>
      <c r="AS28" s="8"/>
      <c r="AT28" s="8"/>
      <c r="AU28" s="9"/>
      <c r="AV28" s="7"/>
      <c r="AW28" s="8"/>
      <c r="AX28" s="8"/>
      <c r="AY28" s="9"/>
    </row>
    <row r="29" spans="3:51" x14ac:dyDescent="0.3">
      <c r="D29" s="7"/>
      <c r="E29" s="8"/>
      <c r="F29" s="8"/>
      <c r="G29" s="9"/>
      <c r="H29" s="7"/>
      <c r="I29" s="8"/>
      <c r="J29" s="8"/>
      <c r="K29" s="9"/>
      <c r="L29" s="7"/>
      <c r="M29" s="8"/>
      <c r="N29" s="8"/>
      <c r="O29" s="9"/>
      <c r="P29" s="7"/>
      <c r="Q29" s="8"/>
      <c r="R29" s="8"/>
      <c r="S29" s="9"/>
      <c r="T29" s="7"/>
      <c r="U29" s="8"/>
      <c r="V29" s="8"/>
      <c r="W29" s="9"/>
      <c r="X29" s="7"/>
      <c r="Y29" s="8"/>
      <c r="Z29" s="8"/>
      <c r="AA29" s="9"/>
      <c r="AB29" s="7"/>
      <c r="AC29" s="8"/>
      <c r="AD29" s="8"/>
      <c r="AE29" s="9"/>
      <c r="AF29" s="7"/>
      <c r="AG29" s="8"/>
      <c r="AH29" s="8"/>
      <c r="AI29" s="9"/>
      <c r="AJ29" s="7"/>
      <c r="AK29" s="8"/>
      <c r="AL29" s="8"/>
      <c r="AM29" s="9"/>
      <c r="AN29" s="7"/>
      <c r="AO29" s="8"/>
      <c r="AP29" s="8"/>
      <c r="AQ29" s="9"/>
      <c r="AR29" s="7"/>
      <c r="AS29" s="8"/>
      <c r="AT29" s="8"/>
      <c r="AU29" s="9"/>
      <c r="AV29" s="7"/>
      <c r="AW29" s="8"/>
      <c r="AX29" s="8"/>
      <c r="AY29" s="9"/>
    </row>
    <row r="30" spans="3:51" x14ac:dyDescent="0.3">
      <c r="D30" s="7"/>
      <c r="E30" s="8"/>
      <c r="F30" s="8"/>
      <c r="G30" s="9"/>
      <c r="H30" s="7"/>
      <c r="I30" s="8"/>
      <c r="J30" s="8"/>
      <c r="K30" s="9"/>
      <c r="L30" s="7"/>
      <c r="M30" s="8"/>
      <c r="N30" s="8"/>
      <c r="O30" s="9"/>
      <c r="P30" s="7"/>
      <c r="Q30" s="8"/>
      <c r="R30" s="8"/>
      <c r="S30" s="9"/>
      <c r="T30" s="7"/>
      <c r="U30" s="8"/>
      <c r="V30" s="8"/>
      <c r="W30" s="9"/>
      <c r="X30" s="7"/>
      <c r="Y30" s="8"/>
      <c r="Z30" s="8"/>
      <c r="AA30" s="9"/>
      <c r="AB30" s="7"/>
      <c r="AC30" s="8"/>
      <c r="AD30" s="8"/>
      <c r="AE30" s="9"/>
      <c r="AF30" s="7"/>
      <c r="AG30" s="8"/>
      <c r="AH30" s="8"/>
      <c r="AI30" s="9"/>
      <c r="AJ30" s="7"/>
      <c r="AK30" s="8"/>
      <c r="AL30" s="8"/>
      <c r="AM30" s="9"/>
      <c r="AN30" s="7"/>
      <c r="AO30" s="8"/>
      <c r="AP30" s="8"/>
      <c r="AQ30" s="9"/>
      <c r="AR30" s="7"/>
      <c r="AS30" s="8"/>
      <c r="AT30" s="8"/>
      <c r="AU30" s="9"/>
      <c r="AV30" s="7"/>
      <c r="AW30" s="8"/>
      <c r="AX30" s="8"/>
      <c r="AY30" s="9"/>
    </row>
    <row r="31" spans="3:51" ht="20" x14ac:dyDescent="0.4">
      <c r="C31" s="4" t="s">
        <v>55</v>
      </c>
      <c r="D31" s="7"/>
      <c r="E31" s="8"/>
      <c r="F31" s="8"/>
      <c r="G31" s="9"/>
      <c r="H31" s="7"/>
      <c r="I31" s="8"/>
      <c r="J31" s="8"/>
      <c r="K31" s="9"/>
      <c r="L31" s="7"/>
      <c r="M31" s="8"/>
      <c r="N31" s="8"/>
      <c r="O31" s="9"/>
      <c r="P31" s="7"/>
      <c r="Q31" s="8"/>
      <c r="R31" s="8"/>
      <c r="S31" s="9"/>
      <c r="T31" s="7"/>
      <c r="U31" s="8"/>
      <c r="V31" s="8"/>
      <c r="W31" s="9"/>
      <c r="X31" s="7"/>
      <c r="Y31" s="8"/>
      <c r="Z31" s="8"/>
      <c r="AA31" s="9"/>
      <c r="AB31" s="7"/>
      <c r="AC31" s="8"/>
      <c r="AD31" s="8"/>
      <c r="AE31" s="9"/>
      <c r="AF31" s="7"/>
      <c r="AG31" s="8"/>
      <c r="AH31" s="8"/>
      <c r="AI31" s="9"/>
      <c r="AJ31" s="7"/>
      <c r="AK31" s="8"/>
      <c r="AL31" s="8"/>
      <c r="AM31" s="9"/>
      <c r="AN31" s="7"/>
      <c r="AO31" s="8"/>
      <c r="AP31" s="8"/>
      <c r="AQ31" s="9"/>
      <c r="AR31" s="7"/>
      <c r="AS31" s="8"/>
      <c r="AT31" s="8"/>
      <c r="AU31" s="9"/>
      <c r="AV31" s="7"/>
      <c r="AW31" s="8"/>
      <c r="AX31" s="8"/>
      <c r="AY31" s="9"/>
    </row>
    <row r="32" spans="3:51" x14ac:dyDescent="0.3">
      <c r="C32" s="1" t="s">
        <v>0</v>
      </c>
      <c r="D32" s="10">
        <v>674</v>
      </c>
      <c r="E32" s="11">
        <v>684</v>
      </c>
      <c r="F32" s="11">
        <v>697</v>
      </c>
      <c r="G32" s="12">
        <f>693*4-SUM(D32:F32)</f>
        <v>717</v>
      </c>
      <c r="H32" s="10">
        <v>704</v>
      </c>
      <c r="I32" s="11">
        <v>770</v>
      </c>
      <c r="J32" s="11">
        <v>716</v>
      </c>
      <c r="K32" s="12">
        <f>716*4-SUM(H32:J32)</f>
        <v>674</v>
      </c>
      <c r="L32" s="10">
        <v>716</v>
      </c>
      <c r="M32" s="11">
        <v>806</v>
      </c>
      <c r="N32" s="11">
        <v>757</v>
      </c>
      <c r="O32" s="12">
        <f>755*4-SUM(L32:N32)</f>
        <v>741</v>
      </c>
      <c r="P32" s="10">
        <v>791</v>
      </c>
      <c r="Q32" s="11">
        <v>804</v>
      </c>
      <c r="R32" s="11">
        <v>819</v>
      </c>
      <c r="S32" s="12">
        <f>813*4-SUM(P32:R32)</f>
        <v>838</v>
      </c>
      <c r="T32" s="10">
        <v>815</v>
      </c>
      <c r="U32" s="11">
        <v>834</v>
      </c>
      <c r="V32" s="11">
        <v>843</v>
      </c>
      <c r="W32" s="12">
        <f>847*4-SUM(T32:V32)</f>
        <v>896</v>
      </c>
      <c r="X32" s="10">
        <v>889</v>
      </c>
      <c r="Y32" s="11">
        <v>947</v>
      </c>
      <c r="Z32" s="11">
        <v>1010</v>
      </c>
      <c r="AA32" s="12">
        <f>955*4-SUM(X32:Z32)</f>
        <v>974</v>
      </c>
      <c r="AB32" s="10">
        <v>897</v>
      </c>
      <c r="AC32" s="11">
        <v>889</v>
      </c>
      <c r="AD32" s="11">
        <v>901</v>
      </c>
      <c r="AE32" s="12">
        <f>896*4-SUM(AB32:AD32)</f>
        <v>897</v>
      </c>
      <c r="AF32" s="10">
        <v>930</v>
      </c>
      <c r="AG32" s="11">
        <v>974</v>
      </c>
      <c r="AH32" s="11">
        <v>974</v>
      </c>
      <c r="AI32" s="12">
        <f>974*4-SUM(AF32:AH32)</f>
        <v>1018</v>
      </c>
      <c r="AJ32" s="10">
        <v>1031</v>
      </c>
      <c r="AK32" s="11">
        <v>1108</v>
      </c>
      <c r="AL32" s="11">
        <v>1119</v>
      </c>
      <c r="AM32" s="12">
        <f>1109*4-SUM(AJ32:AL32)</f>
        <v>1178</v>
      </c>
      <c r="AN32" s="10">
        <v>1169</v>
      </c>
      <c r="AO32" s="11">
        <v>1185</v>
      </c>
      <c r="AP32" s="11">
        <v>1192</v>
      </c>
      <c r="AQ32" s="12">
        <f>1194*4-SUM(AN32:AP32)</f>
        <v>1230</v>
      </c>
      <c r="AR32" s="10">
        <v>1219</v>
      </c>
      <c r="AS32" s="11">
        <v>1210</v>
      </c>
      <c r="AT32" s="11">
        <v>1211</v>
      </c>
      <c r="AU32" s="12">
        <f>1212*4-SUM(AR32:AT32)</f>
        <v>1208</v>
      </c>
      <c r="AV32" s="10"/>
      <c r="AW32" s="11"/>
      <c r="AX32" s="11"/>
      <c r="AY32" s="12"/>
    </row>
    <row r="33" spans="3:51" s="6" customFormat="1" ht="14.5" x14ac:dyDescent="0.35">
      <c r="C33" s="2" t="s">
        <v>1</v>
      </c>
      <c r="D33" s="13"/>
      <c r="E33" s="14"/>
      <c r="F33" s="14"/>
      <c r="G33" s="15"/>
      <c r="H33" s="20">
        <f t="shared" ref="H33" si="197">+H32/D32-1</f>
        <v>4.4510385756676651E-2</v>
      </c>
      <c r="I33" s="21">
        <f t="shared" ref="I33" si="198">+I32/E32-1</f>
        <v>0.1257309941520468</v>
      </c>
      <c r="J33" s="21">
        <f t="shared" ref="J33" si="199">+J32/F32-1</f>
        <v>2.7259684361549574E-2</v>
      </c>
      <c r="K33" s="22">
        <f t="shared" ref="K33" si="200">+K32/G32-1</f>
        <v>-5.997210599721059E-2</v>
      </c>
      <c r="L33" s="20">
        <f t="shared" ref="L33" si="201">+L32/H32-1</f>
        <v>1.7045454545454586E-2</v>
      </c>
      <c r="M33" s="21">
        <f t="shared" ref="M33" si="202">+M32/I32-1</f>
        <v>4.6753246753246769E-2</v>
      </c>
      <c r="N33" s="21">
        <f t="shared" ref="N33" si="203">+N32/J32-1</f>
        <v>5.7262569832402299E-2</v>
      </c>
      <c r="O33" s="22">
        <f t="shared" ref="O33" si="204">+O32/K32-1</f>
        <v>9.9406528189911025E-2</v>
      </c>
      <c r="P33" s="20">
        <f t="shared" ref="P33" si="205">+P32/L32-1</f>
        <v>0.10474860335195535</v>
      </c>
      <c r="Q33" s="21">
        <f t="shared" ref="Q33" si="206">+Q32/M32-1</f>
        <v>-2.4813895781637951E-3</v>
      </c>
      <c r="R33" s="21">
        <f t="shared" ref="R33" si="207">+R32/N32-1</f>
        <v>8.1902245706737098E-2</v>
      </c>
      <c r="S33" s="22">
        <f t="shared" ref="S33" si="208">+S32/O32-1</f>
        <v>0.1309041835357625</v>
      </c>
      <c r="T33" s="20">
        <f t="shared" ref="T33" si="209">+T32/P32-1</f>
        <v>3.0341340075853429E-2</v>
      </c>
      <c r="U33" s="21">
        <f t="shared" ref="U33" si="210">+U32/Q32-1</f>
        <v>3.7313432835820892E-2</v>
      </c>
      <c r="V33" s="21">
        <f t="shared" ref="V33" si="211">+V32/R32-1</f>
        <v>2.93040293040292E-2</v>
      </c>
      <c r="W33" s="22">
        <f t="shared" ref="W33" si="212">+W32/S32-1</f>
        <v>6.9212410501193311E-2</v>
      </c>
      <c r="X33" s="20">
        <f t="shared" ref="X33" si="213">+X32/T32-1</f>
        <v>9.0797546012269859E-2</v>
      </c>
      <c r="Y33" s="21">
        <f t="shared" ref="Y33" si="214">+Y32/U32-1</f>
        <v>0.13549160671462834</v>
      </c>
      <c r="Z33" s="21">
        <f t="shared" ref="Z33" si="215">+Z32/V32-1</f>
        <v>0.1981020166073546</v>
      </c>
      <c r="AA33" s="22">
        <f t="shared" ref="AA33" si="216">+AA32/W32-1</f>
        <v>8.7053571428571397E-2</v>
      </c>
      <c r="AB33" s="20">
        <f t="shared" ref="AB33" si="217">+AB32/X32-1</f>
        <v>8.9988751406073764E-3</v>
      </c>
      <c r="AC33" s="21">
        <f t="shared" ref="AC33" si="218">+AC32/Y32-1</f>
        <v>-6.1246040126715973E-2</v>
      </c>
      <c r="AD33" s="21">
        <f t="shared" ref="AD33" si="219">+AD32/Z32-1</f>
        <v>-0.10792079207920791</v>
      </c>
      <c r="AE33" s="22">
        <f t="shared" ref="AE33" si="220">+AE32/AA32-1</f>
        <v>-7.9055441478439459E-2</v>
      </c>
      <c r="AF33" s="20">
        <f t="shared" ref="AF33" si="221">+AF32/AB32-1</f>
        <v>3.6789297658862852E-2</v>
      </c>
      <c r="AG33" s="21">
        <f t="shared" ref="AG33" si="222">+AG32/AC32-1</f>
        <v>9.5613048368953901E-2</v>
      </c>
      <c r="AH33" s="21">
        <f t="shared" ref="AH33" si="223">+AH32/AD32-1</f>
        <v>8.1021087680355208E-2</v>
      </c>
      <c r="AI33" s="22">
        <f t="shared" ref="AI33" si="224">+AI32/AE32-1</f>
        <v>0.13489409141583053</v>
      </c>
      <c r="AJ33" s="20">
        <f t="shared" ref="AJ33" si="225">+AJ32/AF32-1</f>
        <v>0.10860215053763445</v>
      </c>
      <c r="AK33" s="21">
        <f t="shared" ref="AK33" si="226">+AK32/AG32-1</f>
        <v>0.13757700205338819</v>
      </c>
      <c r="AL33" s="21">
        <f t="shared" ref="AL33" si="227">+AL32/AH32-1</f>
        <v>0.14887063655030808</v>
      </c>
      <c r="AM33" s="22">
        <f t="shared" ref="AM33" si="228">+AM32/AI32-1</f>
        <v>0.15717092337917493</v>
      </c>
      <c r="AN33" s="20">
        <f t="shared" ref="AN33" si="229">+AN32/AJ32-1</f>
        <v>0.13385063045586798</v>
      </c>
      <c r="AO33" s="21">
        <f t="shared" ref="AO33" si="230">+AO32/AK32-1</f>
        <v>6.9494584837545226E-2</v>
      </c>
      <c r="AP33" s="21">
        <f t="shared" ref="AP33" si="231">+AP32/AL32-1</f>
        <v>6.5236818588024992E-2</v>
      </c>
      <c r="AQ33" s="22">
        <f t="shared" ref="AQ33" si="232">+AQ32/AM32-1</f>
        <v>4.4142614601018648E-2</v>
      </c>
      <c r="AR33" s="20">
        <f t="shared" ref="AR33" si="233">+AR32/AN32-1</f>
        <v>4.2771599657827286E-2</v>
      </c>
      <c r="AS33" s="21">
        <f t="shared" ref="AS33" si="234">+AS32/AO32-1</f>
        <v>2.1097046413502074E-2</v>
      </c>
      <c r="AT33" s="21">
        <f t="shared" ref="AT33" si="235">+AT32/AP32-1</f>
        <v>1.5939597315436149E-2</v>
      </c>
      <c r="AU33" s="22">
        <f>+AU32/AQ32-1</f>
        <v>-1.7886178861788671E-2</v>
      </c>
      <c r="AV33" s="20"/>
      <c r="AW33" s="21"/>
      <c r="AX33" s="21"/>
      <c r="AY33" s="22"/>
    </row>
    <row r="34" spans="3:51" x14ac:dyDescent="0.3">
      <c r="C34" s="1" t="s">
        <v>2</v>
      </c>
      <c r="D34" s="10">
        <f>+D32</f>
        <v>674</v>
      </c>
      <c r="E34" s="11">
        <f t="shared" ref="E34:AU34" si="236">+E32</f>
        <v>684</v>
      </c>
      <c r="F34" s="11">
        <f t="shared" si="236"/>
        <v>697</v>
      </c>
      <c r="G34" s="12">
        <f t="shared" si="236"/>
        <v>717</v>
      </c>
      <c r="H34" s="10">
        <f t="shared" si="236"/>
        <v>704</v>
      </c>
      <c r="I34" s="11">
        <f t="shared" si="236"/>
        <v>770</v>
      </c>
      <c r="J34" s="11">
        <f t="shared" si="236"/>
        <v>716</v>
      </c>
      <c r="K34" s="12">
        <f t="shared" si="236"/>
        <v>674</v>
      </c>
      <c r="L34" s="10">
        <f t="shared" si="236"/>
        <v>716</v>
      </c>
      <c r="M34" s="11">
        <f t="shared" si="236"/>
        <v>806</v>
      </c>
      <c r="N34" s="11">
        <f t="shared" si="236"/>
        <v>757</v>
      </c>
      <c r="O34" s="12">
        <f t="shared" si="236"/>
        <v>741</v>
      </c>
      <c r="P34" s="10">
        <f t="shared" si="236"/>
        <v>791</v>
      </c>
      <c r="Q34" s="11">
        <f t="shared" si="236"/>
        <v>804</v>
      </c>
      <c r="R34" s="11">
        <f t="shared" si="236"/>
        <v>819</v>
      </c>
      <c r="S34" s="12">
        <f t="shared" si="236"/>
        <v>838</v>
      </c>
      <c r="T34" s="10">
        <f t="shared" si="236"/>
        <v>815</v>
      </c>
      <c r="U34" s="11">
        <f t="shared" si="236"/>
        <v>834</v>
      </c>
      <c r="V34" s="11">
        <f t="shared" si="236"/>
        <v>843</v>
      </c>
      <c r="W34" s="12">
        <f t="shared" si="236"/>
        <v>896</v>
      </c>
      <c r="X34" s="10">
        <f t="shared" si="236"/>
        <v>889</v>
      </c>
      <c r="Y34" s="11">
        <f t="shared" si="236"/>
        <v>947</v>
      </c>
      <c r="Z34" s="11">
        <f t="shared" si="236"/>
        <v>1010</v>
      </c>
      <c r="AA34" s="12">
        <f t="shared" si="236"/>
        <v>974</v>
      </c>
      <c r="AB34" s="10">
        <f t="shared" si="236"/>
        <v>897</v>
      </c>
      <c r="AC34" s="11">
        <f t="shared" si="236"/>
        <v>889</v>
      </c>
      <c r="AD34" s="11">
        <f t="shared" si="236"/>
        <v>901</v>
      </c>
      <c r="AE34" s="12">
        <f t="shared" si="236"/>
        <v>897</v>
      </c>
      <c r="AF34" s="10">
        <f t="shared" si="236"/>
        <v>930</v>
      </c>
      <c r="AG34" s="11">
        <f t="shared" si="236"/>
        <v>974</v>
      </c>
      <c r="AH34" s="11">
        <f t="shared" si="236"/>
        <v>974</v>
      </c>
      <c r="AI34" s="12">
        <f t="shared" si="236"/>
        <v>1018</v>
      </c>
      <c r="AJ34" s="10">
        <f t="shared" si="236"/>
        <v>1031</v>
      </c>
      <c r="AK34" s="11">
        <f t="shared" si="236"/>
        <v>1108</v>
      </c>
      <c r="AL34" s="11">
        <f t="shared" si="236"/>
        <v>1119</v>
      </c>
      <c r="AM34" s="12">
        <f t="shared" si="236"/>
        <v>1178</v>
      </c>
      <c r="AN34" s="10">
        <f t="shared" si="236"/>
        <v>1169</v>
      </c>
      <c r="AO34" s="11">
        <f t="shared" si="236"/>
        <v>1185</v>
      </c>
      <c r="AP34" s="11">
        <f t="shared" si="236"/>
        <v>1192</v>
      </c>
      <c r="AQ34" s="12">
        <f t="shared" si="236"/>
        <v>1230</v>
      </c>
      <c r="AR34" s="10">
        <f t="shared" si="236"/>
        <v>1219</v>
      </c>
      <c r="AS34" s="11">
        <f t="shared" si="236"/>
        <v>1210</v>
      </c>
      <c r="AT34" s="11">
        <f t="shared" si="236"/>
        <v>1211</v>
      </c>
      <c r="AU34" s="12">
        <f t="shared" si="236"/>
        <v>1208</v>
      </c>
      <c r="AV34" s="10"/>
      <c r="AW34" s="11"/>
      <c r="AX34" s="11"/>
      <c r="AY34" s="12"/>
    </row>
    <row r="35" spans="3:51" s="6" customFormat="1" ht="14.5" x14ac:dyDescent="0.35">
      <c r="C35" s="2" t="s">
        <v>1</v>
      </c>
      <c r="D35" s="13"/>
      <c r="E35" s="14"/>
      <c r="F35" s="14"/>
      <c r="G35" s="15"/>
      <c r="H35" s="20">
        <f t="shared" ref="H35" si="237">+H34/D34-1</f>
        <v>4.4510385756676651E-2</v>
      </c>
      <c r="I35" s="21">
        <f t="shared" ref="I35" si="238">+I34/E34-1</f>
        <v>0.1257309941520468</v>
      </c>
      <c r="J35" s="21">
        <f t="shared" ref="J35" si="239">+J34/F34-1</f>
        <v>2.7259684361549574E-2</v>
      </c>
      <c r="K35" s="22">
        <f t="shared" ref="K35" si="240">+K34/G34-1</f>
        <v>-5.997210599721059E-2</v>
      </c>
      <c r="L35" s="20">
        <f t="shared" ref="L35" si="241">+L34/H34-1</f>
        <v>1.7045454545454586E-2</v>
      </c>
      <c r="M35" s="21">
        <f t="shared" ref="M35" si="242">+M34/I34-1</f>
        <v>4.6753246753246769E-2</v>
      </c>
      <c r="N35" s="21">
        <f t="shared" ref="N35" si="243">+N34/J34-1</f>
        <v>5.7262569832402299E-2</v>
      </c>
      <c r="O35" s="22">
        <f t="shared" ref="O35" si="244">+O34/K34-1</f>
        <v>9.9406528189911025E-2</v>
      </c>
      <c r="P35" s="20">
        <f t="shared" ref="P35" si="245">+P34/L34-1</f>
        <v>0.10474860335195535</v>
      </c>
      <c r="Q35" s="21">
        <f t="shared" ref="Q35" si="246">+Q34/M34-1</f>
        <v>-2.4813895781637951E-3</v>
      </c>
      <c r="R35" s="21">
        <f t="shared" ref="R35" si="247">+R34/N34-1</f>
        <v>8.1902245706737098E-2</v>
      </c>
      <c r="S35" s="22">
        <f t="shared" ref="S35" si="248">+S34/O34-1</f>
        <v>0.1309041835357625</v>
      </c>
      <c r="T35" s="20">
        <f t="shared" ref="T35" si="249">+T34/P34-1</f>
        <v>3.0341340075853429E-2</v>
      </c>
      <c r="U35" s="21">
        <f t="shared" ref="U35" si="250">+U34/Q34-1</f>
        <v>3.7313432835820892E-2</v>
      </c>
      <c r="V35" s="21">
        <f t="shared" ref="V35" si="251">+V34/R34-1</f>
        <v>2.93040293040292E-2</v>
      </c>
      <c r="W35" s="22">
        <f t="shared" ref="W35" si="252">+W34/S34-1</f>
        <v>6.9212410501193311E-2</v>
      </c>
      <c r="X35" s="20">
        <f t="shared" ref="X35" si="253">+X34/T34-1</f>
        <v>9.0797546012269859E-2</v>
      </c>
      <c r="Y35" s="21">
        <f t="shared" ref="Y35" si="254">+Y34/U34-1</f>
        <v>0.13549160671462834</v>
      </c>
      <c r="Z35" s="21">
        <f t="shared" ref="Z35" si="255">+Z34/V34-1</f>
        <v>0.1981020166073546</v>
      </c>
      <c r="AA35" s="22">
        <f t="shared" ref="AA35" si="256">+AA34/W34-1</f>
        <v>8.7053571428571397E-2</v>
      </c>
      <c r="AB35" s="20">
        <f t="shared" ref="AB35" si="257">+AB34/X34-1</f>
        <v>8.9988751406073764E-3</v>
      </c>
      <c r="AC35" s="21">
        <f t="shared" ref="AC35" si="258">+AC34/Y34-1</f>
        <v>-6.1246040126715973E-2</v>
      </c>
      <c r="AD35" s="21">
        <f t="shared" ref="AD35" si="259">+AD34/Z34-1</f>
        <v>-0.10792079207920791</v>
      </c>
      <c r="AE35" s="22">
        <f t="shared" ref="AE35" si="260">+AE34/AA34-1</f>
        <v>-7.9055441478439459E-2</v>
      </c>
      <c r="AF35" s="20">
        <f t="shared" ref="AF35" si="261">+AF34/AB34-1</f>
        <v>3.6789297658862852E-2</v>
      </c>
      <c r="AG35" s="21">
        <f t="shared" ref="AG35" si="262">+AG34/AC34-1</f>
        <v>9.5613048368953901E-2</v>
      </c>
      <c r="AH35" s="21">
        <f t="shared" ref="AH35" si="263">+AH34/AD34-1</f>
        <v>8.1021087680355208E-2</v>
      </c>
      <c r="AI35" s="22">
        <f t="shared" ref="AI35" si="264">+AI34/AE34-1</f>
        <v>0.13489409141583053</v>
      </c>
      <c r="AJ35" s="20">
        <f t="shared" ref="AJ35" si="265">+AJ34/AF34-1</f>
        <v>0.10860215053763445</v>
      </c>
      <c r="AK35" s="21">
        <f t="shared" ref="AK35" si="266">+AK34/AG34-1</f>
        <v>0.13757700205338819</v>
      </c>
      <c r="AL35" s="21">
        <f t="shared" ref="AL35" si="267">+AL34/AH34-1</f>
        <v>0.14887063655030808</v>
      </c>
      <c r="AM35" s="22">
        <f t="shared" ref="AM35" si="268">+AM34/AI34-1</f>
        <v>0.15717092337917493</v>
      </c>
      <c r="AN35" s="20">
        <f t="shared" ref="AN35" si="269">+AN34/AJ34-1</f>
        <v>0.13385063045586798</v>
      </c>
      <c r="AO35" s="21">
        <f t="shared" ref="AO35" si="270">+AO34/AK34-1</f>
        <v>6.9494584837545226E-2</v>
      </c>
      <c r="AP35" s="21">
        <f t="shared" ref="AP35" si="271">+AP34/AL34-1</f>
        <v>6.5236818588024992E-2</v>
      </c>
      <c r="AQ35" s="22">
        <f t="shared" ref="AQ35" si="272">+AQ34/AM34-1</f>
        <v>4.4142614601018648E-2</v>
      </c>
      <c r="AR35" s="20">
        <f t="shared" ref="AR35" si="273">+AR34/AN34-1</f>
        <v>4.2771599657827286E-2</v>
      </c>
      <c r="AS35" s="21">
        <f t="shared" ref="AS35" si="274">+AS34/AO34-1</f>
        <v>2.1097046413502074E-2</v>
      </c>
      <c r="AT35" s="21">
        <f t="shared" ref="AT35" si="275">+AT34/AP34-1</f>
        <v>1.5939597315436149E-2</v>
      </c>
      <c r="AU35" s="22">
        <f>+AU34/AQ34-1</f>
        <v>-1.7886178861788671E-2</v>
      </c>
      <c r="AV35" s="20"/>
      <c r="AW35" s="21"/>
      <c r="AX35" s="21"/>
      <c r="AY35" s="22"/>
    </row>
    <row r="36" spans="3:51" ht="3" customHeight="1" x14ac:dyDescent="0.3">
      <c r="D36" s="10"/>
      <c r="E36" s="11"/>
      <c r="F36" s="11"/>
      <c r="G36" s="12"/>
      <c r="H36" s="10"/>
      <c r="I36" s="11"/>
      <c r="J36" s="11"/>
      <c r="K36" s="12"/>
      <c r="L36" s="10"/>
      <c r="M36" s="11"/>
      <c r="N36" s="11"/>
      <c r="O36" s="12"/>
      <c r="P36" s="10"/>
      <c r="Q36" s="11"/>
      <c r="R36" s="11"/>
      <c r="S36" s="12"/>
      <c r="T36" s="10"/>
      <c r="U36" s="11"/>
      <c r="V36" s="11"/>
      <c r="W36" s="12"/>
      <c r="X36" s="10"/>
      <c r="Y36" s="11"/>
      <c r="Z36" s="11"/>
      <c r="AA36" s="12"/>
      <c r="AB36" s="10"/>
      <c r="AC36" s="11"/>
      <c r="AD36" s="11"/>
      <c r="AE36" s="12"/>
      <c r="AF36" s="10"/>
      <c r="AG36" s="11"/>
      <c r="AH36" s="11"/>
      <c r="AI36" s="12"/>
      <c r="AJ36" s="10"/>
      <c r="AK36" s="11"/>
      <c r="AL36" s="11"/>
      <c r="AM36" s="12"/>
      <c r="AN36" s="10"/>
      <c r="AO36" s="11"/>
      <c r="AP36" s="11"/>
      <c r="AQ36" s="12"/>
      <c r="AR36" s="10"/>
      <c r="AS36" s="11"/>
      <c r="AT36" s="11"/>
      <c r="AU36" s="12"/>
      <c r="AV36" s="10"/>
      <c r="AW36" s="11"/>
      <c r="AX36" s="11"/>
      <c r="AY36" s="12"/>
    </row>
    <row r="37" spans="3:51" x14ac:dyDescent="0.3">
      <c r="C37" s="1" t="s">
        <v>12</v>
      </c>
      <c r="D37" s="16"/>
      <c r="E37" s="17"/>
      <c r="F37" s="17"/>
      <c r="G37" s="18"/>
      <c r="H37" s="16"/>
      <c r="I37" s="17"/>
      <c r="J37" s="17"/>
      <c r="K37" s="18"/>
      <c r="L37" s="16"/>
      <c r="M37" s="17"/>
      <c r="N37" s="17"/>
      <c r="O37" s="18"/>
      <c r="P37" s="16"/>
      <c r="Q37" s="17"/>
      <c r="R37" s="17"/>
      <c r="S37" s="18"/>
      <c r="T37" s="16"/>
      <c r="U37" s="17"/>
      <c r="V37" s="17"/>
      <c r="W37" s="18"/>
      <c r="X37" s="16"/>
      <c r="Y37" s="17"/>
      <c r="Z37" s="17"/>
      <c r="AA37" s="18"/>
      <c r="AB37" s="16"/>
      <c r="AC37" s="17"/>
      <c r="AD37" s="17"/>
      <c r="AE37" s="18"/>
      <c r="AF37" s="16"/>
      <c r="AG37" s="17"/>
      <c r="AH37" s="17"/>
      <c r="AI37" s="18"/>
      <c r="AJ37" s="16"/>
      <c r="AK37" s="17"/>
      <c r="AL37" s="17"/>
      <c r="AM37" s="18">
        <f>1888*4-SUM(AJ37:AL37)</f>
        <v>7552</v>
      </c>
      <c r="AN37" s="16">
        <v>2010</v>
      </c>
      <c r="AO37" s="17">
        <v>2019</v>
      </c>
      <c r="AP37" s="17">
        <v>2111</v>
      </c>
      <c r="AQ37" s="18">
        <f>2092*4-SUM(AN37:AP37)</f>
        <v>2228</v>
      </c>
      <c r="AR37" s="16">
        <v>2329</v>
      </c>
      <c r="AS37" s="17">
        <v>2353</v>
      </c>
      <c r="AT37" s="17">
        <v>2312</v>
      </c>
      <c r="AU37" s="18">
        <f>2336*4-SUM(AR37:AT37)</f>
        <v>2350</v>
      </c>
      <c r="AV37" s="16"/>
      <c r="AW37" s="17"/>
      <c r="AX37" s="17"/>
      <c r="AY37" s="18"/>
    </row>
    <row r="38" spans="3:51" x14ac:dyDescent="0.3">
      <c r="C38" s="2" t="s">
        <v>1</v>
      </c>
      <c r="D38" s="16"/>
      <c r="E38" s="17"/>
      <c r="F38" s="17"/>
      <c r="G38" s="18"/>
      <c r="H38" s="16"/>
      <c r="I38" s="17"/>
      <c r="J38" s="17"/>
      <c r="K38" s="18"/>
      <c r="L38" s="16"/>
      <c r="M38" s="17"/>
      <c r="N38" s="17"/>
      <c r="O38" s="18"/>
      <c r="P38" s="16"/>
      <c r="Q38" s="17"/>
      <c r="R38" s="17"/>
      <c r="S38" s="18"/>
      <c r="T38" s="16"/>
      <c r="U38" s="17"/>
      <c r="V38" s="17"/>
      <c r="W38" s="18"/>
      <c r="X38" s="16"/>
      <c r="Y38" s="17"/>
      <c r="Z38" s="17"/>
      <c r="AA38" s="18"/>
      <c r="AB38" s="16"/>
      <c r="AC38" s="17"/>
      <c r="AD38" s="17"/>
      <c r="AE38" s="18"/>
      <c r="AF38" s="16"/>
      <c r="AG38" s="17"/>
      <c r="AH38" s="17"/>
      <c r="AI38" s="18"/>
      <c r="AJ38" s="16"/>
      <c r="AK38" s="17"/>
      <c r="AL38" s="17"/>
      <c r="AM38" s="18"/>
      <c r="AN38" s="16"/>
      <c r="AO38" s="17"/>
      <c r="AP38" s="17"/>
      <c r="AQ38" s="18"/>
      <c r="AR38" s="16"/>
      <c r="AS38" s="17"/>
      <c r="AT38" s="17"/>
      <c r="AU38" s="18"/>
      <c r="AV38" s="16"/>
      <c r="AW38" s="17"/>
      <c r="AX38" s="17"/>
      <c r="AY38" s="18"/>
    </row>
    <row r="39" spans="3:51" x14ac:dyDescent="0.3">
      <c r="C39" s="1" t="s">
        <v>13</v>
      </c>
      <c r="D39" s="16"/>
      <c r="E39" s="17"/>
      <c r="F39" s="17"/>
      <c r="G39" s="18"/>
      <c r="H39" s="16"/>
      <c r="I39" s="17"/>
      <c r="J39" s="17"/>
      <c r="K39" s="18"/>
      <c r="L39" s="16"/>
      <c r="M39" s="17"/>
      <c r="N39" s="17"/>
      <c r="O39" s="18"/>
      <c r="P39" s="16"/>
      <c r="Q39" s="17"/>
      <c r="R39" s="17"/>
      <c r="S39" s="18"/>
      <c r="T39" s="16"/>
      <c r="U39" s="17"/>
      <c r="V39" s="17"/>
      <c r="W39" s="18"/>
      <c r="X39" s="16"/>
      <c r="Y39" s="17"/>
      <c r="Z39" s="17"/>
      <c r="AA39" s="18"/>
      <c r="AB39" s="16"/>
      <c r="AC39" s="17"/>
      <c r="AD39" s="17"/>
      <c r="AE39" s="18"/>
      <c r="AF39" s="16"/>
      <c r="AG39" s="17"/>
      <c r="AH39" s="17"/>
      <c r="AI39" s="18"/>
      <c r="AJ39" s="16"/>
      <c r="AK39" s="17"/>
      <c r="AL39" s="17"/>
      <c r="AM39" s="18">
        <f>+AM37</f>
        <v>7552</v>
      </c>
      <c r="AN39" s="16">
        <f t="shared" ref="AN39:AU39" si="276">+AN37</f>
        <v>2010</v>
      </c>
      <c r="AO39" s="17">
        <f t="shared" si="276"/>
        <v>2019</v>
      </c>
      <c r="AP39" s="17">
        <f t="shared" si="276"/>
        <v>2111</v>
      </c>
      <c r="AQ39" s="18">
        <f t="shared" si="276"/>
        <v>2228</v>
      </c>
      <c r="AR39" s="16">
        <f t="shared" si="276"/>
        <v>2329</v>
      </c>
      <c r="AS39" s="17">
        <f t="shared" si="276"/>
        <v>2353</v>
      </c>
      <c r="AT39" s="17">
        <f t="shared" si="276"/>
        <v>2312</v>
      </c>
      <c r="AU39" s="18">
        <f t="shared" si="276"/>
        <v>2350</v>
      </c>
      <c r="AV39" s="16"/>
      <c r="AW39" s="17"/>
      <c r="AX39" s="17"/>
      <c r="AY39" s="18"/>
    </row>
    <row r="40" spans="3:51" x14ac:dyDescent="0.3">
      <c r="C40" s="2" t="s">
        <v>1</v>
      </c>
      <c r="D40" s="16"/>
      <c r="E40" s="17"/>
      <c r="F40" s="17"/>
      <c r="G40" s="18"/>
      <c r="H40" s="16"/>
      <c r="I40" s="17"/>
      <c r="J40" s="17"/>
      <c r="K40" s="18"/>
      <c r="L40" s="16"/>
      <c r="M40" s="17"/>
      <c r="N40" s="17"/>
      <c r="O40" s="18"/>
      <c r="P40" s="16"/>
      <c r="Q40" s="17"/>
      <c r="R40" s="17"/>
      <c r="S40" s="18"/>
      <c r="T40" s="16"/>
      <c r="U40" s="17"/>
      <c r="V40" s="17"/>
      <c r="W40" s="18"/>
      <c r="X40" s="16"/>
      <c r="Y40" s="17"/>
      <c r="Z40" s="17"/>
      <c r="AA40" s="18"/>
      <c r="AB40" s="16"/>
      <c r="AC40" s="17"/>
      <c r="AD40" s="17"/>
      <c r="AE40" s="18"/>
      <c r="AF40" s="16"/>
      <c r="AG40" s="17"/>
      <c r="AH40" s="17"/>
      <c r="AI40" s="18"/>
      <c r="AJ40" s="16"/>
      <c r="AK40" s="17"/>
      <c r="AL40" s="17"/>
      <c r="AM40" s="18"/>
      <c r="AN40" s="16"/>
      <c r="AO40" s="17"/>
      <c r="AP40" s="17"/>
      <c r="AQ40" s="18"/>
      <c r="AR40" s="16"/>
      <c r="AS40" s="17"/>
      <c r="AT40" s="17"/>
      <c r="AU40" s="18"/>
      <c r="AV40" s="16"/>
      <c r="AW40" s="17"/>
      <c r="AX40" s="17"/>
      <c r="AY40" s="18"/>
    </row>
    <row r="41" spans="3:51" x14ac:dyDescent="0.3">
      <c r="D41" s="7"/>
      <c r="E41" s="8"/>
      <c r="F41" s="8"/>
      <c r="G41" s="9"/>
      <c r="H41" s="7"/>
      <c r="I41" s="8"/>
      <c r="J41" s="8"/>
      <c r="K41" s="9"/>
      <c r="L41" s="7"/>
      <c r="M41" s="8"/>
      <c r="N41" s="8"/>
      <c r="O41" s="9"/>
      <c r="P41" s="7"/>
      <c r="Q41" s="8"/>
      <c r="R41" s="8"/>
      <c r="S41" s="9"/>
      <c r="T41" s="7"/>
      <c r="U41" s="8"/>
      <c r="V41" s="8"/>
      <c r="W41" s="9"/>
      <c r="X41" s="7"/>
      <c r="Y41" s="8"/>
      <c r="Z41" s="8"/>
      <c r="AA41" s="9"/>
      <c r="AB41" s="7"/>
      <c r="AC41" s="8"/>
      <c r="AD41" s="8"/>
      <c r="AE41" s="9"/>
      <c r="AF41" s="7"/>
      <c r="AG41" s="8"/>
      <c r="AH41" s="8"/>
      <c r="AI41" s="9"/>
      <c r="AJ41" s="7"/>
      <c r="AK41" s="8"/>
      <c r="AL41" s="8"/>
      <c r="AM41" s="9"/>
      <c r="AN41" s="7"/>
      <c r="AO41" s="8"/>
      <c r="AP41" s="8"/>
      <c r="AQ41" s="9"/>
      <c r="AR41" s="7"/>
      <c r="AS41" s="8"/>
      <c r="AT41" s="8"/>
      <c r="AU41" s="9"/>
      <c r="AV41" s="7"/>
      <c r="AW41" s="8"/>
      <c r="AX41" s="8"/>
      <c r="AY41" s="9"/>
    </row>
    <row r="42" spans="3:51" x14ac:dyDescent="0.3">
      <c r="D42" s="7"/>
      <c r="E42" s="8"/>
      <c r="F42" s="8"/>
      <c r="G42" s="9"/>
      <c r="H42" s="7"/>
      <c r="I42" s="8"/>
      <c r="J42" s="8"/>
      <c r="K42" s="9"/>
      <c r="L42" s="7"/>
      <c r="M42" s="8"/>
      <c r="N42" s="8"/>
      <c r="O42" s="9"/>
      <c r="P42" s="7"/>
      <c r="Q42" s="8"/>
      <c r="R42" s="8"/>
      <c r="S42" s="9"/>
      <c r="T42" s="7"/>
      <c r="U42" s="8"/>
      <c r="V42" s="8"/>
      <c r="W42" s="9"/>
      <c r="X42" s="7"/>
      <c r="Y42" s="8"/>
      <c r="Z42" s="8"/>
      <c r="AA42" s="9"/>
      <c r="AB42" s="7"/>
      <c r="AC42" s="8"/>
      <c r="AD42" s="8"/>
      <c r="AE42" s="9"/>
      <c r="AF42" s="7"/>
      <c r="AG42" s="8"/>
      <c r="AH42" s="8"/>
      <c r="AI42" s="9"/>
      <c r="AJ42" s="7"/>
      <c r="AK42" s="8"/>
      <c r="AL42" s="8"/>
      <c r="AM42" s="9"/>
      <c r="AN42" s="7"/>
      <c r="AO42" s="8"/>
      <c r="AP42" s="8"/>
      <c r="AQ42" s="9"/>
      <c r="AR42" s="7"/>
      <c r="AS42" s="8"/>
      <c r="AT42" s="8"/>
      <c r="AU42" s="9"/>
      <c r="AV42" s="7"/>
      <c r="AW42" s="8"/>
      <c r="AX42" s="8"/>
      <c r="AY42" s="9"/>
    </row>
    <row r="43" spans="3:51" x14ac:dyDescent="0.3">
      <c r="D43" s="7"/>
      <c r="E43" s="8"/>
      <c r="F43" s="8"/>
      <c r="G43" s="9"/>
      <c r="H43" s="7"/>
      <c r="I43" s="8"/>
      <c r="J43" s="8"/>
      <c r="K43" s="9"/>
      <c r="L43" s="7"/>
      <c r="M43" s="8"/>
      <c r="N43" s="8"/>
      <c r="O43" s="9"/>
      <c r="P43" s="7"/>
      <c r="Q43" s="8"/>
      <c r="R43" s="8"/>
      <c r="S43" s="9"/>
      <c r="T43" s="7"/>
      <c r="U43" s="8"/>
      <c r="V43" s="8"/>
      <c r="W43" s="9"/>
      <c r="X43" s="7"/>
      <c r="Y43" s="8"/>
      <c r="Z43" s="8"/>
      <c r="AA43" s="9"/>
      <c r="AB43" s="7"/>
      <c r="AC43" s="8"/>
      <c r="AD43" s="8"/>
      <c r="AE43" s="9"/>
      <c r="AF43" s="7"/>
      <c r="AG43" s="8"/>
      <c r="AH43" s="8"/>
      <c r="AI43" s="9"/>
      <c r="AJ43" s="7"/>
      <c r="AK43" s="8"/>
      <c r="AL43" s="8"/>
      <c r="AM43" s="9"/>
      <c r="AN43" s="7"/>
      <c r="AO43" s="8"/>
      <c r="AP43" s="8"/>
      <c r="AQ43" s="9"/>
      <c r="AR43" s="7"/>
      <c r="AS43" s="8"/>
      <c r="AT43" s="8"/>
      <c r="AU43" s="9"/>
      <c r="AV43" s="7"/>
      <c r="AW43" s="8"/>
      <c r="AX43" s="8"/>
      <c r="AY43" s="9"/>
    </row>
    <row r="44" spans="3:51" ht="20" x14ac:dyDescent="0.4">
      <c r="C44" s="4" t="s">
        <v>56</v>
      </c>
      <c r="D44" s="7"/>
      <c r="E44" s="8"/>
      <c r="F44" s="8"/>
      <c r="G44" s="9"/>
      <c r="H44" s="7"/>
      <c r="I44" s="8"/>
      <c r="J44" s="8"/>
      <c r="K44" s="9"/>
      <c r="L44" s="7"/>
      <c r="M44" s="8"/>
      <c r="N44" s="8"/>
      <c r="O44" s="9"/>
      <c r="P44" s="7"/>
      <c r="Q44" s="8"/>
      <c r="R44" s="8"/>
      <c r="S44" s="9"/>
      <c r="T44" s="7"/>
      <c r="U44" s="8"/>
      <c r="V44" s="8"/>
      <c r="W44" s="9"/>
      <c r="X44" s="7"/>
      <c r="Y44" s="8"/>
      <c r="Z44" s="8"/>
      <c r="AA44" s="9"/>
      <c r="AB44" s="7"/>
      <c r="AC44" s="8"/>
      <c r="AD44" s="8"/>
      <c r="AE44" s="9"/>
      <c r="AF44" s="7"/>
      <c r="AG44" s="8"/>
      <c r="AH44" s="8"/>
      <c r="AI44" s="9"/>
      <c r="AJ44" s="7"/>
      <c r="AK44" s="8"/>
      <c r="AL44" s="8"/>
      <c r="AM44" s="9"/>
      <c r="AN44" s="7"/>
      <c r="AO44" s="8"/>
      <c r="AP44" s="8"/>
      <c r="AQ44" s="9"/>
      <c r="AR44" s="7"/>
      <c r="AS44" s="8"/>
      <c r="AT44" s="8"/>
      <c r="AU44" s="9"/>
      <c r="AV44" s="7"/>
      <c r="AW44" s="8"/>
      <c r="AX44" s="8"/>
      <c r="AY44" s="9"/>
    </row>
    <row r="45" spans="3:51" x14ac:dyDescent="0.3">
      <c r="C45" s="1" t="s">
        <v>0</v>
      </c>
      <c r="D45" s="19"/>
      <c r="E45" s="8"/>
      <c r="F45" s="8"/>
      <c r="G45" s="9"/>
      <c r="H45" s="19"/>
      <c r="I45" s="23"/>
      <c r="J45" s="8"/>
      <c r="K45" s="9"/>
      <c r="L45" s="19"/>
      <c r="M45" s="23"/>
      <c r="N45" s="8"/>
      <c r="O45" s="9"/>
      <c r="P45" s="19"/>
      <c r="Q45" s="23"/>
      <c r="R45" s="8"/>
      <c r="S45" s="9"/>
      <c r="T45" s="19"/>
      <c r="U45" s="23"/>
      <c r="V45" s="8"/>
      <c r="W45" s="9"/>
      <c r="X45" s="19"/>
      <c r="Y45" s="23"/>
      <c r="Z45" s="8"/>
      <c r="AA45" s="9"/>
      <c r="AB45" s="19"/>
      <c r="AC45" s="23"/>
      <c r="AD45" s="8"/>
      <c r="AE45" s="9"/>
      <c r="AF45" s="19"/>
      <c r="AG45" s="23"/>
      <c r="AH45" s="8"/>
      <c r="AI45" s="9"/>
      <c r="AJ45" s="19"/>
      <c r="AK45" s="23"/>
      <c r="AL45" s="8"/>
      <c r="AM45" s="9"/>
      <c r="AN45" s="19"/>
      <c r="AO45" s="23"/>
      <c r="AP45" s="8"/>
      <c r="AQ45" s="9"/>
      <c r="AR45" s="19"/>
      <c r="AS45" s="23"/>
      <c r="AT45" s="8"/>
      <c r="AU45" s="9"/>
      <c r="AV45" s="19"/>
      <c r="AW45" s="23"/>
      <c r="AX45" s="8"/>
      <c r="AY45" s="9"/>
    </row>
    <row r="46" spans="3:51" x14ac:dyDescent="0.3">
      <c r="C46" s="2" t="s">
        <v>1</v>
      </c>
      <c r="D46" s="7"/>
      <c r="E46" s="8"/>
      <c r="F46" s="8"/>
      <c r="G46" s="9"/>
      <c r="H46" s="7"/>
      <c r="I46" s="8"/>
      <c r="J46" s="8"/>
      <c r="K46" s="9"/>
      <c r="L46" s="7"/>
      <c r="M46" s="8"/>
      <c r="N46" s="8"/>
      <c r="O46" s="9"/>
      <c r="P46" s="7"/>
      <c r="Q46" s="8"/>
      <c r="R46" s="8"/>
      <c r="S46" s="9"/>
      <c r="T46" s="7"/>
      <c r="U46" s="8"/>
      <c r="V46" s="8"/>
      <c r="W46" s="9"/>
      <c r="X46" s="7"/>
      <c r="Y46" s="8"/>
      <c r="Z46" s="8"/>
      <c r="AA46" s="9"/>
      <c r="AB46" s="7"/>
      <c r="AC46" s="8"/>
      <c r="AD46" s="8"/>
      <c r="AE46" s="9"/>
      <c r="AF46" s="7"/>
      <c r="AG46" s="8"/>
      <c r="AH46" s="8"/>
      <c r="AI46" s="9"/>
      <c r="AJ46" s="7"/>
      <c r="AK46" s="8"/>
      <c r="AL46" s="8"/>
      <c r="AM46" s="9"/>
      <c r="AN46" s="7"/>
      <c r="AO46" s="8"/>
      <c r="AP46" s="8"/>
      <c r="AQ46" s="9"/>
      <c r="AR46" s="7"/>
      <c r="AS46" s="8"/>
      <c r="AT46" s="8"/>
      <c r="AU46" s="9"/>
      <c r="AV46" s="7"/>
      <c r="AW46" s="8"/>
      <c r="AX46" s="8"/>
      <c r="AY46" s="9"/>
    </row>
    <row r="47" spans="3:51" x14ac:dyDescent="0.3">
      <c r="C47" s="1" t="s">
        <v>2</v>
      </c>
      <c r="D47" s="7"/>
      <c r="E47" s="8"/>
      <c r="F47" s="8"/>
      <c r="G47" s="9"/>
      <c r="H47" s="7"/>
      <c r="I47" s="8"/>
      <c r="J47" s="8"/>
      <c r="K47" s="9"/>
      <c r="L47" s="7"/>
      <c r="M47" s="8"/>
      <c r="N47" s="8"/>
      <c r="O47" s="9"/>
      <c r="P47" s="7"/>
      <c r="Q47" s="8"/>
      <c r="R47" s="8"/>
      <c r="S47" s="9"/>
      <c r="T47" s="7"/>
      <c r="U47" s="8"/>
      <c r="V47" s="8"/>
      <c r="W47" s="9"/>
      <c r="X47" s="7"/>
      <c r="Y47" s="8"/>
      <c r="Z47" s="8"/>
      <c r="AA47" s="9"/>
      <c r="AB47" s="7"/>
      <c r="AC47" s="8"/>
      <c r="AD47" s="8"/>
      <c r="AE47" s="9"/>
      <c r="AF47" s="7"/>
      <c r="AG47" s="8"/>
      <c r="AH47" s="8"/>
      <c r="AI47" s="9"/>
      <c r="AJ47" s="7"/>
      <c r="AK47" s="8"/>
      <c r="AL47" s="8"/>
      <c r="AM47" s="9"/>
      <c r="AN47" s="7"/>
      <c r="AO47" s="8"/>
      <c r="AP47" s="8"/>
      <c r="AQ47" s="9"/>
      <c r="AR47" s="7"/>
      <c r="AS47" s="8"/>
      <c r="AT47" s="8"/>
      <c r="AU47" s="9"/>
      <c r="AV47" s="7"/>
      <c r="AW47" s="8"/>
      <c r="AX47" s="8"/>
      <c r="AY47" s="9"/>
    </row>
    <row r="48" spans="3:51" x14ac:dyDescent="0.3">
      <c r="C48" s="2" t="s">
        <v>1</v>
      </c>
      <c r="D48" s="7"/>
      <c r="E48" s="8"/>
      <c r="F48" s="8"/>
      <c r="G48" s="9"/>
      <c r="H48" s="7"/>
      <c r="I48" s="8"/>
      <c r="J48" s="8"/>
      <c r="K48" s="9"/>
      <c r="L48" s="7"/>
      <c r="M48" s="8"/>
      <c r="N48" s="8"/>
      <c r="O48" s="9"/>
      <c r="P48" s="7"/>
      <c r="Q48" s="8"/>
      <c r="R48" s="8"/>
      <c r="S48" s="9"/>
      <c r="T48" s="7"/>
      <c r="U48" s="8"/>
      <c r="V48" s="8"/>
      <c r="W48" s="9"/>
      <c r="X48" s="7"/>
      <c r="Y48" s="8"/>
      <c r="Z48" s="8"/>
      <c r="AA48" s="9"/>
      <c r="AB48" s="7"/>
      <c r="AC48" s="8"/>
      <c r="AD48" s="8"/>
      <c r="AE48" s="9"/>
      <c r="AF48" s="7"/>
      <c r="AG48" s="8"/>
      <c r="AH48" s="8"/>
      <c r="AI48" s="9"/>
      <c r="AJ48" s="7"/>
      <c r="AK48" s="8"/>
      <c r="AL48" s="8"/>
      <c r="AM48" s="9"/>
      <c r="AN48" s="7"/>
      <c r="AO48" s="8"/>
      <c r="AP48" s="8"/>
      <c r="AQ48" s="9"/>
      <c r="AR48" s="7"/>
      <c r="AS48" s="8"/>
      <c r="AT48" s="8"/>
      <c r="AU48" s="9"/>
      <c r="AV48" s="7"/>
      <c r="AW48" s="8"/>
      <c r="AX48" s="8"/>
      <c r="AY48" s="9"/>
    </row>
    <row r="49" spans="3:51" ht="3" customHeight="1" x14ac:dyDescent="0.3">
      <c r="D49" s="7"/>
      <c r="E49" s="8"/>
      <c r="F49" s="8"/>
      <c r="G49" s="9"/>
      <c r="H49" s="7"/>
      <c r="I49" s="8"/>
      <c r="J49" s="8"/>
      <c r="K49" s="9"/>
      <c r="L49" s="7"/>
      <c r="M49" s="8"/>
      <c r="N49" s="8"/>
      <c r="O49" s="9"/>
      <c r="P49" s="7"/>
      <c r="Q49" s="8"/>
      <c r="R49" s="8"/>
      <c r="S49" s="9"/>
      <c r="T49" s="7"/>
      <c r="U49" s="8"/>
      <c r="V49" s="8"/>
      <c r="W49" s="9"/>
      <c r="X49" s="7"/>
      <c r="Y49" s="8"/>
      <c r="Z49" s="8"/>
      <c r="AA49" s="9"/>
      <c r="AB49" s="7"/>
      <c r="AC49" s="8"/>
      <c r="AD49" s="8"/>
      <c r="AE49" s="9"/>
      <c r="AF49" s="7"/>
      <c r="AG49" s="8"/>
      <c r="AH49" s="8"/>
      <c r="AI49" s="9"/>
      <c r="AJ49" s="7"/>
      <c r="AK49" s="8"/>
      <c r="AL49" s="8"/>
      <c r="AM49" s="9"/>
      <c r="AN49" s="7"/>
      <c r="AO49" s="8"/>
      <c r="AP49" s="8"/>
      <c r="AQ49" s="9"/>
      <c r="AR49" s="7"/>
      <c r="AS49" s="8"/>
      <c r="AT49" s="8"/>
      <c r="AU49" s="9"/>
      <c r="AV49" s="7"/>
      <c r="AW49" s="8"/>
      <c r="AX49" s="8"/>
      <c r="AY49" s="9"/>
    </row>
    <row r="50" spans="3:51" x14ac:dyDescent="0.3">
      <c r="C50" s="1" t="s">
        <v>12</v>
      </c>
      <c r="D50" s="19"/>
      <c r="E50" s="8"/>
      <c r="F50" s="8"/>
      <c r="G50" s="9"/>
      <c r="H50" s="19"/>
      <c r="I50" s="8"/>
      <c r="J50" s="8"/>
      <c r="K50" s="9"/>
      <c r="L50" s="19"/>
      <c r="M50" s="8"/>
      <c r="N50" s="8"/>
      <c r="O50" s="9"/>
      <c r="P50" s="19"/>
      <c r="Q50" s="8"/>
      <c r="R50" s="8"/>
      <c r="S50" s="9"/>
      <c r="T50" s="19"/>
      <c r="U50" s="8"/>
      <c r="V50" s="8"/>
      <c r="W50" s="9"/>
      <c r="X50" s="19"/>
      <c r="Y50" s="8"/>
      <c r="Z50" s="8"/>
      <c r="AA50" s="9"/>
      <c r="AB50" s="19"/>
      <c r="AC50" s="8"/>
      <c r="AD50" s="8"/>
      <c r="AE50" s="9"/>
      <c r="AF50" s="19"/>
      <c r="AG50" s="8"/>
      <c r="AH50" s="8"/>
      <c r="AI50" s="9"/>
      <c r="AJ50" s="19"/>
      <c r="AK50" s="8"/>
      <c r="AL50" s="8"/>
      <c r="AM50" s="9"/>
      <c r="AN50" s="19"/>
      <c r="AO50" s="8"/>
      <c r="AP50" s="8"/>
      <c r="AQ50" s="9"/>
      <c r="AR50" s="19"/>
      <c r="AS50" s="8"/>
      <c r="AT50" s="8"/>
      <c r="AU50" s="9"/>
      <c r="AV50" s="19"/>
      <c r="AW50" s="8"/>
      <c r="AX50" s="8"/>
      <c r="AY50" s="9"/>
    </row>
    <row r="51" spans="3:51" x14ac:dyDescent="0.3">
      <c r="C51" s="2" t="s">
        <v>1</v>
      </c>
      <c r="D51" s="7"/>
      <c r="E51" s="8"/>
      <c r="F51" s="8"/>
      <c r="G51" s="9"/>
      <c r="H51" s="7"/>
      <c r="I51" s="8"/>
      <c r="J51" s="8"/>
      <c r="K51" s="9"/>
      <c r="L51" s="7"/>
      <c r="M51" s="8"/>
      <c r="N51" s="8"/>
      <c r="O51" s="9"/>
      <c r="P51" s="7"/>
      <c r="Q51" s="8"/>
      <c r="R51" s="8"/>
      <c r="S51" s="9"/>
      <c r="T51" s="7"/>
      <c r="U51" s="8"/>
      <c r="V51" s="8"/>
      <c r="W51" s="9"/>
      <c r="X51" s="7"/>
      <c r="Y51" s="8"/>
      <c r="Z51" s="8"/>
      <c r="AA51" s="9"/>
      <c r="AB51" s="7"/>
      <c r="AC51" s="8"/>
      <c r="AD51" s="8"/>
      <c r="AE51" s="9"/>
      <c r="AF51" s="7"/>
      <c r="AG51" s="8"/>
      <c r="AH51" s="8"/>
      <c r="AI51" s="9"/>
      <c r="AJ51" s="7"/>
      <c r="AK51" s="8"/>
      <c r="AL51" s="8"/>
      <c r="AM51" s="9"/>
      <c r="AN51" s="7"/>
      <c r="AO51" s="8"/>
      <c r="AP51" s="8"/>
      <c r="AQ51" s="9"/>
      <c r="AR51" s="7"/>
      <c r="AS51" s="8"/>
      <c r="AT51" s="8"/>
      <c r="AU51" s="9"/>
      <c r="AV51" s="7"/>
      <c r="AW51" s="8"/>
      <c r="AX51" s="8"/>
      <c r="AY51" s="9"/>
    </row>
    <row r="52" spans="3:51" x14ac:dyDescent="0.3">
      <c r="C52" s="1" t="s">
        <v>13</v>
      </c>
      <c r="D52" s="7"/>
      <c r="E52" s="8"/>
      <c r="F52" s="8"/>
      <c r="G52" s="9"/>
      <c r="H52" s="7"/>
      <c r="I52" s="8"/>
      <c r="J52" s="8"/>
      <c r="K52" s="9"/>
      <c r="L52" s="7"/>
      <c r="M52" s="8"/>
      <c r="N52" s="8"/>
      <c r="O52" s="9"/>
      <c r="P52" s="7"/>
      <c r="Q52" s="8"/>
      <c r="R52" s="8"/>
      <c r="S52" s="9"/>
      <c r="T52" s="7"/>
      <c r="U52" s="8"/>
      <c r="V52" s="8"/>
      <c r="W52" s="9"/>
      <c r="X52" s="7"/>
      <c r="Y52" s="8"/>
      <c r="Z52" s="8"/>
      <c r="AA52" s="9"/>
      <c r="AB52" s="7"/>
      <c r="AC52" s="8"/>
      <c r="AD52" s="8"/>
      <c r="AE52" s="9"/>
      <c r="AF52" s="7"/>
      <c r="AG52" s="8"/>
      <c r="AH52" s="8"/>
      <c r="AI52" s="9"/>
      <c r="AJ52" s="7"/>
      <c r="AK52" s="8"/>
      <c r="AL52" s="8"/>
      <c r="AM52" s="9"/>
      <c r="AN52" s="7"/>
      <c r="AO52" s="8"/>
      <c r="AP52" s="8"/>
      <c r="AQ52" s="9"/>
      <c r="AR52" s="7"/>
      <c r="AS52" s="8"/>
      <c r="AT52" s="8"/>
      <c r="AU52" s="9"/>
      <c r="AV52" s="7"/>
      <c r="AW52" s="8"/>
      <c r="AX52" s="8"/>
      <c r="AY52" s="9"/>
    </row>
    <row r="53" spans="3:51" x14ac:dyDescent="0.3">
      <c r="C53" s="2" t="s">
        <v>1</v>
      </c>
      <c r="D53" s="7"/>
      <c r="E53" s="8"/>
      <c r="F53" s="8"/>
      <c r="G53" s="9"/>
      <c r="H53" s="7"/>
      <c r="I53" s="8"/>
      <c r="J53" s="8"/>
      <c r="K53" s="9"/>
      <c r="L53" s="7"/>
      <c r="M53" s="8"/>
      <c r="N53" s="8"/>
      <c r="O53" s="9"/>
      <c r="P53" s="7"/>
      <c r="Q53" s="8"/>
      <c r="R53" s="8"/>
      <c r="S53" s="9"/>
      <c r="T53" s="7"/>
      <c r="U53" s="8"/>
      <c r="V53" s="8"/>
      <c r="W53" s="9"/>
      <c r="X53" s="7"/>
      <c r="Y53" s="8"/>
      <c r="Z53" s="8"/>
      <c r="AA53" s="9"/>
      <c r="AB53" s="7"/>
      <c r="AC53" s="8"/>
      <c r="AD53" s="8"/>
      <c r="AE53" s="9"/>
      <c r="AF53" s="7"/>
      <c r="AG53" s="8"/>
      <c r="AH53" s="8"/>
      <c r="AI53" s="9"/>
      <c r="AJ53" s="7"/>
      <c r="AK53" s="8"/>
      <c r="AL53" s="8"/>
      <c r="AM53" s="9"/>
      <c r="AN53" s="7"/>
      <c r="AO53" s="8"/>
      <c r="AP53" s="8"/>
      <c r="AQ53" s="9"/>
      <c r="AR53" s="7"/>
      <c r="AS53" s="8"/>
      <c r="AT53" s="8"/>
      <c r="AU53" s="9"/>
      <c r="AV53" s="7"/>
      <c r="AW53" s="8"/>
      <c r="AX53" s="8"/>
      <c r="AY53" s="9"/>
    </row>
    <row r="54" spans="3:51" ht="3" customHeight="1" x14ac:dyDescent="0.3">
      <c r="D54" s="7"/>
      <c r="E54" s="8"/>
      <c r="F54" s="8"/>
      <c r="G54" s="9"/>
      <c r="H54" s="7"/>
      <c r="I54" s="8"/>
      <c r="J54" s="8"/>
      <c r="K54" s="9"/>
      <c r="L54" s="7"/>
      <c r="M54" s="8"/>
      <c r="N54" s="8"/>
      <c r="O54" s="9"/>
      <c r="P54" s="7"/>
      <c r="Q54" s="8"/>
      <c r="R54" s="8"/>
      <c r="S54" s="9"/>
      <c r="T54" s="7"/>
      <c r="U54" s="8"/>
      <c r="V54" s="8"/>
      <c r="W54" s="9"/>
      <c r="X54" s="7"/>
      <c r="Y54" s="8"/>
      <c r="Z54" s="8"/>
      <c r="AA54" s="9"/>
      <c r="AB54" s="7"/>
      <c r="AC54" s="8"/>
      <c r="AD54" s="8"/>
      <c r="AE54" s="9"/>
      <c r="AF54" s="7"/>
      <c r="AG54" s="8"/>
      <c r="AH54" s="8"/>
      <c r="AI54" s="9"/>
      <c r="AJ54" s="7"/>
      <c r="AK54" s="8"/>
      <c r="AL54" s="8"/>
      <c r="AM54" s="9"/>
      <c r="AN54" s="7"/>
      <c r="AO54" s="8"/>
      <c r="AP54" s="8"/>
      <c r="AQ54" s="9"/>
      <c r="AR54" s="7"/>
      <c r="AS54" s="8"/>
      <c r="AT54" s="8"/>
      <c r="AU54" s="9"/>
      <c r="AV54" s="7"/>
      <c r="AW54" s="8"/>
      <c r="AX54" s="8"/>
      <c r="AY54" s="9"/>
    </row>
    <row r="55" spans="3:51" x14ac:dyDescent="0.3">
      <c r="C55" s="3" t="s">
        <v>57</v>
      </c>
      <c r="D55" s="7"/>
      <c r="E55" s="8"/>
      <c r="F55" s="8"/>
      <c r="G55" s="9"/>
      <c r="H55" s="7"/>
      <c r="I55" s="8"/>
      <c r="J55" s="8"/>
      <c r="K55" s="9"/>
      <c r="L55" s="7"/>
      <c r="M55" s="8"/>
      <c r="N55" s="8"/>
      <c r="O55" s="9"/>
      <c r="P55" s="7"/>
      <c r="Q55" s="8"/>
      <c r="R55" s="8"/>
      <c r="S55" s="9"/>
      <c r="T55" s="7"/>
      <c r="U55" s="8"/>
      <c r="V55" s="8"/>
      <c r="W55" s="9"/>
      <c r="X55" s="7"/>
      <c r="Y55" s="8"/>
      <c r="Z55" s="8"/>
      <c r="AA55" s="9"/>
      <c r="AB55" s="7"/>
      <c r="AC55" s="8"/>
      <c r="AD55" s="8"/>
      <c r="AE55" s="9"/>
      <c r="AF55" s="7"/>
      <c r="AG55" s="8"/>
      <c r="AH55" s="8"/>
      <c r="AI55" s="9"/>
      <c r="AJ55" s="7"/>
      <c r="AK55" s="8"/>
      <c r="AL55" s="8"/>
      <c r="AM55" s="9"/>
      <c r="AN55" s="7"/>
      <c r="AO55" s="8"/>
      <c r="AP55" s="8"/>
      <c r="AQ55" s="9"/>
      <c r="AR55" s="7"/>
      <c r="AS55" s="8"/>
      <c r="AT55" s="8"/>
      <c r="AU55" s="9"/>
      <c r="AV55" s="7"/>
      <c r="AW55" s="8"/>
      <c r="AX55" s="8"/>
      <c r="AY55" s="9"/>
    </row>
    <row r="56" spans="3:51" x14ac:dyDescent="0.3">
      <c r="D56" s="7"/>
      <c r="E56" s="8"/>
      <c r="F56" s="8"/>
      <c r="G56" s="9"/>
      <c r="H56" s="7"/>
      <c r="I56" s="8"/>
      <c r="J56" s="8"/>
      <c r="K56" s="9"/>
      <c r="L56" s="7"/>
      <c r="M56" s="8"/>
      <c r="N56" s="8"/>
      <c r="O56" s="9"/>
      <c r="P56" s="7"/>
      <c r="Q56" s="8"/>
      <c r="R56" s="8"/>
      <c r="S56" s="9"/>
      <c r="T56" s="7"/>
      <c r="U56" s="8"/>
      <c r="V56" s="8"/>
      <c r="W56" s="9"/>
      <c r="X56" s="7"/>
      <c r="Y56" s="8"/>
      <c r="Z56" s="8"/>
      <c r="AA56" s="9"/>
      <c r="AB56" s="7"/>
      <c r="AC56" s="8"/>
      <c r="AD56" s="8"/>
      <c r="AE56" s="9"/>
      <c r="AF56" s="7"/>
      <c r="AG56" s="8"/>
      <c r="AH56" s="8"/>
      <c r="AI56" s="9"/>
      <c r="AJ56" s="7"/>
      <c r="AK56" s="8"/>
      <c r="AL56" s="8"/>
      <c r="AM56" s="9"/>
      <c r="AN56" s="7"/>
      <c r="AO56" s="8"/>
      <c r="AP56" s="8"/>
      <c r="AQ56" s="9"/>
      <c r="AR56" s="7"/>
      <c r="AS56" s="8"/>
      <c r="AT56" s="8"/>
      <c r="AU56" s="9"/>
      <c r="AV56" s="7"/>
      <c r="AW56" s="8"/>
      <c r="AX56" s="8"/>
      <c r="AY56" s="9"/>
    </row>
    <row r="57" spans="3:51" x14ac:dyDescent="0.3">
      <c r="D57" s="7"/>
      <c r="E57" s="8"/>
      <c r="F57" s="8"/>
      <c r="G57" s="9"/>
      <c r="H57" s="7"/>
      <c r="I57" s="8"/>
      <c r="J57" s="8"/>
      <c r="K57" s="9"/>
      <c r="L57" s="7"/>
      <c r="M57" s="8"/>
      <c r="N57" s="8"/>
      <c r="O57" s="9"/>
      <c r="P57" s="7"/>
      <c r="Q57" s="8"/>
      <c r="R57" s="8"/>
      <c r="S57" s="9"/>
      <c r="T57" s="7"/>
      <c r="U57" s="8"/>
      <c r="V57" s="8"/>
      <c r="W57" s="9"/>
      <c r="X57" s="7"/>
      <c r="Y57" s="8"/>
      <c r="Z57" s="8"/>
      <c r="AA57" s="9"/>
      <c r="AB57" s="7"/>
      <c r="AC57" s="8"/>
      <c r="AD57" s="8"/>
      <c r="AE57" s="9"/>
      <c r="AF57" s="7"/>
      <c r="AG57" s="8"/>
      <c r="AH57" s="8"/>
      <c r="AI57" s="9"/>
      <c r="AJ57" s="7"/>
      <c r="AK57" s="8"/>
      <c r="AL57" s="8"/>
      <c r="AM57" s="9"/>
      <c r="AN57" s="7"/>
      <c r="AO57" s="8"/>
      <c r="AP57" s="8"/>
      <c r="AQ57" s="9"/>
      <c r="AR57" s="7"/>
      <c r="AS57" s="8"/>
      <c r="AT57" s="8"/>
      <c r="AU57" s="9"/>
      <c r="AV57" s="7"/>
      <c r="AW57" s="8"/>
      <c r="AX57" s="8"/>
      <c r="AY57" s="9"/>
    </row>
    <row r="58" spans="3:51" x14ac:dyDescent="0.3">
      <c r="D58" s="7"/>
      <c r="E58" s="8"/>
      <c r="F58" s="8"/>
      <c r="G58" s="9"/>
      <c r="H58" s="7"/>
      <c r="I58" s="8"/>
      <c r="J58" s="8"/>
      <c r="K58" s="9"/>
      <c r="L58" s="7"/>
      <c r="M58" s="8"/>
      <c r="N58" s="8"/>
      <c r="O58" s="9"/>
      <c r="P58" s="7"/>
      <c r="Q58" s="8"/>
      <c r="R58" s="8"/>
      <c r="S58" s="9"/>
      <c r="T58" s="7"/>
      <c r="U58" s="8"/>
      <c r="V58" s="8"/>
      <c r="W58" s="9"/>
      <c r="X58" s="7"/>
      <c r="Y58" s="8"/>
      <c r="Z58" s="8"/>
      <c r="AA58" s="9"/>
      <c r="AB58" s="7"/>
      <c r="AC58" s="8"/>
      <c r="AD58" s="8"/>
      <c r="AE58" s="9"/>
      <c r="AF58" s="7"/>
      <c r="AG58" s="8"/>
      <c r="AH58" s="8"/>
      <c r="AI58" s="9"/>
      <c r="AJ58" s="7"/>
      <c r="AK58" s="8"/>
      <c r="AL58" s="8"/>
      <c r="AM58" s="9"/>
      <c r="AN58" s="7"/>
      <c r="AO58" s="8"/>
      <c r="AP58" s="8"/>
      <c r="AQ58" s="9"/>
      <c r="AR58" s="7"/>
      <c r="AS58" s="8"/>
      <c r="AT58" s="8"/>
      <c r="AU58" s="9"/>
      <c r="AV58" s="7"/>
      <c r="AW58" s="8"/>
      <c r="AX58" s="8"/>
      <c r="AY58" s="9"/>
    </row>
    <row r="59" spans="3:51" ht="20" x14ac:dyDescent="0.4">
      <c r="C59" s="4" t="s">
        <v>58</v>
      </c>
      <c r="D59" s="7"/>
      <c r="E59" s="8"/>
      <c r="F59" s="8"/>
      <c r="G59" s="9"/>
      <c r="H59" s="7"/>
      <c r="I59" s="8"/>
      <c r="J59" s="8"/>
      <c r="K59" s="9"/>
      <c r="L59" s="7"/>
      <c r="M59" s="8"/>
      <c r="N59" s="8"/>
      <c r="O59" s="9"/>
      <c r="P59" s="7"/>
      <c r="Q59" s="8"/>
      <c r="R59" s="8"/>
      <c r="S59" s="9"/>
      <c r="T59" s="7"/>
      <c r="U59" s="8"/>
      <c r="V59" s="8"/>
      <c r="W59" s="9"/>
      <c r="X59" s="7"/>
      <c r="Y59" s="8"/>
      <c r="Z59" s="8"/>
      <c r="AA59" s="9"/>
      <c r="AB59" s="7"/>
      <c r="AC59" s="8"/>
      <c r="AD59" s="8"/>
      <c r="AE59" s="9"/>
      <c r="AF59" s="7"/>
      <c r="AG59" s="8"/>
      <c r="AH59" s="8"/>
      <c r="AI59" s="9"/>
      <c r="AJ59" s="7"/>
      <c r="AK59" s="8"/>
      <c r="AL59" s="8"/>
      <c r="AM59" s="9"/>
      <c r="AN59" s="7"/>
      <c r="AO59" s="8"/>
      <c r="AP59" s="8"/>
      <c r="AQ59" s="9"/>
      <c r="AR59" s="7"/>
      <c r="AS59" s="8"/>
      <c r="AT59" s="8"/>
      <c r="AU59" s="9"/>
      <c r="AV59" s="7"/>
      <c r="AW59" s="8"/>
      <c r="AX59" s="8"/>
      <c r="AY59" s="9"/>
    </row>
    <row r="60" spans="3:51" x14ac:dyDescent="0.3">
      <c r="C60" s="1" t="s">
        <v>0</v>
      </c>
      <c r="D60" s="10"/>
      <c r="E60" s="11"/>
      <c r="F60" s="11"/>
      <c r="G60" s="12"/>
      <c r="H60" s="10">
        <v>862</v>
      </c>
      <c r="I60" s="11">
        <v>869</v>
      </c>
      <c r="J60" s="11">
        <v>908</v>
      </c>
      <c r="K60" s="12">
        <v>965</v>
      </c>
      <c r="L60" s="10">
        <v>942</v>
      </c>
      <c r="M60" s="11">
        <v>958</v>
      </c>
      <c r="N60" s="11">
        <v>992</v>
      </c>
      <c r="O60" s="12">
        <v>1063</v>
      </c>
      <c r="P60" s="10">
        <v>1038</v>
      </c>
      <c r="Q60" s="11">
        <v>1059</v>
      </c>
      <c r="R60" s="11">
        <v>1133</v>
      </c>
      <c r="S60" s="12">
        <v>1106</v>
      </c>
      <c r="T60" s="10">
        <v>1083</v>
      </c>
      <c r="U60" s="11">
        <v>1031</v>
      </c>
      <c r="V60" s="11">
        <v>1077</v>
      </c>
      <c r="W60" s="12">
        <v>1067</v>
      </c>
      <c r="X60" s="10">
        <v>1091</v>
      </c>
      <c r="Y60" s="11">
        <v>1109</v>
      </c>
      <c r="Z60" s="11">
        <v>1195</v>
      </c>
      <c r="AA60" s="12">
        <v>1212</v>
      </c>
      <c r="AB60" s="10">
        <v>1139</v>
      </c>
      <c r="AC60" s="11">
        <v>1152</v>
      </c>
      <c r="AD60" s="11">
        <v>1191</v>
      </c>
      <c r="AE60" s="12">
        <v>1213</v>
      </c>
      <c r="AF60" s="10">
        <v>1286</v>
      </c>
      <c r="AG60" s="11">
        <v>1237</v>
      </c>
      <c r="AH60" s="11">
        <v>1269</v>
      </c>
      <c r="AI60" s="12">
        <v>1278</v>
      </c>
      <c r="AJ60" s="10">
        <v>1283</v>
      </c>
      <c r="AK60" s="11">
        <v>1291</v>
      </c>
      <c r="AL60" s="11">
        <v>1327</v>
      </c>
      <c r="AM60" s="12">
        <v>1328</v>
      </c>
      <c r="AN60" s="10">
        <v>1339</v>
      </c>
      <c r="AO60" s="11">
        <v>1335</v>
      </c>
      <c r="AP60" s="11">
        <v>1335</v>
      </c>
      <c r="AQ60" s="12">
        <v>1344</v>
      </c>
      <c r="AR60" s="10">
        <v>1339</v>
      </c>
      <c r="AS60" s="11">
        <v>1323</v>
      </c>
      <c r="AT60" s="11">
        <v>1311</v>
      </c>
      <c r="AU60" s="12">
        <v>1322</v>
      </c>
      <c r="AV60" s="10"/>
      <c r="AW60" s="11"/>
      <c r="AX60" s="11"/>
      <c r="AY60" s="12"/>
    </row>
    <row r="61" spans="3:51" s="6" customFormat="1" ht="14.5" x14ac:dyDescent="0.35">
      <c r="C61" s="2" t="s">
        <v>1</v>
      </c>
      <c r="D61" s="13"/>
      <c r="E61" s="14"/>
      <c r="F61" s="14"/>
      <c r="G61" s="15"/>
      <c r="H61" s="20"/>
      <c r="I61" s="21"/>
      <c r="J61" s="21"/>
      <c r="K61" s="22"/>
      <c r="L61" s="20">
        <f t="shared" ref="L61" si="277">+L60/H60-1</f>
        <v>9.2807424593967625E-2</v>
      </c>
      <c r="M61" s="21">
        <f t="shared" ref="M61" si="278">+M60/I60-1</f>
        <v>0.10241657077100119</v>
      </c>
      <c r="N61" s="21">
        <f t="shared" ref="N61" si="279">+N60/J60-1</f>
        <v>9.2511013215859084E-2</v>
      </c>
      <c r="O61" s="22">
        <f t="shared" ref="O61" si="280">+O60/K60-1</f>
        <v>0.10155440414507777</v>
      </c>
      <c r="P61" s="20">
        <f t="shared" ref="P61" si="281">+P60/L60-1</f>
        <v>0.10191082802547768</v>
      </c>
      <c r="Q61" s="21">
        <f t="shared" ref="Q61" si="282">+Q60/M60-1</f>
        <v>0.10542797494780798</v>
      </c>
      <c r="R61" s="21">
        <f t="shared" ref="R61" si="283">+R60/N60-1</f>
        <v>0.14213709677419351</v>
      </c>
      <c r="S61" s="22">
        <f t="shared" ref="S61" si="284">+S60/O60-1</f>
        <v>4.0451552210724273E-2</v>
      </c>
      <c r="T61" s="20">
        <f t="shared" ref="T61" si="285">+T60/P60-1</f>
        <v>4.3352601156069426E-2</v>
      </c>
      <c r="U61" s="21">
        <f t="shared" ref="U61" si="286">+U60/Q60-1</f>
        <v>-2.6440037771482516E-2</v>
      </c>
      <c r="V61" s="21">
        <f t="shared" ref="V61" si="287">+V60/R60-1</f>
        <v>-4.9426301853486287E-2</v>
      </c>
      <c r="W61" s="22">
        <f t="shared" ref="W61" si="288">+W60/S60-1</f>
        <v>-3.5262206148282127E-2</v>
      </c>
      <c r="X61" s="20">
        <f t="shared" ref="X61" si="289">+X60/T60-1</f>
        <v>7.3868882733147956E-3</v>
      </c>
      <c r="Y61" s="21">
        <f t="shared" ref="Y61" si="290">+Y60/U60-1</f>
        <v>7.5654704170708076E-2</v>
      </c>
      <c r="Z61" s="21">
        <f t="shared" ref="Z61" si="291">+Z60/V60-1</f>
        <v>0.10956360259981435</v>
      </c>
      <c r="AA61" s="22">
        <f t="shared" ref="AA61" si="292">+AA60/W60-1</f>
        <v>0.13589503280224924</v>
      </c>
      <c r="AB61" s="20">
        <f t="shared" ref="AB61" si="293">+AB60/X60-1</f>
        <v>4.399633363886335E-2</v>
      </c>
      <c r="AC61" s="21">
        <f t="shared" ref="AC61" si="294">+AC60/Y60-1</f>
        <v>3.8773669972948621E-2</v>
      </c>
      <c r="AD61" s="21">
        <f t="shared" ref="AD61" si="295">+AD60/Z60-1</f>
        <v>-3.3472803347280866E-3</v>
      </c>
      <c r="AE61" s="22">
        <f t="shared" ref="AE61" si="296">+AE60/AA60-1</f>
        <v>8.250825082507518E-4</v>
      </c>
      <c r="AF61" s="20">
        <f t="shared" ref="AF61" si="297">+AF60/AB60-1</f>
        <v>0.12906057945566296</v>
      </c>
      <c r="AG61" s="21">
        <f t="shared" ref="AG61" si="298">+AG60/AC60-1</f>
        <v>7.3784722222222321E-2</v>
      </c>
      <c r="AH61" s="21">
        <f t="shared" ref="AH61" si="299">+AH60/AD60-1</f>
        <v>6.5491183879093251E-2</v>
      </c>
      <c r="AI61" s="22">
        <f t="shared" ref="AI61" si="300">+AI60/AE60-1</f>
        <v>5.3586150041220026E-2</v>
      </c>
      <c r="AJ61" s="20">
        <f t="shared" ref="AJ61" si="301">+AJ60/AF60-1</f>
        <v>-2.3328149300155809E-3</v>
      </c>
      <c r="AK61" s="21">
        <f t="shared" ref="AK61" si="302">+AK60/AG60-1</f>
        <v>4.3654001616814764E-2</v>
      </c>
      <c r="AL61" s="21">
        <f t="shared" ref="AL61" si="303">+AL60/AH60-1</f>
        <v>4.5705279747833005E-2</v>
      </c>
      <c r="AM61" s="22">
        <f t="shared" ref="AM61" si="304">+AM60/AI60-1</f>
        <v>3.9123630672926346E-2</v>
      </c>
      <c r="AN61" s="20">
        <f t="shared" ref="AN61" si="305">+AN60/AJ60-1</f>
        <v>4.3647700701480829E-2</v>
      </c>
      <c r="AO61" s="21">
        <f t="shared" ref="AO61" si="306">+AO60/AK60-1</f>
        <v>3.4082106893880804E-2</v>
      </c>
      <c r="AP61" s="21">
        <f t="shared" ref="AP61" si="307">+AP60/AL60-1</f>
        <v>6.0286360211001533E-3</v>
      </c>
      <c r="AQ61" s="22">
        <f t="shared" ref="AQ61" si="308">+AQ60/AM60-1</f>
        <v>1.2048192771084265E-2</v>
      </c>
      <c r="AR61" s="20">
        <f t="shared" ref="AR61" si="309">+AR60/AN60-1</f>
        <v>0</v>
      </c>
      <c r="AS61" s="21">
        <f t="shared" ref="AS61" si="310">+AS60/AO60-1</f>
        <v>-8.9887640449438644E-3</v>
      </c>
      <c r="AT61" s="21">
        <f t="shared" ref="AT61" si="311">+AT60/AP60-1</f>
        <v>-1.7977528089887618E-2</v>
      </c>
      <c r="AU61" s="22">
        <f>+AU60/AQ60-1</f>
        <v>-1.6369047619047672E-2</v>
      </c>
      <c r="AV61" s="20"/>
      <c r="AW61" s="21"/>
      <c r="AX61" s="21"/>
      <c r="AY61" s="22"/>
    </row>
    <row r="62" spans="3:51" x14ac:dyDescent="0.3">
      <c r="C62" s="1" t="s">
        <v>2</v>
      </c>
      <c r="D62" s="10"/>
      <c r="E62" s="11"/>
      <c r="F62" s="11"/>
      <c r="G62" s="12"/>
      <c r="H62" s="10"/>
      <c r="I62" s="11"/>
      <c r="J62" s="11"/>
      <c r="K62" s="12"/>
      <c r="L62" s="10"/>
      <c r="M62" s="11"/>
      <c r="N62" s="11"/>
      <c r="O62" s="12"/>
      <c r="P62" s="10"/>
      <c r="Q62" s="11"/>
      <c r="R62" s="11"/>
      <c r="S62" s="12"/>
      <c r="T62" s="10"/>
      <c r="U62" s="11"/>
      <c r="V62" s="11"/>
      <c r="W62" s="12"/>
      <c r="X62" s="10"/>
      <c r="Y62" s="11"/>
      <c r="Z62" s="11"/>
      <c r="AA62" s="12"/>
      <c r="AB62" s="10"/>
      <c r="AC62" s="11"/>
      <c r="AD62" s="11"/>
      <c r="AE62" s="12"/>
      <c r="AF62" s="10"/>
      <c r="AG62" s="11"/>
      <c r="AH62" s="11"/>
      <c r="AI62" s="12"/>
      <c r="AJ62" s="10"/>
      <c r="AK62" s="11"/>
      <c r="AL62" s="11"/>
      <c r="AM62" s="12"/>
      <c r="AN62" s="10"/>
      <c r="AO62" s="11"/>
      <c r="AP62" s="11"/>
      <c r="AQ62" s="12"/>
      <c r="AR62" s="10"/>
      <c r="AS62" s="11"/>
      <c r="AT62" s="11"/>
      <c r="AU62" s="12"/>
      <c r="AV62" s="10"/>
      <c r="AW62" s="11"/>
      <c r="AX62" s="11"/>
      <c r="AY62" s="12"/>
    </row>
    <row r="63" spans="3:51" x14ac:dyDescent="0.3">
      <c r="C63" s="2" t="s">
        <v>1</v>
      </c>
      <c r="D63" s="10"/>
      <c r="E63" s="11"/>
      <c r="F63" s="11"/>
      <c r="G63" s="12"/>
      <c r="H63" s="10"/>
      <c r="I63" s="11"/>
      <c r="J63" s="11"/>
      <c r="K63" s="12"/>
      <c r="L63" s="10"/>
      <c r="M63" s="11"/>
      <c r="N63" s="11"/>
      <c r="O63" s="12"/>
      <c r="P63" s="10"/>
      <c r="Q63" s="11"/>
      <c r="R63" s="11"/>
      <c r="S63" s="12"/>
      <c r="T63" s="10"/>
      <c r="U63" s="11"/>
      <c r="V63" s="11"/>
      <c r="W63" s="12"/>
      <c r="X63" s="10"/>
      <c r="Y63" s="11"/>
      <c r="Z63" s="11"/>
      <c r="AA63" s="12"/>
      <c r="AB63" s="10"/>
      <c r="AC63" s="11"/>
      <c r="AD63" s="11"/>
      <c r="AE63" s="12"/>
      <c r="AF63" s="10"/>
      <c r="AG63" s="11"/>
      <c r="AH63" s="11"/>
      <c r="AI63" s="12"/>
      <c r="AJ63" s="10"/>
      <c r="AK63" s="11"/>
      <c r="AL63" s="11"/>
      <c r="AM63" s="12"/>
      <c r="AN63" s="10"/>
      <c r="AO63" s="11"/>
      <c r="AP63" s="11"/>
      <c r="AQ63" s="12"/>
      <c r="AR63" s="10"/>
      <c r="AS63" s="11"/>
      <c r="AT63" s="11"/>
      <c r="AU63" s="12"/>
      <c r="AV63" s="10"/>
      <c r="AW63" s="11"/>
      <c r="AX63" s="11"/>
      <c r="AY63" s="12"/>
    </row>
    <row r="64" spans="3:51" ht="3" customHeight="1" x14ac:dyDescent="0.3">
      <c r="D64" s="10"/>
      <c r="E64" s="11"/>
      <c r="F64" s="11"/>
      <c r="G64" s="12"/>
      <c r="H64" s="10"/>
      <c r="I64" s="11"/>
      <c r="J64" s="11"/>
      <c r="K64" s="12"/>
      <c r="L64" s="10"/>
      <c r="M64" s="11"/>
      <c r="N64" s="11"/>
      <c r="O64" s="12"/>
      <c r="P64" s="10"/>
      <c r="Q64" s="11"/>
      <c r="R64" s="11"/>
      <c r="S64" s="12"/>
      <c r="T64" s="10"/>
      <c r="U64" s="11"/>
      <c r="V64" s="11"/>
      <c r="W64" s="12"/>
      <c r="X64" s="10"/>
      <c r="Y64" s="11"/>
      <c r="Z64" s="11"/>
      <c r="AA64" s="12"/>
      <c r="AB64" s="10"/>
      <c r="AC64" s="11"/>
      <c r="AD64" s="11"/>
      <c r="AE64" s="12"/>
      <c r="AF64" s="10"/>
      <c r="AG64" s="11"/>
      <c r="AH64" s="11"/>
      <c r="AI64" s="12"/>
      <c r="AJ64" s="10"/>
      <c r="AK64" s="11"/>
      <c r="AL64" s="11"/>
      <c r="AM64" s="12"/>
      <c r="AN64" s="10"/>
      <c r="AO64" s="11"/>
      <c r="AP64" s="11"/>
      <c r="AQ64" s="12"/>
      <c r="AR64" s="10"/>
      <c r="AS64" s="11"/>
      <c r="AT64" s="11"/>
      <c r="AU64" s="12"/>
      <c r="AV64" s="10"/>
      <c r="AW64" s="11"/>
      <c r="AX64" s="11"/>
      <c r="AY64" s="12"/>
    </row>
    <row r="65" spans="3:51" x14ac:dyDescent="0.3">
      <c r="C65" s="1" t="s">
        <v>12</v>
      </c>
      <c r="D65" s="10"/>
      <c r="E65" s="11"/>
      <c r="F65" s="11"/>
      <c r="G65" s="12"/>
      <c r="H65" s="10">
        <v>1205</v>
      </c>
      <c r="I65" s="11">
        <v>1320</v>
      </c>
      <c r="J65" s="11">
        <v>1378</v>
      </c>
      <c r="K65" s="12">
        <v>1462</v>
      </c>
      <c r="L65" s="10">
        <v>1928</v>
      </c>
      <c r="M65" s="11">
        <v>2184</v>
      </c>
      <c r="N65" s="11">
        <v>2043</v>
      </c>
      <c r="O65" s="12">
        <v>2116</v>
      </c>
      <c r="P65" s="10">
        <v>2036</v>
      </c>
      <c r="Q65" s="11">
        <v>2095</v>
      </c>
      <c r="R65" s="11">
        <v>2109</v>
      </c>
      <c r="S65" s="12">
        <v>2176</v>
      </c>
      <c r="T65" s="10">
        <v>2244</v>
      </c>
      <c r="U65" s="11">
        <v>2165</v>
      </c>
      <c r="V65" s="11">
        <v>2103</v>
      </c>
      <c r="W65" s="12">
        <v>2022</v>
      </c>
      <c r="X65" s="10">
        <v>1906</v>
      </c>
      <c r="Y65" s="11">
        <v>2022</v>
      </c>
      <c r="Z65" s="11">
        <v>1956</v>
      </c>
      <c r="AA65" s="12">
        <v>1949</v>
      </c>
      <c r="AB65" s="10">
        <v>1644</v>
      </c>
      <c r="AC65" s="11">
        <v>1437</v>
      </c>
      <c r="AD65" s="11">
        <v>1422</v>
      </c>
      <c r="AE65" s="12">
        <v>1336</v>
      </c>
      <c r="AF65" s="10">
        <v>1454</v>
      </c>
      <c r="AG65" s="11">
        <v>1445</v>
      </c>
      <c r="AH65" s="11">
        <v>1423</v>
      </c>
      <c r="AI65" s="12">
        <v>1448</v>
      </c>
      <c r="AJ65" s="10">
        <v>1756</v>
      </c>
      <c r="AK65" s="11">
        <v>1794</v>
      </c>
      <c r="AL65" s="11">
        <v>1730</v>
      </c>
      <c r="AM65" s="12">
        <v>1816</v>
      </c>
      <c r="AN65" s="10">
        <v>1756</v>
      </c>
      <c r="AO65" s="11">
        <v>1805</v>
      </c>
      <c r="AP65" s="11">
        <v>1809</v>
      </c>
      <c r="AQ65" s="12">
        <v>1773</v>
      </c>
      <c r="AR65" s="10">
        <v>1849</v>
      </c>
      <c r="AS65" s="11">
        <v>1921</v>
      </c>
      <c r="AT65" s="11">
        <v>1952</v>
      </c>
      <c r="AU65" s="12">
        <v>1888</v>
      </c>
      <c r="AV65" s="10"/>
      <c r="AW65" s="11"/>
      <c r="AX65" s="11"/>
      <c r="AY65" s="12"/>
    </row>
    <row r="66" spans="3:51" s="6" customFormat="1" ht="14.5" x14ac:dyDescent="0.35">
      <c r="C66" s="2" t="s">
        <v>1</v>
      </c>
      <c r="D66" s="13"/>
      <c r="E66" s="14"/>
      <c r="F66" s="14"/>
      <c r="G66" s="15"/>
      <c r="H66" s="20"/>
      <c r="I66" s="21"/>
      <c r="J66" s="21"/>
      <c r="K66" s="22"/>
      <c r="L66" s="20">
        <f t="shared" ref="L66" si="312">+L65/H65-1</f>
        <v>0.60000000000000009</v>
      </c>
      <c r="M66" s="21">
        <f t="shared" ref="M66" si="313">+M65/I65-1</f>
        <v>0.65454545454545454</v>
      </c>
      <c r="N66" s="21">
        <f t="shared" ref="N66" si="314">+N65/J65-1</f>
        <v>0.48258345428156746</v>
      </c>
      <c r="O66" s="22">
        <f t="shared" ref="O66" si="315">+O65/K65-1</f>
        <v>0.44733242134062934</v>
      </c>
      <c r="P66" s="20">
        <f t="shared" ref="P66" si="316">+P65/L65-1</f>
        <v>5.6016597510373467E-2</v>
      </c>
      <c r="Q66" s="21">
        <f t="shared" ref="Q66" si="317">+Q65/M65-1</f>
        <v>-4.0750915750915717E-2</v>
      </c>
      <c r="R66" s="21">
        <f t="shared" ref="R66" si="318">+R65/N65-1</f>
        <v>3.2305433186490484E-2</v>
      </c>
      <c r="S66" s="22">
        <f t="shared" ref="S66" si="319">+S65/O65-1</f>
        <v>2.8355387523629538E-2</v>
      </c>
      <c r="T66" s="20">
        <f t="shared" ref="T66" si="320">+T65/P65-1</f>
        <v>0.10216110019646374</v>
      </c>
      <c r="U66" s="21">
        <f t="shared" ref="U66" si="321">+U65/Q65-1</f>
        <v>3.3412887828162319E-2</v>
      </c>
      <c r="V66" s="21">
        <f t="shared" ref="V66" si="322">+V65/R65-1</f>
        <v>-2.8449502133712778E-3</v>
      </c>
      <c r="W66" s="22">
        <f t="shared" ref="W66" si="323">+W65/S65-1</f>
        <v>-7.0772058823529438E-2</v>
      </c>
      <c r="X66" s="20">
        <f t="shared" ref="X66" si="324">+X65/T65-1</f>
        <v>-0.15062388591800357</v>
      </c>
      <c r="Y66" s="21">
        <f t="shared" ref="Y66" si="325">+Y65/U65-1</f>
        <v>-6.6050808314087717E-2</v>
      </c>
      <c r="Z66" s="21">
        <f t="shared" ref="Z66" si="326">+Z65/V65-1</f>
        <v>-6.9900142653352315E-2</v>
      </c>
      <c r="AA66" s="22">
        <f t="shared" ref="AA66" si="327">+AA65/W65-1</f>
        <v>-3.6102868447082104E-2</v>
      </c>
      <c r="AB66" s="20">
        <f t="shared" ref="AB66" si="328">+AB65/X65-1</f>
        <v>-0.13746065057712487</v>
      </c>
      <c r="AC66" s="21">
        <f t="shared" ref="AC66" si="329">+AC65/Y65-1</f>
        <v>-0.28931750741839768</v>
      </c>
      <c r="AD66" s="21">
        <f t="shared" ref="AD66" si="330">+AD65/Z65-1</f>
        <v>-0.27300613496932513</v>
      </c>
      <c r="AE66" s="22">
        <f t="shared" ref="AE66" si="331">+AE65/AA65-1</f>
        <v>-0.31452026680348899</v>
      </c>
      <c r="AF66" s="20">
        <f t="shared" ref="AF66" si="332">+AF65/AB65-1</f>
        <v>-0.11557177615571779</v>
      </c>
      <c r="AG66" s="21">
        <f t="shared" ref="AG66" si="333">+AG65/AC65-1</f>
        <v>5.5671537926236248E-3</v>
      </c>
      <c r="AH66" s="21">
        <f t="shared" ref="AH66" si="334">+AH65/AD65-1</f>
        <v>7.0323488045009874E-4</v>
      </c>
      <c r="AI66" s="22">
        <f t="shared" ref="AI66" si="335">+AI65/AE65-1</f>
        <v>8.3832335329341312E-2</v>
      </c>
      <c r="AJ66" s="20">
        <f t="shared" ref="AJ66" si="336">+AJ65/AF65-1</f>
        <v>0.20770288858321861</v>
      </c>
      <c r="AK66" s="21">
        <f t="shared" ref="AK66" si="337">+AK65/AG65-1</f>
        <v>0.24152249134948089</v>
      </c>
      <c r="AL66" s="21">
        <f t="shared" ref="AL66" si="338">+AL65/AH65-1</f>
        <v>0.21574139142656357</v>
      </c>
      <c r="AM66" s="22">
        <f t="shared" ref="AM66" si="339">+AM65/AI65-1</f>
        <v>0.2541436464088398</v>
      </c>
      <c r="AN66" s="20">
        <f t="shared" ref="AN66" si="340">+AN65/AJ65-1</f>
        <v>0</v>
      </c>
      <c r="AO66" s="21">
        <f t="shared" ref="AO66" si="341">+AO65/AK65-1</f>
        <v>6.1315496098104383E-3</v>
      </c>
      <c r="AP66" s="21">
        <f t="shared" ref="AP66" si="342">+AP65/AL65-1</f>
        <v>4.5664739884393013E-2</v>
      </c>
      <c r="AQ66" s="22">
        <f t="shared" ref="AQ66" si="343">+AQ65/AM65-1</f>
        <v>-2.3678414096916289E-2</v>
      </c>
      <c r="AR66" s="20">
        <f t="shared" ref="AR66" si="344">+AR65/AN65-1</f>
        <v>5.2961275626423721E-2</v>
      </c>
      <c r="AS66" s="21">
        <f t="shared" ref="AS66" si="345">+AS65/AO65-1</f>
        <v>6.4265927977839254E-2</v>
      </c>
      <c r="AT66" s="21">
        <f t="shared" ref="AT66" si="346">+AT65/AP65-1</f>
        <v>7.90491984521835E-2</v>
      </c>
      <c r="AU66" s="22">
        <f>+AU65/AQ65-1</f>
        <v>6.4861816130851624E-2</v>
      </c>
      <c r="AV66" s="20"/>
      <c r="AW66" s="21"/>
      <c r="AX66" s="21"/>
      <c r="AY66" s="22"/>
    </row>
    <row r="67" spans="3:51" x14ac:dyDescent="0.3">
      <c r="C67" s="1" t="s">
        <v>13</v>
      </c>
      <c r="D67" s="10"/>
      <c r="E67" s="11"/>
      <c r="F67" s="11"/>
      <c r="G67" s="12"/>
      <c r="H67" s="10"/>
      <c r="I67" s="11"/>
      <c r="J67" s="11"/>
      <c r="K67" s="12"/>
      <c r="L67" s="10"/>
      <c r="M67" s="11"/>
      <c r="N67" s="11"/>
      <c r="O67" s="12"/>
      <c r="P67" s="10"/>
      <c r="Q67" s="11"/>
      <c r="R67" s="11"/>
      <c r="S67" s="12"/>
      <c r="T67" s="10"/>
      <c r="U67" s="11"/>
      <c r="V67" s="11"/>
      <c r="W67" s="12"/>
      <c r="X67" s="10"/>
      <c r="Y67" s="11"/>
      <c r="Z67" s="11"/>
      <c r="AA67" s="12"/>
      <c r="AB67" s="10"/>
      <c r="AC67" s="11"/>
      <c r="AD67" s="11"/>
      <c r="AE67" s="12"/>
      <c r="AF67" s="10"/>
      <c r="AG67" s="11"/>
      <c r="AH67" s="11"/>
      <c r="AI67" s="12"/>
      <c r="AJ67" s="10"/>
      <c r="AK67" s="11"/>
      <c r="AL67" s="11"/>
      <c r="AM67" s="12"/>
      <c r="AN67" s="10"/>
      <c r="AO67" s="11"/>
      <c r="AP67" s="11"/>
      <c r="AQ67" s="12"/>
      <c r="AR67" s="10"/>
      <c r="AS67" s="11"/>
      <c r="AT67" s="11"/>
      <c r="AU67" s="12"/>
      <c r="AV67" s="10"/>
      <c r="AW67" s="11"/>
      <c r="AX67" s="11"/>
      <c r="AY67" s="12"/>
    </row>
    <row r="68" spans="3:51" x14ac:dyDescent="0.3">
      <c r="C68" s="2" t="s">
        <v>1</v>
      </c>
      <c r="D68" s="10"/>
      <c r="E68" s="11"/>
      <c r="F68" s="11"/>
      <c r="G68" s="12"/>
      <c r="H68" s="10"/>
      <c r="I68" s="11"/>
      <c r="J68" s="11"/>
      <c r="K68" s="12"/>
      <c r="L68" s="10"/>
      <c r="M68" s="11"/>
      <c r="N68" s="11"/>
      <c r="O68" s="12"/>
      <c r="P68" s="10"/>
      <c r="Q68" s="11"/>
      <c r="R68" s="11"/>
      <c r="S68" s="12"/>
      <c r="T68" s="10"/>
      <c r="U68" s="11"/>
      <c r="V68" s="11"/>
      <c r="W68" s="12"/>
      <c r="X68" s="10"/>
      <c r="Y68" s="11"/>
      <c r="Z68" s="11"/>
      <c r="AA68" s="12"/>
      <c r="AB68" s="10"/>
      <c r="AC68" s="11"/>
      <c r="AD68" s="11"/>
      <c r="AE68" s="12"/>
      <c r="AF68" s="10"/>
      <c r="AG68" s="11"/>
      <c r="AH68" s="11"/>
      <c r="AI68" s="12"/>
      <c r="AJ68" s="10"/>
      <c r="AK68" s="11"/>
      <c r="AL68" s="11"/>
      <c r="AM68" s="12"/>
      <c r="AN68" s="10"/>
      <c r="AO68" s="11"/>
      <c r="AP68" s="11"/>
      <c r="AQ68" s="12"/>
      <c r="AR68" s="10"/>
      <c r="AS68" s="11"/>
      <c r="AT68" s="11"/>
      <c r="AU68" s="12"/>
      <c r="AV68" s="10"/>
      <c r="AW68" s="11"/>
      <c r="AX68" s="11"/>
      <c r="AY68" s="12"/>
    </row>
    <row r="69" spans="3:51" ht="3" customHeight="1" x14ac:dyDescent="0.3">
      <c r="D69" s="7"/>
      <c r="E69" s="8"/>
      <c r="F69" s="8"/>
      <c r="G69" s="9"/>
      <c r="H69" s="7"/>
      <c r="I69" s="8"/>
      <c r="J69" s="8"/>
      <c r="K69" s="9"/>
      <c r="L69" s="7"/>
      <c r="M69" s="8"/>
      <c r="N69" s="8"/>
      <c r="O69" s="9"/>
      <c r="P69" s="7"/>
      <c r="Q69" s="8"/>
      <c r="R69" s="8"/>
      <c r="S69" s="9"/>
      <c r="T69" s="7"/>
      <c r="U69" s="8"/>
      <c r="V69" s="8"/>
      <c r="W69" s="9"/>
      <c r="X69" s="7"/>
      <c r="Y69" s="8"/>
      <c r="Z69" s="8"/>
      <c r="AA69" s="9"/>
      <c r="AB69" s="7"/>
      <c r="AC69" s="8"/>
      <c r="AD69" s="8"/>
      <c r="AE69" s="9"/>
      <c r="AF69" s="7"/>
      <c r="AG69" s="8"/>
      <c r="AH69" s="8"/>
      <c r="AI69" s="9"/>
      <c r="AJ69" s="7"/>
      <c r="AK69" s="8"/>
      <c r="AL69" s="8"/>
      <c r="AM69" s="9"/>
      <c r="AN69" s="7"/>
      <c r="AO69" s="8"/>
      <c r="AP69" s="8"/>
      <c r="AQ69" s="9"/>
      <c r="AR69" s="7"/>
      <c r="AS69" s="8"/>
      <c r="AT69" s="8"/>
      <c r="AU69" s="9"/>
      <c r="AV69" s="7"/>
      <c r="AW69" s="8"/>
      <c r="AX69" s="8"/>
      <c r="AY69" s="9"/>
    </row>
    <row r="70" spans="3:51" x14ac:dyDescent="0.3">
      <c r="C70" s="3" t="s">
        <v>57</v>
      </c>
      <c r="D70" s="7"/>
      <c r="E70" s="8"/>
      <c r="F70" s="8"/>
      <c r="G70" s="9"/>
      <c r="H70" s="24">
        <v>0.75800000000000001</v>
      </c>
      <c r="I70" s="25">
        <v>0.74099999999999999</v>
      </c>
      <c r="J70" s="25">
        <v>0.755</v>
      </c>
      <c r="K70" s="26">
        <v>0.81799999999999995</v>
      </c>
      <c r="L70" s="24">
        <v>0.81599999999999995</v>
      </c>
      <c r="M70" s="25">
        <v>0.80600000000000005</v>
      </c>
      <c r="N70" s="25">
        <v>0.82499999999999996</v>
      </c>
      <c r="O70" s="26">
        <v>0.85499999999999998</v>
      </c>
      <c r="P70" s="24">
        <v>1.1459999999999999</v>
      </c>
      <c r="Q70" s="25">
        <v>1.129</v>
      </c>
      <c r="R70" s="25">
        <v>1.1180000000000001</v>
      </c>
      <c r="S70" s="26">
        <v>1.1279999999999999</v>
      </c>
      <c r="T70" s="24">
        <v>1.171</v>
      </c>
      <c r="U70" s="25">
        <v>1.111</v>
      </c>
      <c r="V70" s="25">
        <v>1.0629999999999999</v>
      </c>
      <c r="W70" s="26">
        <v>0.98</v>
      </c>
      <c r="X70" s="24">
        <v>0.99299999999999999</v>
      </c>
      <c r="Y70" s="25">
        <v>1.0089999999999999</v>
      </c>
      <c r="Z70" s="25">
        <v>1.0349999999999999</v>
      </c>
      <c r="AA70" s="26">
        <v>1.169</v>
      </c>
      <c r="AB70" s="24">
        <v>1.2390000000000001</v>
      </c>
      <c r="AC70" s="25">
        <v>1.1819999999999999</v>
      </c>
      <c r="AD70" s="25">
        <v>1.1120000000000001</v>
      </c>
      <c r="AE70" s="26">
        <v>1.069</v>
      </c>
      <c r="AF70" s="24">
        <v>1.04</v>
      </c>
      <c r="AG70" s="25">
        <v>1.02</v>
      </c>
      <c r="AH70" s="25">
        <v>1.04</v>
      </c>
      <c r="AI70" s="26">
        <v>1.02</v>
      </c>
      <c r="AJ70" s="24">
        <v>0.99</v>
      </c>
      <c r="AK70" s="25">
        <v>0.97</v>
      </c>
      <c r="AL70" s="25">
        <v>0.97</v>
      </c>
      <c r="AM70" s="26">
        <v>1.02</v>
      </c>
      <c r="AN70" s="24">
        <v>1</v>
      </c>
      <c r="AO70" s="25">
        <v>1.01</v>
      </c>
      <c r="AP70" s="25">
        <v>1</v>
      </c>
      <c r="AQ70" s="26">
        <v>0.99</v>
      </c>
      <c r="AR70" s="24">
        <v>1.01</v>
      </c>
      <c r="AS70" s="25">
        <v>1.02</v>
      </c>
      <c r="AT70" s="25">
        <v>1.04</v>
      </c>
      <c r="AU70" s="26">
        <v>1.04</v>
      </c>
      <c r="AV70" s="24"/>
      <c r="AW70" s="25"/>
      <c r="AX70" s="25"/>
      <c r="AY70" s="26"/>
    </row>
    <row r="71" spans="3:51" x14ac:dyDescent="0.3">
      <c r="D71" s="7"/>
      <c r="E71" s="8"/>
      <c r="F71" s="8"/>
      <c r="G71" s="9"/>
      <c r="H71" s="7"/>
      <c r="I71" s="8"/>
      <c r="J71" s="8"/>
      <c r="K71" s="9"/>
      <c r="L71" s="7"/>
      <c r="M71" s="8"/>
      <c r="N71" s="8"/>
      <c r="O71" s="9"/>
      <c r="P71" s="7"/>
      <c r="Q71" s="8"/>
      <c r="R71" s="8"/>
      <c r="S71" s="9"/>
      <c r="T71" s="7"/>
      <c r="U71" s="8"/>
      <c r="V71" s="8"/>
      <c r="W71" s="9"/>
      <c r="X71" s="7"/>
      <c r="Y71" s="8"/>
      <c r="Z71" s="8"/>
      <c r="AA71" s="9"/>
      <c r="AB71" s="7"/>
      <c r="AC71" s="8"/>
      <c r="AD71" s="8"/>
      <c r="AE71" s="9"/>
      <c r="AF71" s="7"/>
      <c r="AG71" s="8"/>
      <c r="AH71" s="8"/>
      <c r="AI71" s="9"/>
      <c r="AJ71" s="7"/>
      <c r="AK71" s="8"/>
      <c r="AL71" s="8"/>
      <c r="AM71" s="9"/>
      <c r="AN71" s="7"/>
      <c r="AO71" s="8"/>
      <c r="AP71" s="8"/>
      <c r="AQ71" s="9"/>
      <c r="AR71" s="7"/>
      <c r="AS71" s="8"/>
      <c r="AT71" s="8"/>
      <c r="AU71" s="9"/>
      <c r="AV71" s="7"/>
      <c r="AW71" s="8"/>
      <c r="AX71" s="8"/>
      <c r="AY71" s="9"/>
    </row>
    <row r="72" spans="3:51" x14ac:dyDescent="0.3">
      <c r="D72" s="7"/>
      <c r="E72" s="8"/>
      <c r="F72" s="8"/>
      <c r="G72" s="9"/>
      <c r="H72" s="7"/>
      <c r="I72" s="8"/>
      <c r="J72" s="8"/>
      <c r="K72" s="9"/>
      <c r="L72" s="7"/>
      <c r="M72" s="8"/>
      <c r="N72" s="8"/>
      <c r="O72" s="9"/>
      <c r="P72" s="7"/>
      <c r="Q72" s="8"/>
      <c r="R72" s="8"/>
      <c r="S72" s="9"/>
      <c r="T72" s="7"/>
      <c r="U72" s="8"/>
      <c r="V72" s="8"/>
      <c r="W72" s="9"/>
      <c r="X72" s="7"/>
      <c r="Y72" s="8"/>
      <c r="Z72" s="8"/>
      <c r="AA72" s="9"/>
      <c r="AB72" s="7"/>
      <c r="AC72" s="8"/>
      <c r="AD72" s="8"/>
      <c r="AE72" s="9"/>
      <c r="AF72" s="7"/>
      <c r="AG72" s="8"/>
      <c r="AH72" s="8"/>
      <c r="AI72" s="9"/>
      <c r="AJ72" s="7"/>
      <c r="AK72" s="8"/>
      <c r="AL72" s="8"/>
      <c r="AM72" s="9"/>
      <c r="AN72" s="7"/>
      <c r="AO72" s="8"/>
      <c r="AP72" s="8"/>
      <c r="AQ72" s="9"/>
      <c r="AR72" s="7"/>
      <c r="AS72" s="8"/>
      <c r="AT72" s="8"/>
      <c r="AU72" s="9"/>
      <c r="AV72" s="7"/>
      <c r="AW72" s="8"/>
      <c r="AX72" s="8"/>
      <c r="AY72" s="9"/>
    </row>
    <row r="73" spans="3:51" x14ac:dyDescent="0.3">
      <c r="D73" s="7"/>
      <c r="E73" s="8"/>
      <c r="F73" s="8"/>
      <c r="G73" s="9"/>
      <c r="H73" s="7"/>
      <c r="I73" s="8"/>
      <c r="J73" s="8"/>
      <c r="K73" s="9"/>
      <c r="L73" s="7"/>
      <c r="M73" s="8"/>
      <c r="N73" s="8"/>
      <c r="O73" s="9"/>
      <c r="P73" s="7"/>
      <c r="Q73" s="8"/>
      <c r="R73" s="8"/>
      <c r="S73" s="9"/>
      <c r="T73" s="7"/>
      <c r="U73" s="8"/>
      <c r="V73" s="8"/>
      <c r="W73" s="9"/>
      <c r="X73" s="7"/>
      <c r="Y73" s="8"/>
      <c r="Z73" s="8"/>
      <c r="AA73" s="9"/>
      <c r="AB73" s="7"/>
      <c r="AC73" s="8"/>
      <c r="AD73" s="8"/>
      <c r="AE73" s="9"/>
      <c r="AF73" s="7"/>
      <c r="AG73" s="8"/>
      <c r="AH73" s="8"/>
      <c r="AI73" s="9"/>
      <c r="AJ73" s="7"/>
      <c r="AK73" s="8"/>
      <c r="AL73" s="8"/>
      <c r="AM73" s="9"/>
      <c r="AN73" s="7"/>
      <c r="AO73" s="8"/>
      <c r="AP73" s="8"/>
      <c r="AQ73" s="9"/>
      <c r="AR73" s="7"/>
      <c r="AS73" s="8"/>
      <c r="AT73" s="8"/>
      <c r="AU73" s="9"/>
      <c r="AV73" s="7"/>
      <c r="AW73" s="8"/>
      <c r="AX73" s="8"/>
      <c r="AY73" s="9"/>
    </row>
    <row r="74" spans="3:51" ht="20" x14ac:dyDescent="0.4">
      <c r="C74" s="4" t="s">
        <v>59</v>
      </c>
      <c r="D74" s="7"/>
      <c r="E74" s="8"/>
      <c r="F74" s="8"/>
      <c r="G74" s="9"/>
      <c r="H74" s="7"/>
      <c r="I74" s="8"/>
      <c r="J74" s="8"/>
      <c r="K74" s="9"/>
      <c r="L74" s="7"/>
      <c r="M74" s="8"/>
      <c r="N74" s="8"/>
      <c r="O74" s="9"/>
      <c r="P74" s="7"/>
      <c r="Q74" s="8"/>
      <c r="R74" s="8"/>
      <c r="S74" s="9"/>
      <c r="T74" s="7"/>
      <c r="U74" s="8"/>
      <c r="V74" s="8"/>
      <c r="W74" s="9"/>
      <c r="X74" s="7"/>
      <c r="Y74" s="8"/>
      <c r="Z74" s="8"/>
      <c r="AA74" s="9"/>
      <c r="AB74" s="7"/>
      <c r="AC74" s="8"/>
      <c r="AD74" s="8"/>
      <c r="AE74" s="9"/>
      <c r="AF74" s="7"/>
      <c r="AG74" s="8"/>
      <c r="AH74" s="8"/>
      <c r="AI74" s="9"/>
      <c r="AJ74" s="7"/>
      <c r="AK74" s="8"/>
      <c r="AL74" s="8"/>
      <c r="AM74" s="9"/>
      <c r="AN74" s="7"/>
      <c r="AO74" s="8"/>
      <c r="AP74" s="8"/>
      <c r="AQ74" s="9"/>
      <c r="AR74" s="7"/>
      <c r="AS74" s="8"/>
      <c r="AT74" s="8"/>
      <c r="AU74" s="9"/>
      <c r="AV74" s="7"/>
      <c r="AW74" s="8"/>
      <c r="AX74" s="8"/>
      <c r="AY74" s="9"/>
    </row>
    <row r="75" spans="3:51" x14ac:dyDescent="0.3">
      <c r="C75" s="1" t="s">
        <v>60</v>
      </c>
      <c r="D75" s="10">
        <v>1706</v>
      </c>
      <c r="E75" s="11">
        <v>1700</v>
      </c>
      <c r="F75" s="11">
        <v>1707</v>
      </c>
      <c r="G75" s="12">
        <v>1732</v>
      </c>
      <c r="H75" s="10">
        <v>1707</v>
      </c>
      <c r="I75" s="11">
        <v>1727</v>
      </c>
      <c r="J75" s="11">
        <v>1816</v>
      </c>
      <c r="K75" s="12">
        <v>1922</v>
      </c>
      <c r="L75" s="10">
        <v>1857</v>
      </c>
      <c r="M75" s="11">
        <v>1881</v>
      </c>
      <c r="N75" s="11">
        <v>1905</v>
      </c>
      <c r="O75" s="12">
        <v>2277</v>
      </c>
      <c r="P75" s="10">
        <v>2179</v>
      </c>
      <c r="Q75" s="11">
        <v>2278</v>
      </c>
      <c r="R75" s="11">
        <v>2317</v>
      </c>
      <c r="S75" s="12">
        <v>2305</v>
      </c>
      <c r="T75" s="10">
        <v>2203</v>
      </c>
      <c r="U75" s="11">
        <v>2192</v>
      </c>
      <c r="V75" s="11">
        <v>2203</v>
      </c>
      <c r="W75" s="12">
        <v>2341</v>
      </c>
      <c r="X75" s="10">
        <v>2287</v>
      </c>
      <c r="Y75" s="11">
        <v>2400</v>
      </c>
      <c r="Z75" s="11">
        <v>2412</v>
      </c>
      <c r="AA75" s="12">
        <v>2220</v>
      </c>
      <c r="AB75" s="10">
        <v>1955</v>
      </c>
      <c r="AC75" s="11">
        <v>1898</v>
      </c>
      <c r="AD75" s="11">
        <v>1906</v>
      </c>
      <c r="AE75" s="12">
        <v>1951</v>
      </c>
      <c r="AF75" s="10">
        <v>1928</v>
      </c>
      <c r="AG75" s="11">
        <v>1972</v>
      </c>
      <c r="AH75" s="11">
        <v>1998</v>
      </c>
      <c r="AI75" s="12">
        <v>2059</v>
      </c>
      <c r="AJ75" s="10">
        <v>2065</v>
      </c>
      <c r="AK75" s="11">
        <v>2145</v>
      </c>
      <c r="AL75" s="11">
        <v>2154</v>
      </c>
      <c r="AM75" s="12">
        <v>2189</v>
      </c>
      <c r="AN75" s="10">
        <v>2141</v>
      </c>
      <c r="AO75" s="11">
        <v>2148</v>
      </c>
      <c r="AP75" s="11">
        <v>2153</v>
      </c>
      <c r="AQ75" s="12">
        <v>2231</v>
      </c>
      <c r="AR75" s="10">
        <v>2165</v>
      </c>
      <c r="AS75" s="11">
        <v>2144</v>
      </c>
      <c r="AT75" s="11">
        <v>2163</v>
      </c>
      <c r="AU75" s="12">
        <v>2202</v>
      </c>
      <c r="AV75" s="10"/>
      <c r="AW75" s="11"/>
      <c r="AX75" s="11"/>
      <c r="AY75" s="12"/>
    </row>
    <row r="76" spans="3:51" s="6" customFormat="1" ht="14.5" x14ac:dyDescent="0.35">
      <c r="C76" s="2" t="s">
        <v>1</v>
      </c>
      <c r="D76" s="13"/>
      <c r="E76" s="14"/>
      <c r="F76" s="14"/>
      <c r="G76" s="15"/>
      <c r="H76" s="20">
        <f t="shared" ref="H76" si="347">+H75/D75-1</f>
        <v>5.8616647127784915E-4</v>
      </c>
      <c r="I76" s="21">
        <f t="shared" ref="I76" si="348">+I75/E75-1</f>
        <v>1.5882352941176459E-2</v>
      </c>
      <c r="J76" s="21">
        <f t="shared" ref="J76" si="349">+J75/F75-1</f>
        <v>6.3854715875805601E-2</v>
      </c>
      <c r="K76" s="22">
        <f t="shared" ref="K76" si="350">+K75/G75-1</f>
        <v>0.10969976905311785</v>
      </c>
      <c r="L76" s="20">
        <f t="shared" ref="L76" si="351">+L75/H75-1</f>
        <v>8.787346221441128E-2</v>
      </c>
      <c r="M76" s="21">
        <f t="shared" ref="M76" si="352">+M75/I75-1</f>
        <v>8.9171974522292974E-2</v>
      </c>
      <c r="N76" s="21">
        <f t="shared" ref="N76" si="353">+N75/J75-1</f>
        <v>4.9008810572687134E-2</v>
      </c>
      <c r="O76" s="22">
        <f t="shared" ref="O76" si="354">+O75/K75-1</f>
        <v>0.18470343392299693</v>
      </c>
      <c r="P76" s="20">
        <f t="shared" ref="P76" si="355">+P75/L75-1</f>
        <v>0.17339795368874533</v>
      </c>
      <c r="Q76" s="21">
        <f t="shared" ref="Q76" si="356">+Q75/M75-1</f>
        <v>0.21105794790005317</v>
      </c>
      <c r="R76" s="21">
        <f t="shared" ref="R76" si="357">+R75/N75-1</f>
        <v>0.21627296587926503</v>
      </c>
      <c r="S76" s="22">
        <f t="shared" ref="S76" si="358">+S75/O75-1</f>
        <v>1.2296881862099207E-2</v>
      </c>
      <c r="T76" s="20">
        <f t="shared" ref="T76" si="359">+T75/P75-1</f>
        <v>1.1014226709499697E-2</v>
      </c>
      <c r="U76" s="21">
        <f t="shared" ref="U76" si="360">+U75/Q75-1</f>
        <v>-3.7752414398595224E-2</v>
      </c>
      <c r="V76" s="21">
        <f t="shared" ref="V76" si="361">+V75/R75-1</f>
        <v>-4.9201553733275838E-2</v>
      </c>
      <c r="W76" s="22">
        <f t="shared" ref="W76" si="362">+W75/S75-1</f>
        <v>1.561822125813439E-2</v>
      </c>
      <c r="X76" s="20">
        <f t="shared" ref="X76" si="363">+X75/T75-1</f>
        <v>3.8129822968679061E-2</v>
      </c>
      <c r="Y76" s="21">
        <f t="shared" ref="Y76" si="364">+Y75/U75-1</f>
        <v>9.4890510948905105E-2</v>
      </c>
      <c r="Z76" s="21">
        <f t="shared" ref="Z76" si="365">+Z75/V75-1</f>
        <v>9.4870630957784918E-2</v>
      </c>
      <c r="AA76" s="22">
        <f t="shared" ref="AA76" si="366">+AA75/W75-1</f>
        <v>-5.1687313114053834E-2</v>
      </c>
      <c r="AB76" s="20">
        <f t="shared" ref="AB76" si="367">+AB75/X75-1</f>
        <v>-0.14516834280717095</v>
      </c>
      <c r="AC76" s="21">
        <f t="shared" ref="AC76" si="368">+AC75/Y75-1</f>
        <v>-0.20916666666666661</v>
      </c>
      <c r="AD76" s="21">
        <f t="shared" ref="AD76" si="369">+AD75/Z75-1</f>
        <v>-0.20978441127694858</v>
      </c>
      <c r="AE76" s="22">
        <f t="shared" ref="AE76" si="370">+AE75/AA75-1</f>
        <v>-0.12117117117117115</v>
      </c>
      <c r="AF76" s="20">
        <f t="shared" ref="AF76" si="371">+AF75/AB75-1</f>
        <v>-1.3810741687979577E-2</v>
      </c>
      <c r="AG76" s="21">
        <f t="shared" ref="AG76" si="372">+AG75/AC75-1</f>
        <v>3.8988408851422518E-2</v>
      </c>
      <c r="AH76" s="21">
        <f t="shared" ref="AH76" si="373">+AH75/AD75-1</f>
        <v>4.8268625393494302E-2</v>
      </c>
      <c r="AI76" s="22">
        <f t="shared" ref="AI76" si="374">+AI75/AE75-1</f>
        <v>5.5356227575602324E-2</v>
      </c>
      <c r="AJ76" s="20">
        <f t="shared" ref="AJ76" si="375">+AJ75/AF75-1</f>
        <v>7.1058091286307024E-2</v>
      </c>
      <c r="AK76" s="21">
        <f t="shared" ref="AK76" si="376">+AK75/AG75-1</f>
        <v>8.7728194726166331E-2</v>
      </c>
      <c r="AL76" s="21">
        <f t="shared" ref="AL76" si="377">+AL75/AH75-1</f>
        <v>7.8078078078078095E-2</v>
      </c>
      <c r="AM76" s="22">
        <f t="shared" ref="AM76" si="378">+AM75/AI75-1</f>
        <v>6.3137445361826083E-2</v>
      </c>
      <c r="AN76" s="20">
        <f t="shared" ref="AN76" si="379">+AN75/AJ75-1</f>
        <v>3.6803874092009581E-2</v>
      </c>
      <c r="AO76" s="21">
        <f t="shared" ref="AO76" si="380">+AO75/AK75-1</f>
        <v>1.3986013986013734E-3</v>
      </c>
      <c r="AP76" s="21">
        <f t="shared" ref="AP76" si="381">+AP75/AL75-1</f>
        <v>-4.6425255338899962E-4</v>
      </c>
      <c r="AQ76" s="22">
        <f t="shared" ref="AQ76" si="382">+AQ75/AM75-1</f>
        <v>1.9186843307446244E-2</v>
      </c>
      <c r="AR76" s="20">
        <f t="shared" ref="AR76" si="383">+AR75/AN75-1</f>
        <v>1.1209715086408112E-2</v>
      </c>
      <c r="AS76" s="21">
        <f t="shared" ref="AS76" si="384">+AS75/AO75-1</f>
        <v>-1.8621973929237035E-3</v>
      </c>
      <c r="AT76" s="21">
        <f t="shared" ref="AT76" si="385">+AT75/AP75-1</f>
        <v>4.644681839294007E-3</v>
      </c>
      <c r="AU76" s="22">
        <f>+AU75/AQ75-1</f>
        <v>-1.2998655311519447E-2</v>
      </c>
      <c r="AV76" s="20"/>
      <c r="AW76" s="21"/>
      <c r="AX76" s="21"/>
      <c r="AY76" s="22"/>
    </row>
  </sheetData>
  <mergeCells count="12">
    <mergeCell ref="L2:O2"/>
    <mergeCell ref="P2:S2"/>
    <mergeCell ref="D2:G2"/>
    <mergeCell ref="H2:K2"/>
    <mergeCell ref="AV2:AY2"/>
    <mergeCell ref="AN2:AQ2"/>
    <mergeCell ref="AR2:AU2"/>
    <mergeCell ref="AF2:AI2"/>
    <mergeCell ref="AJ2:AM2"/>
    <mergeCell ref="AB2:AE2"/>
    <mergeCell ref="T2:W2"/>
    <mergeCell ref="X2:A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Evercore Partners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Carvajal, Maximilian</dc:creator>
  <cp:lastModifiedBy>Zhang, Alex</cp:lastModifiedBy>
  <dcterms:created xsi:type="dcterms:W3CDTF">2024-10-07T23:09:07Z</dcterms:created>
  <dcterms:modified xsi:type="dcterms:W3CDTF">2024-10-15T18:48:34Z</dcterms:modified>
</cp:coreProperties>
</file>